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2545" windowHeight="13320" tabRatio="447"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s>
  <externalReferences>
    <externalReference r:id="rId11"/>
  </externalReferences>
  <definedNames>
    <definedName name="_Age1">#REF!</definedName>
    <definedName name="_Sex1">#REF!</definedName>
    <definedName name="Age" localSheetId="1">'[1]Data collection'!$C$6:$C$45</definedName>
    <definedName name="Age">'Data collection'!$C$6:$C$45</definedName>
    <definedName name="Ethnicity" localSheetId="1">'[1]Data collection'!$E$6:$E$45</definedName>
    <definedName name="Ethnicity">'Data collection'!$E$6:$E$45</definedName>
    <definedName name="Ethnicity1">#REF!</definedName>
    <definedName name="_xlnm.Print_Area" localSheetId="6">'Action plan'!$B$1:$G$20</definedName>
    <definedName name="_xlnm.Print_Area" localSheetId="3">'Audit standards'!$B$1:$F$16</definedName>
    <definedName name="_xlnm.Print_Area" localSheetId="5">'Clinical audit report'!$B$1:$I$36</definedName>
    <definedName name="_xlnm.Print_Area" localSheetId="4">'Data collection'!$B$1:$T$61</definedName>
    <definedName name="_xlnm.Print_Area" localSheetId="2">'Introduction'!$B$1:$C$31</definedName>
    <definedName name="Sex" localSheetId="1">'[1]Data collection'!$D$6:$D$45</definedName>
    <definedName name="Sex">'Data collection'!$D$6:$D$45</definedName>
  </definedNames>
  <calcPr fullCalcOnLoad="1"/>
</workbook>
</file>

<file path=xl/comments5.xml><?xml version="1.0" encoding="utf-8"?>
<comments xmlns="http://schemas.openxmlformats.org/spreadsheetml/2006/main">
  <authors>
    <author>NICE Audit Team</author>
  </authors>
  <commentList>
    <comment ref="B46" authorId="0">
      <text>
        <r>
          <rPr>
            <b/>
            <sz val="9"/>
            <rFont val="Tahoma"/>
            <family val="2"/>
          </rPr>
          <t>NICE Audit Team:</t>
        </r>
        <r>
          <rPr>
            <sz val="9"/>
            <rFont val="Tahoma"/>
            <family val="2"/>
          </rPr>
          <t xml:space="preserve">
To add a new row press Control + shift + R.</t>
        </r>
      </text>
    </comment>
  </commentList>
</comments>
</file>

<file path=xl/comments6.xml><?xml version="1.0" encoding="utf-8"?>
<comments xmlns="http://schemas.openxmlformats.org/spreadsheetml/2006/main">
  <authors>
    <author>ssutcliffe</author>
  </authors>
  <commentList>
    <comment ref="H17" authorId="0">
      <text>
        <r>
          <rPr>
            <sz val="8"/>
            <rFont val="Tahoma"/>
            <family val="2"/>
          </rPr>
          <t>Once the re-audit tab has been created add the appropriate formulae.</t>
        </r>
      </text>
    </comment>
  </commentList>
</comments>
</file>

<file path=xl/comments8.xml><?xml version="1.0" encoding="utf-8"?>
<comments xmlns="http://schemas.openxmlformats.org/spreadsheetml/2006/main">
  <authors>
    <author>NICE Audit Team</author>
  </authors>
  <commentList>
    <comment ref="B46" authorId="0">
      <text>
        <r>
          <rPr>
            <b/>
            <sz val="9"/>
            <rFont val="Tahoma"/>
            <family val="2"/>
          </rPr>
          <t>NICE Audit Team:</t>
        </r>
        <r>
          <rPr>
            <sz val="9"/>
            <rFont val="Tahoma"/>
            <family val="2"/>
          </rPr>
          <t xml:space="preserve">
To add a new row press Control + shift + R.</t>
        </r>
      </text>
    </comment>
  </commentList>
</comments>
</file>

<file path=xl/sharedStrings.xml><?xml version="1.0" encoding="utf-8"?>
<sst xmlns="http://schemas.openxmlformats.org/spreadsheetml/2006/main" count="284" uniqueCount="167">
  <si>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</si>
  <si>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</si>
  <si>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</si>
  <si>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</si>
  <si>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</si>
  <si>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</si>
  <si>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</si>
  <si>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</si>
  <si>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</si>
  <si>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</si>
  <si>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</si>
  <si>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</si>
  <si>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</si>
  <si>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</si>
  <si>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</si>
  <si>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</si>
  <si>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</si>
  <si>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</si>
  <si>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</si>
  <si>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</si>
  <si>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</si>
  <si>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</si>
  <si>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</si>
  <si>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</si>
  <si>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</si>
  <si>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</si>
  <si>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</si>
  <si>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</si>
  <si>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</si>
  <si>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</si>
  <si>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</si>
  <si>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</si>
  <si>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</si>
  <si>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</si>
  <si>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</si>
  <si>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</si>
  <si>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</si>
  <si>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</si>
  <si>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</si>
  <si>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</si>
  <si>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</si>
  <si>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</si>
  <si>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</si>
  <si>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</si>
  <si>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</si>
  <si>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</si>
  <si>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</si>
  <si>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Stakeholders</t>
  </si>
  <si>
    <t>Results</t>
  </si>
  <si>
    <t>Audit results</t>
  </si>
  <si>
    <t>Re-audit results</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</si>
  <si>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</si>
  <si>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</si>
  <si>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</si>
  <si>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</si>
  <si>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</si>
  <si>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</si>
  <si>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</si>
  <si>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Name:</t>
  </si>
  <si>
    <t>Title:</t>
  </si>
  <si>
    <t>Contact details:</t>
  </si>
  <si>
    <t>Questions in data collection sheet</t>
  </si>
  <si>
    <t>Audit standards</t>
  </si>
  <si>
    <t>The first letter should be lower case.  No full stop.</t>
  </si>
  <si>
    <t>No full stop.</t>
  </si>
  <si>
    <t>Audit standard</t>
  </si>
  <si>
    <t>(Years)</t>
  </si>
  <si>
    <t>(Ethnic group)</t>
  </si>
  <si>
    <t>How to use the clinical audit tool</t>
  </si>
  <si>
    <t>NICE would like to thank the following people who have contributed to the development of this clinical audit tool and have agreed to be acknowledged:</t>
  </si>
  <si>
    <t>Acknowledgements</t>
  </si>
  <si>
    <t>Delete text if there aren't this many</t>
  </si>
  <si>
    <t>The first letter should be upper case.  No full stop.</t>
  </si>
  <si>
    <t>Hide this sheet</t>
  </si>
  <si>
    <t>[Name of individual, Job title, Trust/Organisation]</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</si>
  <si>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</si>
  <si>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</si>
  <si>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</si>
  <si>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</si>
  <si>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</si>
  <si>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</si>
  <si>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</si>
  <si>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</si>
  <si>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</si>
  <si>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</si>
  <si>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The first letter should be UPPER case.  No full stop</t>
  </si>
  <si>
    <t>Check the macro to add a row (Ctrl+Shift+R)</t>
  </si>
  <si>
    <t>Add new row</t>
  </si>
  <si>
    <t xml:space="preserve">Clinical audit report </t>
  </si>
  <si>
    <t>Action plan</t>
  </si>
  <si>
    <t>Re-audit</t>
  </si>
  <si>
    <r>
      <t xml:space="preserve">Progress
</t>
    </r>
    <r>
      <rPr>
        <sz val="11"/>
        <color indexed="8"/>
        <rFont val="Arial"/>
        <family val="2"/>
      </rPr>
      <t>(Provide examples of actions in progress, changes in practices etc.)</t>
    </r>
  </si>
  <si>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</si>
  <si>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</si>
  <si>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</si>
  <si>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</si>
  <si>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</si>
  <si>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t xml:space="preserve">NICE recommends compliance of 100%. If this is not achievable an interim local target could be set, although 100% should remain the ultimate aim. </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</si>
  <si>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</si>
  <si>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</si>
  <si>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 xml:space="preserve">Check the information and format of the introduction (which is all populated from this sheet).  </t>
  </si>
  <si>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</si>
  <si>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</si>
  <si>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Full title of the guidance</t>
  </si>
  <si>
    <t>Short title of the guidance</t>
  </si>
  <si>
    <t>Guidance number</t>
  </si>
  <si>
    <t>When making improvements to practice, you may like to use the tools developed by NICE to help implement the technology appraisal on</t>
  </si>
  <si>
    <t xml:space="preserve">Changes to the clinical audit tool can be made locally where desired. </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</si>
  <si>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</si>
  <si>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</si>
  <si>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</si>
  <si>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Sofosbuvir for treating chronic hepatitis C</t>
  </si>
  <si>
    <t>None</t>
  </si>
  <si>
    <t>(1, 2, 3, 4, 5, 6)</t>
  </si>
  <si>
    <t>Does the person have cirrhosis?</t>
  </si>
  <si>
    <t>Is the person intolerant to or ineligible for interferon therapy?</t>
  </si>
  <si>
    <t>Standard 1: 
Genotype 1</t>
  </si>
  <si>
    <t>Standard 1: 
Genotype 3 with cirrhosis</t>
  </si>
  <si>
    <t>Standard 4:
Genotype 1, 4, 5 or 6</t>
  </si>
  <si>
    <t>Standard 3:
Genotype 2 and previous treatment</t>
  </si>
  <si>
    <t>Standard 5:
Genotype 3 and cirrhosis</t>
  </si>
  <si>
    <t>• genotype 3 chronic hepatitis C with cirrhosis or</t>
  </si>
  <si>
    <t>1, 2, 3, and 4</t>
  </si>
  <si>
    <t>1 and 2</t>
  </si>
  <si>
    <t>1, 2, 4 and 5</t>
  </si>
  <si>
    <r>
      <t xml:space="preserve">1 </t>
    </r>
    <r>
      <rPr>
        <sz val="11"/>
        <rFont val="Calibri"/>
        <family val="2"/>
      </rPr>
      <t>–</t>
    </r>
    <r>
      <rPr>
        <sz val="9.9"/>
        <rFont val="Arial"/>
        <family val="2"/>
      </rPr>
      <t xml:space="preserve"> 3</t>
    </r>
  </si>
  <si>
    <t>Exception A</t>
  </si>
  <si>
    <t>• have had treatment for chronic hepatitis C before, regardless of interferon eligibility.</t>
  </si>
  <si>
    <t>Standard 3:
Genotype 2, no previous treatment and intolerant/ ineligible for interferon therapy</t>
  </si>
  <si>
    <t>Has the person been treated for hepatitis C before?</t>
  </si>
  <si>
    <t>A – people already receiving sofosbuvir that is not recommended in this guidance can continue treatment until they and their clinician consider it appropriate to stop.</t>
  </si>
  <si>
    <t>Sofosbuvir in combination with peginterferon alfa and ribavirin</t>
  </si>
  <si>
    <t>Sofosbuvir in combination with ribavirin</t>
  </si>
  <si>
    <t>• genotype 4, 5 or 6 chronic hepatitis C with cirrhosis.</t>
  </si>
  <si>
    <t>Standard 2:
Genotype 2</t>
  </si>
  <si>
    <t>any services providing treatment for people with hepatitis C</t>
  </si>
  <si>
    <t>prescribing clinicians and pharmacists, clinical audit staff and patients</t>
  </si>
  <si>
    <t>Tracy Turner, Head of Clinical Effectiveness, Basildon &amp; Thurrock University Hospitals NHS Foundation Trust</t>
  </si>
  <si>
    <t>Which hepatitis C genotype does the person have?</t>
  </si>
  <si>
    <t>(Male, female)</t>
  </si>
  <si>
    <t>(Yes, leave blank)</t>
  </si>
  <si>
    <r>
      <rPr>
        <b/>
        <sz val="11"/>
        <rFont val="Arial"/>
        <family val="2"/>
      </rPr>
      <t>A</t>
    </r>
    <r>
      <rPr>
        <sz val="11"/>
        <rFont val="Arial"/>
        <family val="2"/>
      </rPr>
      <t xml:space="preserve"> </t>
    </r>
    <r>
      <rPr>
        <sz val="11"/>
        <rFont val="Calibri"/>
        <family val="2"/>
      </rPr>
      <t>–</t>
    </r>
    <r>
      <rPr>
        <sz val="11"/>
        <rFont val="Arial"/>
        <family val="2"/>
      </rPr>
      <t xml:space="preserve"> people already having sofosbuvir that is not recommended in this guidance can continue treatment until they and their clinician consider it appropriate to stop.</t>
    </r>
  </si>
  <si>
    <t>Is the person having sofosbuvir in combination with peginterferon alfa and ribavirin or ribavirin alone?</t>
  </si>
  <si>
    <t>Is the person currently having treatment with sofosbuvir not recommended in this guidance and is continuing until they and their clinician consider it appropriate to stop?</t>
  </si>
  <si>
    <t>Results for standards 1 and 2 are presented as a percentage of the number of people having sofosbuvir in combination with peginterferon alfa and ribavirin.</t>
  </si>
  <si>
    <t xml:space="preserve">1. People having sofosbuvir in combination with peginterferon alfa and ribavirin have one of the following:
• genotype 1 chronic hepatitis C
</t>
  </si>
  <si>
    <t>Number of people having sofosbuvir in combination with ribavirin alone</t>
  </si>
  <si>
    <t>Results for standards 1 and 2 are presented as a percentage of the number of people having sofosbuvir in combination with ribavirin alone.</t>
  </si>
  <si>
    <t>3. People having sofosbuvir in combination with ribavirin alone for genotype 2 chronic hepatitis C meet one of the following conditions:
• have not had treatment for chronic hepatitis C before and are intolerant to or ineligible for interferon therapy or</t>
  </si>
  <si>
    <t>Number of people having sofosbuvir in combination with peginterferon alfa and ribavirin</t>
  </si>
  <si>
    <t>Exception A:  people already having sofosbuvir that is not recommended in this guidance can continue treatment until they and their clinician consider it appropriate to stop.</t>
  </si>
  <si>
    <t>5. People having sofosbuvir in combination with ribavirin alone for the treatment of genotype 3 chronic hepatitis C  have cirrhosis and are intolerant to or ineligible for interferon.</t>
  </si>
  <si>
    <t>Table 1.1</t>
  </si>
  <si>
    <t>(Peginterferon alfa and ribavirin, Ribavirin)</t>
  </si>
  <si>
    <t>(Yes, No, NA, Exception)</t>
  </si>
  <si>
    <t>4. People do not have sofosbuvir in combination with ribavirin alone if they have genotype 1, 4, 5 or 6 chronic hepatitis C.</t>
  </si>
  <si>
    <t>adults having sofosbuvir in combination with peginterferon alfa and ribavirin or in combination with ribavirin alone for chronic hepatitis C</t>
  </si>
  <si>
    <t>sofosbuvir for treating chronic hepatitis C</t>
  </si>
  <si>
    <t>Xin Hui Chan, Infection Diseases Registrar, Oxford University Hospitals NHS Trust</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</si>
  <si>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
    </r>
    <r>
      <rPr>
        <i/>
        <sz val="11"/>
        <color indexed="8"/>
        <rFont val="Arial"/>
        <family val="2"/>
      </rPr>
      <t>Take care not to delete the formulae in the data collection sheet as the tool will not work without them.</t>
    </r>
    <r>
      <rPr>
        <sz val="11"/>
        <color indexed="8"/>
        <rFont val="Arial"/>
        <family val="2"/>
      </rPr>
      <t xml:space="preserve">  
There are 40 rows for patient data which can be increased by enabling the macros within the spreadsheet and using the shortcut Ctrl + Shift + R.  </t>
    </r>
  </si>
  <si>
    <t>2. People do not have sofosbuvir in combination with peginterferon alfa and ribavirin if they have genotype 2 chronic hepatitis C.</t>
  </si>
  <si>
    <t>Standard 1:
Genotype 4, 5 or 6</t>
  </si>
  <si>
    <r>
      <t xml:space="preserve">3. People having sofosbuvir in combination with ribavirin alone for genotype 2 chronic hepatitis C:
</t>
    </r>
    <r>
      <rPr>
        <sz val="11"/>
        <rFont val="Calibri"/>
        <family val="2"/>
      </rPr>
      <t>•</t>
    </r>
    <r>
      <rPr>
        <sz val="11"/>
        <rFont val="Arial"/>
        <family val="2"/>
      </rPr>
      <t xml:space="preserve"> have not had treatment for chronic hepatitis C before and are intolerant to or ineligible for interferon therapy </t>
    </r>
    <r>
      <rPr>
        <b/>
        <sz val="11"/>
        <rFont val="Arial"/>
        <family val="2"/>
      </rPr>
      <t>or</t>
    </r>
    <r>
      <rPr>
        <sz val="11"/>
        <rFont val="Arial"/>
        <family val="2"/>
      </rPr>
      <t xml:space="preserve">
</t>
    </r>
    <r>
      <rPr>
        <sz val="11"/>
        <rFont val="Calibri"/>
        <family val="2"/>
      </rPr>
      <t>•</t>
    </r>
    <r>
      <rPr>
        <sz val="11"/>
        <rFont val="Arial"/>
        <family val="2"/>
      </rPr>
      <t xml:space="preserve"> the person's hepatitis C has not adequatly responded to interferon-based treatment.</t>
    </r>
  </si>
  <si>
    <t>Standard 1: 
Genotype 3 hepatitis C without cirrhosis that has not adequately responded to interferon-based treatment</t>
  </si>
  <si>
    <r>
      <t xml:space="preserve">1. People having sofosbuvir in combination with peginterferon alfa and ribavirin have one of the following:
</t>
    </r>
    <r>
      <rPr>
        <sz val="11"/>
        <rFont val="Calibri"/>
        <family val="2"/>
      </rPr>
      <t>•</t>
    </r>
    <r>
      <rPr>
        <sz val="11"/>
        <rFont val="Arial"/>
        <family val="2"/>
      </rPr>
      <t xml:space="preserve"> genotype 1 chronic hepatitis C
</t>
    </r>
    <r>
      <rPr>
        <sz val="11"/>
        <rFont val="Calibri"/>
        <family val="2"/>
      </rPr>
      <t>•</t>
    </r>
    <r>
      <rPr>
        <sz val="11"/>
        <rFont val="Arial"/>
        <family val="2"/>
      </rPr>
      <t xml:space="preserve"> genotype 3 chronic hepatitis C with cirrhosis </t>
    </r>
    <r>
      <rPr>
        <b/>
        <sz val="11"/>
        <rFont val="Arial"/>
        <family val="2"/>
      </rPr>
      <t>or</t>
    </r>
    <r>
      <rPr>
        <sz val="11"/>
        <rFont val="Arial"/>
        <family val="2"/>
      </rPr>
      <t xml:space="preserve">
</t>
    </r>
    <r>
      <rPr>
        <sz val="11"/>
        <rFont val="Calibri"/>
        <family val="2"/>
      </rPr>
      <t>•</t>
    </r>
    <r>
      <rPr>
        <sz val="11"/>
        <rFont val="Arial"/>
        <family val="2"/>
      </rPr>
      <t xml:space="preserve"> genotype 3 chronic hepatitis C without cirrhosis if the person's hepatitis C has not adequately responded to interferon-based treatment 
</t>
    </r>
    <r>
      <rPr>
        <sz val="11"/>
        <rFont val="Calibri"/>
        <family val="2"/>
      </rPr>
      <t>•</t>
    </r>
    <r>
      <rPr>
        <sz val="11"/>
        <rFont val="Arial"/>
        <family val="2"/>
      </rPr>
      <t xml:space="preserve"> genotype 4, 5 or 6 chronic hepatitis C with cirrhosis.</t>
    </r>
  </si>
  <si>
    <t>• genotype 3 chronic hepatitis C if they have had treatment for hepatitis C before</t>
  </si>
  <si>
    <t>to improve the appropriate use of sofosbuvir for treating chronic hepatitis 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</si>
</sst>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6">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sz val="8"/>
      <name val="Tahoma"/>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sz val="11"/>
      <name val="Calibri"/>
      <family val="2"/>
    </font>
    <font>
      <sz val="9.9"/>
      <name val="Arial"/>
      <family val="2"/>
    </font>
    <font>
      <sz val="9"/>
      <name val="Tahoma"/>
      <family val="2"/>
    </font>
    <font>
      <b/>
      <sz val="9"/>
      <name val="Tahoma"/>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6"/>
      <color theme="1"/>
      <name val="Arial"/>
      <family val="2"/>
    </font>
    <font>
      <b/>
      <sz val="18"/>
      <color theme="1"/>
      <name val="Arial"/>
      <family val="2"/>
    </font>
    <font>
      <b/>
      <sz val="12"/>
      <color theme="1"/>
      <name val="Arial"/>
      <family val="2"/>
    </font>
    <font>
      <sz val="12"/>
      <color theme="1"/>
      <name val="Calibri"/>
      <family val="2"/>
    </font>
    <font>
      <i/>
      <sz val="11"/>
      <color theme="1"/>
      <name val="Arial"/>
      <family val="2"/>
    </font>
    <font>
      <sz val="18"/>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theme="1"/>
      </right>
      <top/>
      <bottom/>
    </border>
    <border>
      <left style="medium"/>
      <right/>
      <top/>
      <bottom style="medium"/>
    </border>
    <border>
      <left style="medium"/>
      <right style="medium">
        <color theme="1"/>
      </right>
      <top style="medium"/>
      <bottom/>
    </border>
    <border>
      <left style="medium"/>
      <right style="medium"/>
      <top/>
      <bottom/>
    </border>
    <border>
      <left style="medium">
        <color theme="1"/>
      </left>
      <right style="medium">
        <color theme="1"/>
      </right>
      <top style="medium">
        <color theme="1"/>
      </top>
      <bottom/>
    </border>
    <border>
      <left/>
      <right/>
      <top style="medium"/>
      <bottom style="medium"/>
    </border>
    <border>
      <left/>
      <right/>
      <top/>
      <bottom style="medium"/>
    </border>
    <border>
      <left/>
      <right style="medium"/>
      <top/>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Font="1" applyAlignment="1">
      <alignment/>
    </xf>
    <xf numFmtId="0" fontId="61" fillId="0" borderId="0" xfId="0" applyFont="1" applyFill="1" applyAlignment="1" applyProtection="1">
      <alignment/>
      <protection locked="0"/>
    </xf>
    <xf numFmtId="0" fontId="61" fillId="0" borderId="0" xfId="0" applyFont="1" applyAlignment="1" applyProtection="1">
      <alignment/>
      <protection locked="0"/>
    </xf>
    <xf numFmtId="0" fontId="62" fillId="0" borderId="10" xfId="0" applyFont="1" applyBorder="1" applyAlignment="1" applyProtection="1">
      <alignment/>
      <protection locked="0"/>
    </xf>
    <xf numFmtId="0" fontId="61" fillId="0" borderId="0" xfId="0" applyFont="1" applyBorder="1" applyAlignment="1" applyProtection="1">
      <alignment/>
      <protection locked="0"/>
    </xf>
    <xf numFmtId="9" fontId="62"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61" fillId="0" borderId="0" xfId="0" applyFont="1" applyBorder="1" applyAlignment="1" applyProtection="1">
      <alignment wrapText="1"/>
      <protection locked="0"/>
    </xf>
    <xf numFmtId="0" fontId="63" fillId="0" borderId="0" xfId="0" applyFont="1" applyBorder="1" applyAlignment="1" applyProtection="1">
      <alignment/>
      <protection locked="0"/>
    </xf>
    <xf numFmtId="0" fontId="61" fillId="0" borderId="0" xfId="0" applyFont="1" applyBorder="1" applyAlignment="1" applyProtection="1">
      <alignment vertical="top"/>
      <protection locked="0"/>
    </xf>
    <xf numFmtId="0" fontId="64" fillId="0" borderId="0" xfId="0" applyFont="1" applyBorder="1" applyAlignment="1" applyProtection="1">
      <alignment vertical="top" wrapText="1"/>
      <protection locked="0"/>
    </xf>
    <xf numFmtId="0" fontId="61" fillId="0" borderId="0" xfId="0" applyFont="1" applyBorder="1" applyAlignment="1" applyProtection="1">
      <alignment vertical="top" wrapText="1"/>
      <protection locked="0"/>
    </xf>
    <xf numFmtId="0" fontId="61" fillId="0" borderId="0" xfId="0" applyFont="1" applyAlignment="1" applyProtection="1">
      <alignment horizontal="right"/>
      <protection locked="0"/>
    </xf>
    <xf numFmtId="0" fontId="65" fillId="33" borderId="10" xfId="0" applyFont="1" applyFill="1" applyBorder="1" applyAlignment="1" applyProtection="1">
      <alignment vertical="top" wrapText="1"/>
      <protection locked="0"/>
    </xf>
    <xf numFmtId="0" fontId="65" fillId="33" borderId="11" xfId="0" applyFont="1" applyFill="1" applyBorder="1" applyAlignment="1" applyProtection="1">
      <alignment vertical="top"/>
      <protection locked="0"/>
    </xf>
    <xf numFmtId="0" fontId="65" fillId="33" borderId="12" xfId="0" applyFont="1" applyFill="1" applyBorder="1" applyAlignment="1" applyProtection="1">
      <alignment vertical="top" wrapText="1"/>
      <protection locked="0"/>
    </xf>
    <xf numFmtId="0" fontId="65" fillId="33" borderId="11" xfId="0" applyFont="1" applyFill="1" applyBorder="1" applyAlignment="1" applyProtection="1">
      <alignment vertical="top" wrapText="1"/>
      <protection locked="0"/>
    </xf>
    <xf numFmtId="0" fontId="61" fillId="0" borderId="10" xfId="0" applyFont="1" applyBorder="1" applyAlignment="1" applyProtection="1">
      <alignment vertical="top" wrapText="1"/>
      <protection/>
    </xf>
    <xf numFmtId="0" fontId="61" fillId="0" borderId="13" xfId="0" applyFont="1" applyBorder="1" applyAlignment="1" applyProtection="1">
      <alignment vertical="top" wrapText="1"/>
      <protection/>
    </xf>
    <xf numFmtId="0" fontId="61"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5" fillId="33" borderId="10" xfId="0" applyFont="1" applyFill="1" applyBorder="1" applyAlignment="1" applyProtection="1">
      <alignment horizontal="left" vertical="top" wrapText="1"/>
      <protection/>
    </xf>
    <xf numFmtId="0" fontId="65" fillId="33" borderId="13" xfId="0" applyFont="1" applyFill="1" applyBorder="1" applyAlignment="1" applyProtection="1">
      <alignment horizontal="left" vertical="top" wrapText="1"/>
      <protection/>
    </xf>
    <xf numFmtId="0" fontId="66" fillId="0" borderId="0" xfId="0" applyFont="1" applyBorder="1" applyAlignment="1" applyProtection="1">
      <alignment/>
      <protection locked="0"/>
    </xf>
    <xf numFmtId="0" fontId="61" fillId="34" borderId="10" xfId="0" applyFont="1" applyFill="1" applyBorder="1" applyAlignment="1" applyProtection="1">
      <alignment horizontal="left" vertical="top" wrapText="1"/>
      <protection locked="0"/>
    </xf>
    <xf numFmtId="0" fontId="61" fillId="34" borderId="10" xfId="0" applyFont="1" applyFill="1" applyBorder="1" applyAlignment="1" applyProtection="1">
      <alignment horizontal="center" vertical="top" wrapText="1"/>
      <protection locked="0"/>
    </xf>
    <xf numFmtId="14" fontId="61" fillId="34" borderId="10" xfId="0" applyNumberFormat="1" applyFont="1" applyFill="1" applyBorder="1" applyAlignment="1" applyProtection="1">
      <alignment horizontal="center" vertical="top" wrapText="1"/>
      <protection locked="0"/>
    </xf>
    <xf numFmtId="0" fontId="0" fillId="0" borderId="0" xfId="0" applyAlignment="1">
      <alignment/>
    </xf>
    <xf numFmtId="0" fontId="61" fillId="0" borderId="0" xfId="0" applyFont="1" applyAlignment="1">
      <alignment/>
    </xf>
    <xf numFmtId="0" fontId="60" fillId="0" borderId="0" xfId="0" applyFont="1" applyAlignment="1">
      <alignment wrapText="1"/>
    </xf>
    <xf numFmtId="0" fontId="65" fillId="0" borderId="0" xfId="0" applyFont="1" applyAlignment="1" applyProtection="1">
      <alignment horizontal="right"/>
      <protection locked="0"/>
    </xf>
    <xf numFmtId="0" fontId="65"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7" fillId="0" borderId="0" xfId="0" applyFont="1" applyAlignment="1" applyProtection="1">
      <alignment horizontal="left"/>
      <protection/>
    </xf>
    <xf numFmtId="0" fontId="12" fillId="0" borderId="0" xfId="0" applyFont="1" applyAlignment="1">
      <alignment wrapText="1"/>
    </xf>
    <xf numFmtId="0" fontId="67" fillId="0" borderId="0" xfId="0" applyFont="1" applyBorder="1" applyAlignment="1" applyProtection="1">
      <alignment/>
      <protection locked="0"/>
    </xf>
    <xf numFmtId="0" fontId="62" fillId="2" borderId="12" xfId="0" applyFont="1" applyFill="1" applyBorder="1" applyAlignment="1" applyProtection="1">
      <alignment horizontal="center"/>
      <protection locked="0"/>
    </xf>
    <xf numFmtId="0" fontId="67" fillId="0" borderId="0" xfId="0" applyFont="1" applyAlignment="1" applyProtection="1">
      <alignment/>
      <protection locked="0"/>
    </xf>
    <xf numFmtId="0" fontId="62" fillId="0" borderId="0" xfId="0" applyFont="1" applyAlignment="1" applyProtection="1">
      <alignment/>
      <protection locked="0"/>
    </xf>
    <xf numFmtId="0" fontId="62" fillId="0" borderId="0" xfId="0" applyFont="1" applyAlignment="1" applyProtection="1">
      <alignment horizontal="center"/>
      <protection locked="0"/>
    </xf>
    <xf numFmtId="0" fontId="67" fillId="0" borderId="0" xfId="0" applyFont="1" applyAlignment="1" applyProtection="1">
      <alignment horizontal="center"/>
      <protection locked="0"/>
    </xf>
    <xf numFmtId="0" fontId="67" fillId="0" borderId="15" xfId="0" applyFont="1" applyBorder="1" applyAlignment="1" applyProtection="1">
      <alignment horizontal="right"/>
      <protection locked="0"/>
    </xf>
    <xf numFmtId="0" fontId="67" fillId="0" borderId="16" xfId="0" applyFont="1" applyBorder="1" applyAlignment="1" applyProtection="1">
      <alignment/>
      <protection locked="0"/>
    </xf>
    <xf numFmtId="0" fontId="67" fillId="0" borderId="17" xfId="0" applyFont="1" applyBorder="1" applyAlignment="1" applyProtection="1">
      <alignment/>
      <protection locked="0"/>
    </xf>
    <xf numFmtId="0" fontId="67" fillId="0" borderId="18" xfId="0" applyFont="1" applyBorder="1" applyAlignment="1" applyProtection="1">
      <alignment horizontal="right"/>
      <protection locked="0"/>
    </xf>
    <xf numFmtId="0" fontId="67" fillId="0" borderId="19" xfId="0" applyFont="1" applyBorder="1" applyAlignment="1" applyProtection="1">
      <alignment/>
      <protection locked="0"/>
    </xf>
    <xf numFmtId="9" fontId="67" fillId="0" borderId="18" xfId="0" applyNumberFormat="1" applyFont="1" applyBorder="1" applyAlignment="1" applyProtection="1">
      <alignment horizontal="right"/>
      <protection locked="0"/>
    </xf>
    <xf numFmtId="9" fontId="67" fillId="0" borderId="0" xfId="0" applyNumberFormat="1" applyFont="1" applyBorder="1" applyAlignment="1" applyProtection="1">
      <alignment/>
      <protection locked="0"/>
    </xf>
    <xf numFmtId="9" fontId="67" fillId="0" borderId="19" xfId="0" applyNumberFormat="1" applyFont="1" applyBorder="1" applyAlignment="1" applyProtection="1">
      <alignment/>
      <protection locked="0"/>
    </xf>
    <xf numFmtId="9" fontId="67" fillId="0" borderId="0" xfId="0" applyNumberFormat="1" applyFont="1" applyAlignment="1" applyProtection="1">
      <alignment/>
      <protection locked="0"/>
    </xf>
    <xf numFmtId="0" fontId="67" fillId="0" borderId="0" xfId="0" applyFont="1" applyAlignment="1" applyProtection="1">
      <alignment horizontal="right"/>
      <protection locked="0"/>
    </xf>
    <xf numFmtId="0" fontId="62" fillId="0" borderId="0" xfId="0" applyFont="1" applyBorder="1" applyAlignment="1" applyProtection="1">
      <alignment/>
      <protection locked="0"/>
    </xf>
    <xf numFmtId="0" fontId="62" fillId="0" borderId="0" xfId="0" applyFont="1" applyBorder="1" applyAlignment="1" applyProtection="1">
      <alignment horizontal="right"/>
      <protection locked="0"/>
    </xf>
    <xf numFmtId="0" fontId="62" fillId="0" borderId="20" xfId="0" applyFont="1" applyBorder="1" applyAlignment="1" applyProtection="1">
      <alignment/>
      <protection locked="0"/>
    </xf>
    <xf numFmtId="0" fontId="61" fillId="0" borderId="0" xfId="0" applyFont="1" applyAlignment="1">
      <alignment wrapText="1"/>
    </xf>
    <xf numFmtId="0" fontId="0" fillId="0" borderId="0" xfId="0" applyAlignment="1">
      <alignment/>
    </xf>
    <xf numFmtId="0" fontId="62" fillId="35" borderId="14" xfId="0" applyFont="1" applyFill="1" applyBorder="1" applyAlignment="1" applyProtection="1">
      <alignment horizontal="left"/>
      <protection locked="0"/>
    </xf>
    <xf numFmtId="0" fontId="62" fillId="35" borderId="21" xfId="0" applyFont="1" applyFill="1" applyBorder="1" applyAlignment="1" applyProtection="1">
      <alignment horizontal="left"/>
      <protection locked="0"/>
    </xf>
    <xf numFmtId="0" fontId="8" fillId="36" borderId="13" xfId="0" applyFont="1" applyFill="1" applyBorder="1" applyAlignment="1" applyProtection="1">
      <alignment horizontal="left"/>
      <protection locked="0"/>
    </xf>
    <xf numFmtId="0" fontId="62" fillId="36" borderId="22" xfId="0" applyFont="1" applyFill="1" applyBorder="1" applyAlignment="1" applyProtection="1">
      <alignment horizontal="left"/>
      <protection locked="0"/>
    </xf>
    <xf numFmtId="0" fontId="62" fillId="36" borderId="13" xfId="0" applyFont="1" applyFill="1" applyBorder="1" applyAlignment="1" applyProtection="1">
      <alignment horizontal="left" wrapText="1"/>
      <protection locked="0"/>
    </xf>
    <xf numFmtId="0" fontId="62" fillId="36" borderId="13" xfId="0" applyFont="1" applyFill="1" applyBorder="1" applyAlignment="1" applyProtection="1">
      <alignment/>
      <protection locked="0"/>
    </xf>
    <xf numFmtId="0" fontId="62" fillId="2" borderId="14" xfId="0" applyFont="1" applyFill="1" applyBorder="1" applyAlignment="1" applyProtection="1">
      <alignment wrapText="1"/>
      <protection locked="0"/>
    </xf>
    <xf numFmtId="0" fontId="59" fillId="0" borderId="0" xfId="0" applyFont="1" applyAlignment="1">
      <alignment horizontal="left" vertical="top"/>
    </xf>
    <xf numFmtId="0" fontId="0" fillId="0" borderId="0" xfId="0" applyAlignment="1">
      <alignment horizontal="left" vertical="top"/>
    </xf>
    <xf numFmtId="0" fontId="12" fillId="0" borderId="0" xfId="0" applyFont="1" applyAlignment="1">
      <alignment horizontal="left" vertical="top" wrapText="1"/>
    </xf>
    <xf numFmtId="0" fontId="37" fillId="0" borderId="13" xfId="0" applyFont="1" applyBorder="1" applyAlignment="1">
      <alignment wrapText="1"/>
    </xf>
    <xf numFmtId="0" fontId="12" fillId="0" borderId="23" xfId="0" applyFont="1" applyBorder="1" applyAlignment="1">
      <alignment wrapText="1"/>
    </xf>
    <xf numFmtId="0" fontId="12" fillId="0" borderId="14" xfId="0" applyFont="1" applyBorder="1" applyAlignment="1">
      <alignment wrapText="1"/>
    </xf>
    <xf numFmtId="0" fontId="62" fillId="2" borderId="24" xfId="0" applyFont="1" applyFill="1" applyBorder="1" applyAlignment="1" applyProtection="1">
      <alignment wrapText="1"/>
      <protection locked="0"/>
    </xf>
    <xf numFmtId="0" fontId="61" fillId="0" borderId="0" xfId="0" applyFont="1" applyAlignment="1">
      <alignment wrapText="1"/>
    </xf>
    <xf numFmtId="0" fontId="61" fillId="0" borderId="0" xfId="0" applyFont="1" applyAlignment="1">
      <alignment/>
    </xf>
    <xf numFmtId="0" fontId="61" fillId="34" borderId="11" xfId="0" applyFont="1" applyFill="1" applyBorder="1" applyAlignment="1" applyProtection="1">
      <alignment horizontal="left" vertical="top" wrapText="1"/>
      <protection locked="0"/>
    </xf>
    <xf numFmtId="0" fontId="67" fillId="34" borderId="10" xfId="0" applyFont="1" applyFill="1" applyBorder="1" applyAlignment="1" applyProtection="1">
      <alignment horizontal="left" vertical="center"/>
      <protection locked="0"/>
    </xf>
    <xf numFmtId="0" fontId="67" fillId="34" borderId="11" xfId="0" applyFont="1" applyFill="1" applyBorder="1" applyAlignment="1" applyProtection="1">
      <alignment horizontal="left" vertical="center"/>
      <protection locked="0"/>
    </xf>
    <xf numFmtId="0" fontId="67" fillId="11" borderId="10" xfId="0" applyFont="1" applyFill="1" applyBorder="1" applyAlignment="1" applyProtection="1">
      <alignment vertical="center"/>
      <protection locked="0"/>
    </xf>
    <xf numFmtId="0" fontId="67" fillId="35" borderId="10" xfId="0" applyFont="1" applyFill="1" applyBorder="1" applyAlignment="1" applyProtection="1">
      <alignment vertical="center"/>
      <protection locked="0"/>
    </xf>
    <xf numFmtId="0" fontId="67" fillId="0" borderId="10" xfId="0" applyFont="1" applyBorder="1" applyAlignment="1" applyProtection="1">
      <alignment horizontal="center" vertical="center"/>
      <protection locked="0"/>
    </xf>
    <xf numFmtId="9" fontId="67" fillId="0" borderId="10" xfId="0" applyNumberFormat="1"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2" borderId="11" xfId="0" applyFont="1" applyFill="1" applyBorder="1" applyAlignment="1" applyProtection="1">
      <alignment horizontal="left" vertical="center"/>
      <protection locked="0"/>
    </xf>
    <xf numFmtId="0" fontId="62" fillId="0" borderId="0" xfId="0" applyFont="1" applyAlignment="1" applyProtection="1">
      <alignment horizontal="left" vertical="center"/>
      <protection locked="0"/>
    </xf>
    <xf numFmtId="0" fontId="67" fillId="33" borderId="10" xfId="0" applyFont="1" applyFill="1" applyBorder="1" applyAlignment="1" applyProtection="1">
      <alignment horizontal="left" vertical="center"/>
      <protection locked="0"/>
    </xf>
    <xf numFmtId="0" fontId="67" fillId="2" borderId="10" xfId="0" applyFont="1" applyFill="1" applyBorder="1" applyAlignment="1" applyProtection="1">
      <alignment horizontal="left" vertical="center"/>
      <protection locked="0"/>
    </xf>
    <xf numFmtId="0" fontId="67" fillId="0" borderId="25" xfId="0" applyFont="1" applyBorder="1" applyAlignment="1" applyProtection="1">
      <alignment horizontal="left" vertical="center"/>
      <protection locked="0"/>
    </xf>
    <xf numFmtId="0" fontId="67" fillId="0" borderId="10" xfId="0" applyFont="1" applyBorder="1" applyAlignment="1" applyProtection="1">
      <alignment horizontal="center" vertical="center"/>
      <protection/>
    </xf>
    <xf numFmtId="0" fontId="68" fillId="0" borderId="0" xfId="0" applyFont="1" applyAlignment="1" applyProtection="1">
      <alignment/>
      <protection locked="0"/>
    </xf>
    <xf numFmtId="0" fontId="0" fillId="0" borderId="0" xfId="0" applyFont="1" applyAlignment="1" applyProtection="1">
      <alignment/>
      <protection locked="0"/>
    </xf>
    <xf numFmtId="0" fontId="65" fillId="0" borderId="0" xfId="0" applyFont="1" applyFill="1" applyBorder="1" applyAlignment="1">
      <alignment horizontal="left"/>
    </xf>
    <xf numFmtId="0" fontId="0" fillId="0" borderId="0" xfId="0" applyAlignment="1">
      <alignment/>
    </xf>
    <xf numFmtId="0" fontId="65" fillId="33" borderId="10" xfId="0" applyFont="1" applyFill="1" applyBorder="1" applyAlignment="1" applyProtection="1">
      <alignment horizontal="left"/>
      <protection/>
    </xf>
    <xf numFmtId="0" fontId="65" fillId="33" borderId="10" xfId="0" applyFont="1" applyFill="1" applyBorder="1" applyAlignment="1" applyProtection="1">
      <alignment horizontal="left" wrapText="1"/>
      <protection/>
    </xf>
    <xf numFmtId="0" fontId="61" fillId="0" borderId="0" xfId="0" applyFont="1" applyAlignment="1">
      <alignment/>
    </xf>
    <xf numFmtId="0" fontId="61" fillId="0" borderId="0" xfId="0" applyFont="1" applyAlignment="1" applyProtection="1">
      <alignment vertical="top" wrapText="1"/>
      <protection/>
    </xf>
    <xf numFmtId="0" fontId="0" fillId="0" borderId="0" xfId="0" applyAlignment="1" applyProtection="1">
      <alignment vertical="top" wrapText="1"/>
      <protection/>
    </xf>
    <xf numFmtId="0" fontId="62" fillId="36" borderId="14" xfId="0" applyFont="1" applyFill="1" applyBorder="1" applyAlignment="1" applyProtection="1">
      <alignment/>
      <protection locked="0"/>
    </xf>
    <xf numFmtId="0" fontId="62" fillId="0" borderId="0" xfId="0" applyFont="1" applyAlignment="1" applyProtection="1">
      <alignment/>
      <protection locked="0"/>
    </xf>
    <xf numFmtId="0" fontId="69" fillId="0" borderId="0" xfId="0" applyFont="1" applyFill="1" applyBorder="1" applyAlignment="1" applyProtection="1">
      <alignment/>
      <protection locked="0"/>
    </xf>
    <xf numFmtId="0" fontId="67" fillId="0" borderId="10" xfId="0" applyFont="1" applyFill="1" applyBorder="1" applyAlignment="1" applyProtection="1">
      <alignment horizontal="left" vertical="center"/>
      <protection locked="0"/>
    </xf>
    <xf numFmtId="9" fontId="4" fillId="0" borderId="14" xfId="0" applyNumberFormat="1" applyFont="1" applyBorder="1" applyAlignment="1" applyProtection="1" quotePrefix="1">
      <alignment horizontal="center" vertical="center" wrapText="1"/>
      <protection/>
    </xf>
    <xf numFmtId="9" fontId="4" fillId="0" borderId="13" xfId="0" applyNumberFormat="1" applyFont="1" applyBorder="1" applyAlignment="1" applyProtection="1" quotePrefix="1">
      <alignment horizontal="center" vertical="center" wrapText="1"/>
      <protection/>
    </xf>
    <xf numFmtId="9" fontId="4" fillId="0" borderId="14" xfId="0" applyNumberFormat="1" applyFont="1" applyBorder="1" applyAlignment="1" applyProtection="1">
      <alignment horizontal="center" vertical="center" wrapText="1"/>
      <protection/>
    </xf>
    <xf numFmtId="9" fontId="4" fillId="0" borderId="23" xfId="0" applyNumberFormat="1" applyFont="1" applyBorder="1" applyAlignment="1" applyProtection="1" quotePrefix="1">
      <alignment horizontal="center" vertical="center" wrapText="1"/>
      <protection/>
    </xf>
    <xf numFmtId="9" fontId="4" fillId="0" borderId="23" xfId="0" applyNumberFormat="1" applyFont="1" applyBorder="1" applyAlignment="1" applyProtection="1">
      <alignment horizontal="center" vertical="center" wrapText="1"/>
      <protection/>
    </xf>
    <xf numFmtId="0" fontId="0" fillId="0" borderId="16" xfId="0" applyBorder="1" applyAlignment="1">
      <alignment/>
    </xf>
    <xf numFmtId="0" fontId="0" fillId="0" borderId="17" xfId="0" applyBorder="1" applyAlignment="1">
      <alignment/>
    </xf>
    <xf numFmtId="0" fontId="65" fillId="0" borderId="15" xfId="0" applyFont="1" applyFill="1" applyBorder="1" applyAlignment="1" applyProtection="1">
      <alignment/>
      <protection locked="0"/>
    </xf>
    <xf numFmtId="9" fontId="4" fillId="0" borderId="13" xfId="0" applyNumberFormat="1" applyFont="1" applyBorder="1" applyAlignment="1" applyProtection="1" quotePrefix="1">
      <alignment horizontal="center" wrapText="1"/>
      <protection/>
    </xf>
    <xf numFmtId="9" fontId="4" fillId="0" borderId="10" xfId="0" applyNumberFormat="1" applyFont="1" applyBorder="1" applyAlignment="1" applyProtection="1" quotePrefix="1">
      <alignment horizontal="center" vertical="center" wrapText="1"/>
      <protection/>
    </xf>
    <xf numFmtId="9" fontId="4" fillId="0" borderId="23" xfId="0" applyNumberFormat="1" applyFont="1" applyBorder="1" applyAlignment="1" applyProtection="1" quotePrefix="1">
      <alignment horizontal="center" wrapText="1"/>
      <protection/>
    </xf>
    <xf numFmtId="9" fontId="4" fillId="0" borderId="13" xfId="0" applyNumberFormat="1" applyFont="1" applyBorder="1" applyAlignment="1" applyProtection="1">
      <alignment horizontal="center" wrapText="1"/>
      <protection/>
    </xf>
    <xf numFmtId="0" fontId="59" fillId="0" borderId="16" xfId="0" applyFont="1" applyBorder="1" applyAlignment="1">
      <alignment/>
    </xf>
    <xf numFmtId="0" fontId="59" fillId="0" borderId="17" xfId="0" applyFont="1" applyBorder="1" applyAlignment="1">
      <alignment/>
    </xf>
    <xf numFmtId="0" fontId="61" fillId="0" borderId="26" xfId="0" applyFont="1" applyBorder="1" applyAlignment="1" applyProtection="1">
      <alignment horizontal="left" vertical="top" wrapText="1"/>
      <protection/>
    </xf>
    <xf numFmtId="0" fontId="61" fillId="0" borderId="27" xfId="0" applyFont="1" applyBorder="1" applyAlignment="1" applyProtection="1">
      <alignment horizontal="left" vertical="top" wrapText="1"/>
      <protection/>
    </xf>
    <xf numFmtId="0" fontId="61" fillId="0" borderId="21" xfId="0" applyFont="1" applyBorder="1" applyAlignment="1" applyProtection="1">
      <alignment horizontal="left" vertical="top"/>
      <protection/>
    </xf>
    <xf numFmtId="0" fontId="0" fillId="0" borderId="28" xfId="0" applyBorder="1" applyAlignment="1">
      <alignment/>
    </xf>
    <xf numFmtId="0" fontId="61" fillId="0" borderId="18" xfId="0" applyFont="1" applyBorder="1" applyAlignment="1">
      <alignment/>
    </xf>
    <xf numFmtId="0" fontId="59" fillId="0" borderId="28" xfId="0" applyFont="1" applyBorder="1" applyAlignment="1">
      <alignment/>
    </xf>
    <xf numFmtId="0" fontId="69" fillId="0" borderId="0" xfId="0" applyFont="1" applyFill="1" applyBorder="1" applyAlignment="1" applyProtection="1">
      <alignment/>
      <protection locked="0"/>
    </xf>
    <xf numFmtId="0" fontId="62" fillId="0" borderId="0" xfId="0" applyFont="1" applyAlignment="1" applyProtection="1">
      <alignment/>
      <protection locked="0"/>
    </xf>
    <xf numFmtId="0" fontId="7" fillId="2" borderId="10" xfId="0" applyFont="1" applyFill="1" applyBorder="1" applyAlignment="1" applyProtection="1">
      <alignment vertical="top" wrapText="1"/>
      <protection/>
    </xf>
    <xf numFmtId="0" fontId="4" fillId="2" borderId="10" xfId="0" applyFont="1" applyFill="1" applyBorder="1" applyAlignment="1" applyProtection="1">
      <alignment horizontal="left" vertical="top" wrapText="1"/>
      <protection/>
    </xf>
    <xf numFmtId="0" fontId="4" fillId="2" borderId="10" xfId="0" applyFont="1" applyFill="1" applyBorder="1" applyAlignment="1" applyProtection="1">
      <alignment vertical="top" wrapText="1"/>
      <protection locked="0"/>
    </xf>
    <xf numFmtId="0" fontId="4" fillId="2" borderId="1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63" fillId="0" borderId="0" xfId="0" applyFont="1" applyBorder="1" applyAlignment="1" applyProtection="1">
      <alignment/>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61" fillId="0" borderId="0" xfId="0" applyFont="1" applyBorder="1" applyAlignment="1" applyProtection="1">
      <alignment vertical="top" wrapText="1"/>
      <protection locked="0"/>
    </xf>
    <xf numFmtId="0" fontId="0" fillId="0" borderId="0" xfId="0" applyAlignment="1">
      <alignment vertical="top" wrapText="1"/>
    </xf>
    <xf numFmtId="0" fontId="61" fillId="0" borderId="0" xfId="0" applyNumberFormat="1" applyFont="1" applyAlignment="1" applyProtection="1">
      <alignment wrapText="1"/>
      <protection/>
    </xf>
    <xf numFmtId="0" fontId="0" fillId="0" borderId="0" xfId="0" applyAlignment="1" applyProtection="1">
      <alignment wrapText="1"/>
      <protection/>
    </xf>
    <xf numFmtId="0" fontId="61" fillId="0" borderId="0" xfId="0" applyFont="1" applyBorder="1" applyAlignment="1" applyProtection="1">
      <alignment vertical="top" wrapText="1"/>
      <protection/>
    </xf>
    <xf numFmtId="0" fontId="61" fillId="0" borderId="0" xfId="0" applyFont="1" applyBorder="1" applyAlignment="1" applyProtection="1">
      <alignment horizontal="left" vertical="top" wrapText="1"/>
      <protection/>
    </xf>
    <xf numFmtId="0" fontId="67" fillId="0" borderId="26" xfId="0" applyNumberFormat="1" applyFont="1" applyFill="1" applyBorder="1" applyAlignment="1" applyProtection="1">
      <alignment wrapText="1"/>
      <protection locked="0"/>
    </xf>
    <xf numFmtId="0" fontId="0" fillId="0" borderId="26" xfId="0" applyBorder="1" applyAlignment="1">
      <alignment/>
    </xf>
    <xf numFmtId="0" fontId="61" fillId="0" borderId="0" xfId="0" applyFont="1" applyBorder="1" applyAlignment="1" applyProtection="1">
      <alignment/>
      <protection locked="0"/>
    </xf>
    <xf numFmtId="0" fontId="0" fillId="0" borderId="0" xfId="0" applyAlignment="1">
      <alignment/>
    </xf>
    <xf numFmtId="0" fontId="70" fillId="0" borderId="0" xfId="0" applyFont="1" applyFill="1" applyBorder="1" applyAlignment="1" applyProtection="1">
      <alignment wrapText="1"/>
      <protection/>
    </xf>
    <xf numFmtId="0" fontId="0" fillId="0" borderId="0" xfId="0" applyAlignment="1">
      <alignment wrapText="1"/>
    </xf>
    <xf numFmtId="0" fontId="61" fillId="0" borderId="0" xfId="0" applyFont="1" applyFill="1" applyBorder="1" applyAlignment="1" applyProtection="1">
      <alignment wrapText="1"/>
      <protection/>
    </xf>
    <xf numFmtId="0" fontId="61" fillId="0" borderId="0" xfId="0" applyNumberFormat="1" applyFont="1" applyFill="1" applyBorder="1" applyAlignment="1" applyProtection="1">
      <alignment wrapText="1"/>
      <protection/>
    </xf>
    <xf numFmtId="0" fontId="10" fillId="0" borderId="0" xfId="0" applyFont="1" applyAlignment="1" applyProtection="1">
      <alignment/>
      <protection locked="0"/>
    </xf>
    <xf numFmtId="0" fontId="0" fillId="0" borderId="0" xfId="0" applyFont="1" applyAlignment="1">
      <alignment/>
    </xf>
    <xf numFmtId="0" fontId="10" fillId="0" borderId="0" xfId="0" applyFont="1" applyAlignment="1" applyProtection="1">
      <alignment wrapText="1"/>
      <protection locked="0"/>
    </xf>
    <xf numFmtId="0" fontId="0" fillId="0" borderId="0" xfId="0" applyFont="1" applyAlignment="1">
      <alignment wrapText="1"/>
    </xf>
    <xf numFmtId="0" fontId="67" fillId="0" borderId="0" xfId="0" applyFont="1" applyAlignment="1" applyProtection="1">
      <alignment/>
      <protection locked="0"/>
    </xf>
    <xf numFmtId="0" fontId="70" fillId="0" borderId="0" xfId="0" applyFont="1" applyFill="1" applyBorder="1" applyAlignment="1" applyProtection="1">
      <alignment/>
      <protection locked="0"/>
    </xf>
    <xf numFmtId="0" fontId="69" fillId="0" borderId="0" xfId="0" applyFont="1" applyFill="1" applyBorder="1" applyAlignment="1" applyProtection="1">
      <alignment/>
      <protection locked="0"/>
    </xf>
    <xf numFmtId="0" fontId="62" fillId="0" borderId="0" xfId="0" applyFont="1" applyAlignment="1" applyProtection="1">
      <alignment/>
      <protection locked="0"/>
    </xf>
    <xf numFmtId="0" fontId="71" fillId="0" borderId="0" xfId="0" applyFont="1" applyFill="1" applyBorder="1" applyAlignment="1">
      <alignment horizontal="left" vertical="top" wrapText="1"/>
    </xf>
    <xf numFmtId="0" fontId="72" fillId="0" borderId="0" xfId="0" applyFont="1" applyAlignment="1">
      <alignment horizontal="left" vertical="top" wrapText="1"/>
    </xf>
    <xf numFmtId="0" fontId="72" fillId="0" borderId="0" xfId="0" applyFont="1" applyAlignment="1">
      <alignment horizontal="left"/>
    </xf>
    <xf numFmtId="0" fontId="61"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70" fillId="0" borderId="0" xfId="0" applyFont="1" applyAlignment="1">
      <alignment horizontal="left" wrapText="1"/>
    </xf>
    <xf numFmtId="0" fontId="0" fillId="0" borderId="0" xfId="0" applyAlignment="1">
      <alignment horizontal="left" wrapText="1"/>
    </xf>
    <xf numFmtId="0" fontId="61" fillId="0" borderId="0" xfId="0" applyFont="1" applyAlignment="1">
      <alignment/>
    </xf>
    <xf numFmtId="0" fontId="61" fillId="0" borderId="0" xfId="0" applyFont="1" applyAlignment="1">
      <alignment wrapText="1"/>
    </xf>
    <xf numFmtId="0" fontId="61" fillId="0" borderId="26" xfId="0" applyFont="1" applyBorder="1" applyAlignment="1" applyProtection="1">
      <alignment/>
      <protection locked="0"/>
    </xf>
    <xf numFmtId="0" fontId="0" fillId="0" borderId="26" xfId="0" applyFont="1" applyBorder="1" applyAlignment="1">
      <alignment/>
    </xf>
    <xf numFmtId="0" fontId="61" fillId="0" borderId="15" xfId="0" applyFont="1" applyBorder="1" applyAlignment="1" applyProtection="1">
      <alignment vertical="top" wrapText="1"/>
      <protection/>
    </xf>
    <xf numFmtId="0" fontId="0" fillId="0" borderId="16" xfId="0" applyBorder="1" applyAlignment="1">
      <alignment vertical="top" wrapText="1"/>
    </xf>
    <xf numFmtId="0" fontId="0" fillId="0" borderId="17" xfId="0" applyBorder="1" applyAlignment="1">
      <alignment vertical="top" wrapText="1"/>
    </xf>
    <xf numFmtId="0" fontId="73" fillId="0" borderId="11" xfId="0" applyFont="1" applyFill="1" applyBorder="1" applyAlignment="1" applyProtection="1">
      <alignment wrapText="1"/>
      <protection locked="0"/>
    </xf>
    <xf numFmtId="0" fontId="73" fillId="0" borderId="25" xfId="0" applyFont="1" applyFill="1" applyBorder="1" applyAlignment="1" applyProtection="1">
      <alignment wrapText="1"/>
      <protection locked="0"/>
    </xf>
    <xf numFmtId="0" fontId="73" fillId="0" borderId="28" xfId="0" applyFont="1" applyFill="1" applyBorder="1" applyAlignment="1" applyProtection="1">
      <alignment wrapText="1"/>
      <protection locked="0"/>
    </xf>
    <xf numFmtId="0" fontId="61" fillId="0" borderId="11" xfId="0" applyFont="1" applyBorder="1" applyAlignment="1" applyProtection="1">
      <alignment vertical="top" wrapText="1"/>
      <protection/>
    </xf>
    <xf numFmtId="0" fontId="61" fillId="0" borderId="25" xfId="0" applyFont="1" applyBorder="1" applyAlignment="1" applyProtection="1">
      <alignment vertical="top" wrapText="1"/>
      <protection/>
    </xf>
    <xf numFmtId="0" fontId="61" fillId="0" borderId="28" xfId="0" applyFont="1" applyBorder="1" applyAlignment="1" applyProtection="1">
      <alignment vertical="top" wrapText="1"/>
      <protection/>
    </xf>
    <xf numFmtId="0" fontId="61" fillId="0" borderId="21" xfId="0" applyFont="1" applyBorder="1" applyAlignment="1" applyProtection="1">
      <alignment vertical="top" wrapText="1"/>
      <protection/>
    </xf>
    <xf numFmtId="0" fontId="61" fillId="0" borderId="26" xfId="0" applyFont="1" applyBorder="1" applyAlignment="1" applyProtection="1">
      <alignment vertical="top" wrapText="1"/>
      <protection/>
    </xf>
    <xf numFmtId="0" fontId="61" fillId="0" borderId="27" xfId="0" applyFont="1" applyBorder="1" applyAlignment="1" applyProtection="1">
      <alignment vertical="top" wrapText="1"/>
      <protection/>
    </xf>
    <xf numFmtId="0" fontId="0" fillId="0" borderId="25" xfId="0" applyBorder="1" applyAlignment="1">
      <alignment vertical="top" wrapText="1"/>
    </xf>
    <xf numFmtId="0" fontId="0" fillId="0" borderId="28" xfId="0" applyBorder="1" applyAlignment="1">
      <alignment vertical="top" wrapText="1"/>
    </xf>
    <xf numFmtId="0" fontId="61" fillId="0" borderId="0" xfId="0" applyFont="1" applyAlignment="1" applyProtection="1">
      <alignment/>
      <protection locked="0"/>
    </xf>
    <xf numFmtId="0" fontId="65" fillId="33" borderId="11" xfId="0" applyFont="1" applyFill="1" applyBorder="1" applyAlignment="1" applyProtection="1">
      <alignment/>
      <protection locked="0"/>
    </xf>
    <xf numFmtId="0" fontId="0" fillId="0" borderId="25" xfId="0" applyBorder="1" applyAlignment="1">
      <alignment/>
    </xf>
    <xf numFmtId="0" fontId="0" fillId="0" borderId="28" xfId="0" applyBorder="1" applyAlignment="1">
      <alignment/>
    </xf>
    <xf numFmtId="0" fontId="61" fillId="0" borderId="18" xfId="0" applyFont="1" applyBorder="1" applyAlignment="1" applyProtection="1">
      <alignment vertical="top" wrapText="1"/>
      <protection/>
    </xf>
    <xf numFmtId="0" fontId="61" fillId="0" borderId="19" xfId="0" applyFont="1" applyBorder="1" applyAlignment="1" applyProtection="1">
      <alignment vertical="top" wrapText="1"/>
      <protection/>
    </xf>
    <xf numFmtId="0" fontId="61" fillId="0" borderId="18" xfId="0" applyFont="1" applyBorder="1" applyAlignment="1" applyProtection="1">
      <alignment horizontal="left" vertical="top" wrapText="1"/>
      <protection/>
    </xf>
    <xf numFmtId="0" fontId="61" fillId="0" borderId="19" xfId="0" applyFont="1" applyBorder="1" applyAlignment="1" applyProtection="1">
      <alignment horizontal="left" vertical="top" wrapText="1"/>
      <protection/>
    </xf>
    <xf numFmtId="0" fontId="61" fillId="0" borderId="0" xfId="0" applyFont="1" applyBorder="1" applyAlignment="1" applyProtection="1">
      <alignment wrapText="1"/>
      <protection locked="0"/>
    </xf>
    <xf numFmtId="0" fontId="0" fillId="0" borderId="0" xfId="0" applyFont="1" applyAlignment="1" applyProtection="1">
      <alignment/>
      <protection locked="0"/>
    </xf>
    <xf numFmtId="0" fontId="70" fillId="0" borderId="0" xfId="0" applyFont="1" applyFill="1" applyBorder="1" applyAlignment="1" applyProtection="1">
      <alignment/>
      <protection/>
    </xf>
    <xf numFmtId="0" fontId="74" fillId="0" borderId="0" xfId="0" applyFont="1" applyFill="1" applyAlignment="1" applyProtection="1">
      <alignment/>
      <protection/>
    </xf>
    <xf numFmtId="0" fontId="61" fillId="34" borderId="11" xfId="0" applyFont="1" applyFill="1" applyBorder="1" applyAlignment="1" applyProtection="1">
      <alignment horizontal="left" vertical="top" wrapText="1"/>
      <protection locked="0"/>
    </xf>
    <xf numFmtId="0" fontId="61" fillId="34" borderId="28" xfId="0" applyFont="1" applyFill="1" applyBorder="1" applyAlignment="1" applyProtection="1">
      <alignment horizontal="left" vertical="top" wrapText="1"/>
      <protection locked="0"/>
    </xf>
    <xf numFmtId="0" fontId="61" fillId="0" borderId="0" xfId="0" applyFont="1" applyBorder="1" applyAlignment="1" applyProtection="1">
      <alignment wrapText="1"/>
      <protection/>
    </xf>
    <xf numFmtId="0" fontId="0" fillId="0" borderId="0" xfId="0" applyFont="1" applyAlignment="1" applyProtection="1">
      <alignment/>
      <protection/>
    </xf>
    <xf numFmtId="0" fontId="53"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0">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NICE\NICE%20Templates\Implementation%20tools\Technology%20appraisals\TA%20clinical%20audit%20tool%20template%20Ap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TA33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2"/>
  <dimension ref="A1:C20"/>
  <sheetViews>
    <sheetView zoomScalePageLayoutView="0" workbookViewId="0" topLeftCell="A1">
      <selection activeCell="D6" sqref="D6"/>
    </sheetView>
  </sheetViews>
  <sheetFormatPr defaultColWidth="8.8515625" defaultRowHeight="15"/>
  <cols>
    <col min="1" max="1" width="24.421875" style="0" bestFit="1" customWidth="1"/>
    <col min="2" max="2" width="66.140625" style="30" customWidth="1"/>
    <col min="3" max="3" width="64.421875" style="0" bestFit="1" customWidth="1"/>
    <col min="4" max="4" width="8.8515625" style="0" customWidth="1"/>
    <col min="5" max="5" width="67.421875" style="0" customWidth="1"/>
  </cols>
  <sheetData>
    <row r="1" spans="1:3" s="28" customFormat="1" ht="15">
      <c r="A1" s="65" t="s">
        <v>56</v>
      </c>
      <c r="B1" s="65" t="s">
        <v>57</v>
      </c>
      <c r="C1" s="65" t="s">
        <v>55</v>
      </c>
    </row>
    <row r="2" spans="1:3" s="91" customFormat="1" ht="15">
      <c r="A2" s="66" t="s">
        <v>103</v>
      </c>
      <c r="B2" s="67" t="s">
        <v>111</v>
      </c>
      <c r="C2" s="66" t="s">
        <v>85</v>
      </c>
    </row>
    <row r="3" spans="1:3" s="57" customFormat="1" ht="15">
      <c r="A3" s="66" t="s">
        <v>104</v>
      </c>
      <c r="B3" s="67" t="s">
        <v>157</v>
      </c>
      <c r="C3" s="66" t="s">
        <v>108</v>
      </c>
    </row>
    <row r="4" spans="1:3" s="28" customFormat="1" ht="15">
      <c r="A4" s="66" t="s">
        <v>105</v>
      </c>
      <c r="B4" s="67">
        <v>330</v>
      </c>
      <c r="C4" s="66" t="s">
        <v>64</v>
      </c>
    </row>
    <row r="5" spans="1:3" s="28" customFormat="1" ht="15">
      <c r="A5" s="66" t="s">
        <v>51</v>
      </c>
      <c r="B5" s="67">
        <v>2015</v>
      </c>
      <c r="C5" s="66" t="s">
        <v>64</v>
      </c>
    </row>
    <row r="6" spans="1:3" ht="30">
      <c r="A6" s="66" t="s">
        <v>46</v>
      </c>
      <c r="B6" s="67" t="s">
        <v>166</v>
      </c>
      <c r="C6" s="66" t="s">
        <v>109</v>
      </c>
    </row>
    <row r="7" spans="1:3" ht="48" customHeight="1">
      <c r="A7" s="66" t="s">
        <v>54</v>
      </c>
      <c r="B7" s="67" t="s">
        <v>135</v>
      </c>
      <c r="C7" s="66" t="s">
        <v>63</v>
      </c>
    </row>
    <row r="8" spans="1:3" ht="15">
      <c r="A8" s="66" t="s">
        <v>47</v>
      </c>
      <c r="B8" s="67" t="s">
        <v>136</v>
      </c>
      <c r="C8" s="66" t="s">
        <v>63</v>
      </c>
    </row>
    <row r="9" spans="1:3" ht="42" customHeight="1">
      <c r="A9" s="66" t="s">
        <v>43</v>
      </c>
      <c r="B9" s="67" t="s">
        <v>156</v>
      </c>
      <c r="C9" s="66" t="s">
        <v>63</v>
      </c>
    </row>
    <row r="10" spans="1:3" ht="30">
      <c r="A10" s="66" t="s">
        <v>70</v>
      </c>
      <c r="B10" s="36" t="s">
        <v>137</v>
      </c>
      <c r="C10" s="66" t="s">
        <v>72</v>
      </c>
    </row>
    <row r="11" spans="2:3" ht="30">
      <c r="B11" s="36" t="s">
        <v>158</v>
      </c>
      <c r="C11" s="66" t="s">
        <v>71</v>
      </c>
    </row>
    <row r="12" spans="2:3" ht="15">
      <c r="B12" s="36" t="s">
        <v>74</v>
      </c>
      <c r="C12" s="66" t="s">
        <v>71</v>
      </c>
    </row>
    <row r="13" spans="2:3" ht="15">
      <c r="B13" s="36" t="s">
        <v>74</v>
      </c>
      <c r="C13" s="66" t="s">
        <v>71</v>
      </c>
    </row>
    <row r="14" ht="15.75" thickBot="1"/>
    <row r="15" ht="15">
      <c r="B15" s="68" t="s">
        <v>75</v>
      </c>
    </row>
    <row r="16" s="57" customFormat="1" ht="30">
      <c r="B16" s="69" t="s">
        <v>100</v>
      </c>
    </row>
    <row r="17" ht="30">
      <c r="B17" s="69" t="s">
        <v>76</v>
      </c>
    </row>
    <row r="18" ht="30">
      <c r="B18" s="69" t="s">
        <v>77</v>
      </c>
    </row>
    <row r="19" s="57" customFormat="1" ht="15">
      <c r="B19" s="69" t="s">
        <v>86</v>
      </c>
    </row>
    <row r="20" ht="15.75" thickBot="1">
      <c r="B20" s="70" t="s">
        <v>73</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A1"/>
  <sheetViews>
    <sheetView showGridLines="0" tabSelected="1" zoomScale="110" zoomScaleNormal="110" zoomScalePageLayoutView="0" workbookViewId="0" topLeftCell="A1">
      <selection activeCell="A1" sqref="A1"/>
    </sheetView>
  </sheetViews>
  <sheetFormatPr defaultColWidth="9.140625" defaultRowHeight="15"/>
  <cols>
    <col min="1" max="16384" width="9.140625" style="91"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9" r:id="rId3"/>
  <legacyDrawing r:id="rId2"/>
  <oleObjects>
    <oleObject progId="Document" shapeId="25377162"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31"/>
  <sheetViews>
    <sheetView showGridLines="0" zoomScalePageLayoutView="0" workbookViewId="0" topLeftCell="A1">
      <selection activeCell="A1" sqref="A1"/>
    </sheetView>
  </sheetViews>
  <sheetFormatPr defaultColWidth="9.140625" defaultRowHeight="15"/>
  <cols>
    <col min="1" max="1" width="9.00390625" style="6" customWidth="1"/>
    <col min="2" max="2" width="23.7109375" style="6" bestFit="1" customWidth="1"/>
    <col min="3" max="3" width="72.28125" style="7" customWidth="1"/>
    <col min="4" max="16384" width="9.140625" style="6" customWidth="1"/>
  </cols>
  <sheetData>
    <row r="1" spans="2:3" s="2" customFormat="1" ht="26.25" customHeight="1">
      <c r="B1" s="127" t="str">
        <f>'Hidden sheet'!B2&amp;" clinical audit"</f>
        <v>Sofosbuvir for treating chronic hepatitis C clinical audit</v>
      </c>
      <c r="C1" s="128"/>
    </row>
    <row r="3" spans="2:3" s="4" customFormat="1" ht="30" customHeight="1">
      <c r="B3" s="136" t="str">
        <f>"This clinical audit tool can be used to carry out a clinical audit project that aims "&amp;('Hidden sheet'!B6)&amp;"."</f>
        <v>This clinical audit tool can be used to carry out a clinical audit project that aims to improve the appropriate use of sofosbuvir for treating chronic hepatitis C.</v>
      </c>
      <c r="C3" s="136"/>
    </row>
    <row r="4" spans="2:3" s="4" customFormat="1" ht="14.25">
      <c r="B4" s="10"/>
      <c r="C4" s="12"/>
    </row>
    <row r="5" spans="2:3" s="4" customFormat="1" ht="59.25" customHeight="1">
      <c r="B5" s="136" t="str">
        <f>"The tool includes:
• clinical audit standards based on the NICE technology appraisal guidance for "&amp;'Hidden sheet'!B3</f>
        <v>The tool includes:
• clinical audit standards based on the NICE technology appraisal guidance for sofosbuvir for treating chronic hepatitis C</v>
      </c>
      <c r="C5" s="136"/>
    </row>
    <row r="6" spans="2:3" s="4" customFormat="1" ht="73.5" customHeight="1">
      <c r="B6" s="137" t="s">
        <v>92</v>
      </c>
      <c r="C6" s="137"/>
    </row>
    <row r="7" spans="2:3" s="4" customFormat="1" ht="15" customHeight="1">
      <c r="B7" s="137"/>
      <c r="C7" s="137"/>
    </row>
    <row r="8" spans="2:5" s="9" customFormat="1" ht="18">
      <c r="B8" s="129" t="s">
        <v>80</v>
      </c>
      <c r="C8" s="129"/>
      <c r="E8" s="24"/>
    </row>
    <row r="9" s="4" customFormat="1" ht="15" thickBot="1">
      <c r="C9" s="8"/>
    </row>
    <row r="10" spans="2:3" s="4" customFormat="1" ht="45" customHeight="1" thickBot="1">
      <c r="B10" s="22" t="s">
        <v>54</v>
      </c>
      <c r="C10" s="21" t="str">
        <f>"The audit could be carried out in the following services: "&amp;'Hidden sheet'!B7&amp;"."</f>
        <v>The audit could be carried out in the following services: any services providing treatment for people with hepatitis C.</v>
      </c>
    </row>
    <row r="11" spans="2:3" s="4" customFormat="1" ht="60" customHeight="1" thickBot="1">
      <c r="B11" s="22" t="s">
        <v>53</v>
      </c>
      <c r="C11" s="21" t="str">
        <f>"The audit should involve clinical and non-clinical stakeholders, who may include "&amp;'Hidden sheet'!B8&amp;"."</f>
        <v>The audit should involve clinical and non-clinical stakeholders, who may include prescribing clinicians and pharmacists, clinical audit staff and patients.</v>
      </c>
    </row>
    <row r="12" spans="2:3" s="4" customFormat="1" ht="47.25" customHeight="1" thickBot="1">
      <c r="B12" s="22" t="s">
        <v>13</v>
      </c>
      <c r="C12" s="18" t="str">
        <f>"The audit sample should include "&amp;'Hidden sheet'!B9&amp;"."</f>
        <v>The audit sample should include adults having sofosbuvir in combination with peginterferon alfa and ribavirin or in combination with ribavirin alone for chronic hepatitis C.</v>
      </c>
    </row>
    <row r="13" spans="2:3" s="4" customFormat="1" ht="14.25">
      <c r="B13" s="10"/>
      <c r="C13" s="11"/>
    </row>
    <row r="14" spans="2:3" s="4" customFormat="1" ht="18">
      <c r="B14" s="129" t="s">
        <v>68</v>
      </c>
      <c r="C14" s="129"/>
    </row>
    <row r="15" s="4" customFormat="1" ht="15" thickBot="1"/>
    <row r="16" spans="2:3" s="4" customFormat="1" ht="129" thickBot="1">
      <c r="B16" s="22" t="s">
        <v>83</v>
      </c>
      <c r="C16" s="18" t="s">
        <v>159</v>
      </c>
    </row>
    <row r="17" spans="2:3" s="4" customFormat="1" ht="30" customHeight="1" thickBot="1">
      <c r="B17" s="23" t="s">
        <v>88</v>
      </c>
      <c r="C17" s="19" t="s">
        <v>84</v>
      </c>
    </row>
    <row r="18" spans="2:3" s="4" customFormat="1" ht="30" customHeight="1" thickBot="1">
      <c r="B18" s="23" t="s">
        <v>89</v>
      </c>
      <c r="C18" s="19" t="s">
        <v>101</v>
      </c>
    </row>
    <row r="19" spans="2:3" s="4" customFormat="1" ht="57.75" thickBot="1">
      <c r="B19" s="23" t="s">
        <v>90</v>
      </c>
      <c r="C19" s="19" t="s">
        <v>102</v>
      </c>
    </row>
    <row r="20" spans="2:3" s="4" customFormat="1" ht="15" customHeight="1" thickBot="1">
      <c r="B20" s="23" t="s">
        <v>39</v>
      </c>
      <c r="C20" s="18" t="s">
        <v>107</v>
      </c>
    </row>
    <row r="21" spans="2:3" s="4" customFormat="1" ht="30" customHeight="1" thickBot="1">
      <c r="B21" s="22" t="s">
        <v>82</v>
      </c>
      <c r="C21" s="20" t="s">
        <v>81</v>
      </c>
    </row>
    <row r="22" spans="2:3" s="4" customFormat="1" ht="14.25">
      <c r="B22" s="10"/>
      <c r="C22" s="12"/>
    </row>
    <row r="23" spans="2:3" s="4" customFormat="1" ht="30" customHeight="1">
      <c r="B23" s="132" t="s">
        <v>69</v>
      </c>
      <c r="C23" s="133"/>
    </row>
    <row r="24" spans="2:3" s="4" customFormat="1" ht="15" customHeight="1">
      <c r="B24" s="132" t="str">
        <f>'Hidden sheet'!B10</f>
        <v>Tracy Turner, Head of Clinical Effectiveness, Basildon &amp; Thurrock University Hospitals NHS Foundation Trust</v>
      </c>
      <c r="C24" s="133"/>
    </row>
    <row r="25" spans="2:3" s="4" customFormat="1" ht="15" customHeight="1">
      <c r="B25" s="132" t="str">
        <f>'Hidden sheet'!B11</f>
        <v>Xin Hui Chan, Infection Diseases Registrar, Oxford University Hospitals NHS Trust</v>
      </c>
      <c r="C25" s="133"/>
    </row>
    <row r="26" spans="2:3" s="4" customFormat="1" ht="14.25">
      <c r="B26" s="10"/>
      <c r="C26" s="12"/>
    </row>
    <row r="27" spans="2:3" ht="30" customHeight="1">
      <c r="B27" s="130" t="s">
        <v>110</v>
      </c>
      <c r="C27" s="131"/>
    </row>
    <row r="28" spans="2:3" ht="15" customHeight="1">
      <c r="B28" s="95"/>
      <c r="C28" s="96"/>
    </row>
    <row r="29" spans="2:3" ht="72" customHeight="1">
      <c r="B29" s="134" t="s">
        <v>96</v>
      </c>
      <c r="C29" s="135"/>
    </row>
    <row r="30" ht="15">
      <c r="B30" s="2"/>
    </row>
    <row r="31" spans="2:3" ht="45" customHeight="1">
      <c r="B31" s="134" t="str">
        <f>"© National Institute for Health and Care Excellence, "&amp;'Hidden sheet'!B5&amp;".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v>
      </c>
      <c r="C31" s="135"/>
    </row>
  </sheetData>
  <sheetProtection formatCells="0" formatRows="0" insertRows="0" deleteRows="0"/>
  <mergeCells count="13">
    <mergeCell ref="B31:C31"/>
    <mergeCell ref="B3:C3"/>
    <mergeCell ref="B6:C6"/>
    <mergeCell ref="B8:C8"/>
    <mergeCell ref="B7:C7"/>
    <mergeCell ref="B5:C5"/>
    <mergeCell ref="B29:C29"/>
    <mergeCell ref="B1:C1"/>
    <mergeCell ref="B14:C14"/>
    <mergeCell ref="B27:C27"/>
    <mergeCell ref="B23:C23"/>
    <mergeCell ref="B24:C24"/>
    <mergeCell ref="B25:C25"/>
  </mergeCells>
  <hyperlinks>
    <hyperlink ref="C21" r:id="rId1" display="To ask a question about this clinical audit tool, or to provide feedback to help inform the development of future tools, please email auditsupport@nice.org.uk."/>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ignoredErrors>
    <ignoredError sqref="B24:C25" unlockedFormula="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B1:F16"/>
  <sheetViews>
    <sheetView showGridLines="0" zoomScalePageLayoutView="90" workbookViewId="0" topLeftCell="A1">
      <selection activeCell="A1" sqref="A1"/>
    </sheetView>
  </sheetViews>
  <sheetFormatPr defaultColWidth="9.140625" defaultRowHeight="15"/>
  <cols>
    <col min="1" max="1" width="9.140625" style="2" customWidth="1"/>
    <col min="2" max="2" width="52.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23.25" customHeight="1">
      <c r="B1" s="142" t="str">
        <f>"Standards for "&amp;'Hidden sheet'!B3</f>
        <v>Standards for sofosbuvir for treating chronic hepatitis C</v>
      </c>
      <c r="C1" s="143"/>
      <c r="D1" s="143"/>
      <c r="E1" s="143"/>
      <c r="F1" s="143"/>
    </row>
    <row r="2" s="4" customFormat="1" ht="14.25"/>
    <row r="3" spans="2:6" s="4" customFormat="1" ht="15" customHeight="1">
      <c r="B3" s="144" t="str">
        <f>"The audit standards are based on the NICE technology appraisal guidance "&amp;'Hidden sheet'!B3&amp;"."</f>
        <v>The audit standards are based on the NICE technology appraisal guidance sofosbuvir for treating chronic hepatitis C.</v>
      </c>
      <c r="C3" s="144"/>
      <c r="D3" s="144"/>
      <c r="E3" s="144"/>
      <c r="F3" s="141"/>
    </row>
    <row r="4" spans="2:6" s="4" customFormat="1" ht="15">
      <c r="B4" s="140"/>
      <c r="C4" s="141"/>
      <c r="D4" s="141"/>
      <c r="E4" s="141"/>
      <c r="F4" s="141"/>
    </row>
    <row r="5" spans="2:6" s="4" customFormat="1" ht="27.75" customHeight="1">
      <c r="B5" s="144" t="s">
        <v>93</v>
      </c>
      <c r="C5" s="144"/>
      <c r="D5" s="144"/>
      <c r="E5" s="144"/>
      <c r="F5" s="141"/>
    </row>
    <row r="6" spans="2:6" s="4" customFormat="1" ht="15">
      <c r="B6" s="140"/>
      <c r="C6" s="141"/>
      <c r="D6" s="141"/>
      <c r="E6" s="141"/>
      <c r="F6" s="141"/>
    </row>
    <row r="7" spans="2:6" s="4" customFormat="1" ht="15" customHeight="1">
      <c r="B7" s="145" t="s">
        <v>97</v>
      </c>
      <c r="C7" s="145"/>
      <c r="D7" s="145"/>
      <c r="E7" s="145"/>
      <c r="F7" s="141"/>
    </row>
    <row r="8" spans="2:6" s="4" customFormat="1" ht="15.75" thickBot="1">
      <c r="B8" s="138"/>
      <c r="C8" s="139"/>
      <c r="D8" s="139"/>
      <c r="E8" s="139"/>
      <c r="F8" s="139"/>
    </row>
    <row r="9" spans="2:6" ht="60.75" thickBot="1">
      <c r="B9" s="92" t="s">
        <v>65</v>
      </c>
      <c r="C9" s="93" t="s">
        <v>16</v>
      </c>
      <c r="D9" s="92" t="s">
        <v>0</v>
      </c>
      <c r="E9" s="92" t="s">
        <v>17</v>
      </c>
      <c r="F9" s="93" t="s">
        <v>61</v>
      </c>
    </row>
    <row r="10" spans="2:6" ht="15.75" thickBot="1">
      <c r="B10" s="92" t="s">
        <v>131</v>
      </c>
      <c r="C10" s="93"/>
      <c r="D10" s="92"/>
      <c r="E10" s="92"/>
      <c r="F10" s="93"/>
    </row>
    <row r="11" spans="2:6" ht="132" thickBot="1">
      <c r="B11" s="21" t="s">
        <v>164</v>
      </c>
      <c r="C11" s="33" t="s">
        <v>152</v>
      </c>
      <c r="D11" s="34" t="s">
        <v>141</v>
      </c>
      <c r="E11" s="21" t="s">
        <v>112</v>
      </c>
      <c r="F11" s="33" t="s">
        <v>122</v>
      </c>
    </row>
    <row r="12" spans="2:6" ht="72.75" thickBot="1">
      <c r="B12" s="21" t="s">
        <v>160</v>
      </c>
      <c r="C12" s="33" t="s">
        <v>152</v>
      </c>
      <c r="D12" s="34" t="s">
        <v>141</v>
      </c>
      <c r="E12" s="21" t="s">
        <v>112</v>
      </c>
      <c r="F12" s="33" t="s">
        <v>123</v>
      </c>
    </row>
    <row r="13" spans="2:6" ht="15.75" thickBot="1">
      <c r="B13" s="123" t="s">
        <v>132</v>
      </c>
      <c r="C13" s="124"/>
      <c r="D13" s="125"/>
      <c r="E13" s="126"/>
      <c r="F13" s="124"/>
    </row>
    <row r="14" spans="2:6" ht="102.75" thickBot="1">
      <c r="B14" s="21" t="s">
        <v>162</v>
      </c>
      <c r="C14" s="33" t="s">
        <v>152</v>
      </c>
      <c r="D14" s="34" t="s">
        <v>141</v>
      </c>
      <c r="E14" s="21" t="s">
        <v>112</v>
      </c>
      <c r="F14" s="33" t="s">
        <v>124</v>
      </c>
    </row>
    <row r="15" spans="2:6" ht="72.75" thickBot="1">
      <c r="B15" s="21" t="s">
        <v>155</v>
      </c>
      <c r="C15" s="33" t="s">
        <v>152</v>
      </c>
      <c r="D15" s="34" t="s">
        <v>141</v>
      </c>
      <c r="E15" s="21" t="s">
        <v>112</v>
      </c>
      <c r="F15" s="33" t="s">
        <v>123</v>
      </c>
    </row>
    <row r="16" spans="2:6" ht="72.75" thickBot="1">
      <c r="B16" s="21" t="s">
        <v>151</v>
      </c>
      <c r="C16" s="33" t="s">
        <v>152</v>
      </c>
      <c r="D16" s="34" t="s">
        <v>141</v>
      </c>
      <c r="E16" s="21" t="s">
        <v>112</v>
      </c>
      <c r="F16" s="33" t="s">
        <v>125</v>
      </c>
    </row>
  </sheetData>
  <sheetProtection formatCells="0" formatColumns="0" formatRows="0" insertColumns="0" insertRows="0" deleteColumns="0" deleteRows="0" sort="0" autoFilter="0"/>
  <mergeCells count="7">
    <mergeCell ref="B8:F8"/>
    <mergeCell ref="B6:F6"/>
    <mergeCell ref="B1:F1"/>
    <mergeCell ref="B3:F3"/>
    <mergeCell ref="B5:F5"/>
    <mergeCell ref="B7:F7"/>
    <mergeCell ref="B4:F4"/>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Sheet4"/>
  <dimension ref="B1:W95"/>
  <sheetViews>
    <sheetView showGridLines="0" zoomScale="90" zoomScaleNormal="90" zoomScalePageLayoutView="80" workbookViewId="0" topLeftCell="A1">
      <pane xSplit="5" ySplit="5" topLeftCell="F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9.140625" style="2" customWidth="1"/>
    <col min="2" max="2" width="13.421875" style="39" customWidth="1"/>
    <col min="3" max="3" width="9.140625" style="13" customWidth="1"/>
    <col min="4" max="4" width="15.00390625" style="2" customWidth="1"/>
    <col min="5" max="5" width="29.7109375" style="2" customWidth="1"/>
    <col min="6" max="6" width="27.140625" style="2" customWidth="1"/>
    <col min="7" max="10" width="22.7109375" style="2" customWidth="1"/>
    <col min="11" max="11" width="37.28125" style="2" customWidth="1"/>
    <col min="12" max="13" width="15.421875" style="2" customWidth="1"/>
    <col min="14" max="14" width="23.00390625" style="2" customWidth="1"/>
    <col min="15" max="16" width="15.421875" style="2" customWidth="1"/>
    <col min="17" max="17" width="20.00390625" style="2" customWidth="1"/>
    <col min="18" max="20" width="15.421875" style="2" customWidth="1"/>
    <col min="21" max="21" width="9.140625" style="2" customWidth="1"/>
    <col min="22" max="22" width="31.00390625" style="2" bestFit="1" customWidth="1"/>
    <col min="23" max="16384" width="9.140625" style="2" customWidth="1"/>
  </cols>
  <sheetData>
    <row r="1" spans="2:18" s="1" customFormat="1" ht="23.25">
      <c r="B1" s="151" t="str">
        <f>"Data collection for "&amp;'Hidden sheet'!B3</f>
        <v>Data collection for sofosbuvir for treating chronic hepatitis C</v>
      </c>
      <c r="C1" s="151"/>
      <c r="D1" s="151"/>
      <c r="E1" s="151"/>
      <c r="F1" s="151"/>
      <c r="G1" s="151"/>
      <c r="H1" s="151"/>
      <c r="I1" s="151"/>
      <c r="J1" s="151"/>
      <c r="K1" s="151"/>
      <c r="L1" s="141"/>
      <c r="M1" s="141"/>
      <c r="N1" s="141"/>
      <c r="O1" s="141"/>
      <c r="P1" s="141"/>
      <c r="Q1" s="141"/>
      <c r="R1" s="141"/>
    </row>
    <row r="2" spans="2:11" s="1" customFormat="1" ht="21" thickBot="1">
      <c r="B2" s="152"/>
      <c r="C2" s="152"/>
      <c r="D2" s="152"/>
      <c r="E2" s="152"/>
      <c r="F2" s="152"/>
      <c r="G2" s="152"/>
      <c r="H2" s="152"/>
      <c r="I2" s="152"/>
      <c r="J2" s="152"/>
      <c r="K2" s="99"/>
    </row>
    <row r="3" spans="2:20" s="40" customFormat="1" ht="13.5" thickBot="1">
      <c r="B3" s="53"/>
      <c r="C3" s="54"/>
      <c r="D3" s="53"/>
      <c r="E3" s="55"/>
      <c r="F3" s="38">
        <v>1</v>
      </c>
      <c r="G3" s="38">
        <v>2</v>
      </c>
      <c r="H3" s="38">
        <v>3</v>
      </c>
      <c r="I3" s="38">
        <v>4</v>
      </c>
      <c r="J3" s="38">
        <v>5</v>
      </c>
      <c r="K3" s="38" t="s">
        <v>126</v>
      </c>
      <c r="L3" s="38"/>
      <c r="M3" s="38"/>
      <c r="N3" s="38"/>
      <c r="O3" s="38"/>
      <c r="P3" s="38"/>
      <c r="Q3" s="38"/>
      <c r="R3" s="38"/>
      <c r="S3" s="38"/>
      <c r="T3" s="38"/>
    </row>
    <row r="4" spans="2:20" s="98" customFormat="1" ht="79.5" customHeight="1">
      <c r="B4" s="63" t="s">
        <v>15</v>
      </c>
      <c r="C4" s="62" t="s">
        <v>2</v>
      </c>
      <c r="D4" s="60" t="s">
        <v>3</v>
      </c>
      <c r="E4" s="61" t="s">
        <v>4</v>
      </c>
      <c r="F4" s="71" t="s">
        <v>142</v>
      </c>
      <c r="G4" s="71" t="s">
        <v>138</v>
      </c>
      <c r="H4" s="71" t="s">
        <v>114</v>
      </c>
      <c r="I4" s="71" t="s">
        <v>129</v>
      </c>
      <c r="J4" s="71" t="s">
        <v>115</v>
      </c>
      <c r="K4" s="71" t="s">
        <v>143</v>
      </c>
      <c r="L4" s="71" t="s">
        <v>116</v>
      </c>
      <c r="M4" s="71" t="s">
        <v>117</v>
      </c>
      <c r="N4" s="71" t="s">
        <v>163</v>
      </c>
      <c r="O4" s="71" t="s">
        <v>161</v>
      </c>
      <c r="P4" s="71" t="s">
        <v>134</v>
      </c>
      <c r="Q4" s="71" t="s">
        <v>128</v>
      </c>
      <c r="R4" s="71" t="s">
        <v>119</v>
      </c>
      <c r="S4" s="71" t="s">
        <v>118</v>
      </c>
      <c r="T4" s="71" t="s">
        <v>120</v>
      </c>
    </row>
    <row r="5" spans="2:20" s="98" customFormat="1" ht="30" customHeight="1" thickBot="1">
      <c r="B5" s="97"/>
      <c r="C5" s="58" t="s">
        <v>66</v>
      </c>
      <c r="D5" s="58" t="s">
        <v>139</v>
      </c>
      <c r="E5" s="59" t="s">
        <v>67</v>
      </c>
      <c r="F5" s="64" t="s">
        <v>153</v>
      </c>
      <c r="G5" s="64" t="s">
        <v>113</v>
      </c>
      <c r="H5" s="64" t="s">
        <v>154</v>
      </c>
      <c r="I5" s="64" t="s">
        <v>154</v>
      </c>
      <c r="J5" s="64" t="s">
        <v>154</v>
      </c>
      <c r="K5" s="64" t="s">
        <v>140</v>
      </c>
      <c r="L5" s="64"/>
      <c r="M5" s="64"/>
      <c r="N5" s="64"/>
      <c r="O5" s="64"/>
      <c r="P5" s="64"/>
      <c r="Q5" s="64"/>
      <c r="R5" s="64"/>
      <c r="S5" s="64"/>
      <c r="T5" s="64"/>
    </row>
    <row r="6" spans="2:23" s="39" customFormat="1" ht="30" customHeight="1" thickBot="1">
      <c r="B6" s="77">
        <v>1</v>
      </c>
      <c r="C6" s="75"/>
      <c r="D6" s="75"/>
      <c r="E6" s="75"/>
      <c r="F6" s="75"/>
      <c r="G6" s="75"/>
      <c r="H6" s="75"/>
      <c r="I6" s="75"/>
      <c r="J6" s="75"/>
      <c r="K6" s="75"/>
      <c r="L6" s="100">
        <f>IF(AND(F6="Peginterferon alfa and ribavirin",G6=1),"Met","")</f>
      </c>
      <c r="M6" s="100">
        <f>IF(OR(F6="",G6="",H6=""),"",IF(F6="Ribavirin","",IF(AND(F6="Peginterferon alfa and ribavirin",G6=3,H6="No",I6="Yes"),"",IF(AND(F6="Peginterferon alfa and ribavirin",G6=3,H6="Yes"),"Met",""))))</f>
      </c>
      <c r="N6" s="100">
        <f>IF(AND(F6="Peginterferon alfa and ribavirin",G6=3,K6="Yes"),"Exception A",IF(AND(F6="Peginterferon alfa and ribavirin",G6=3,H6="No",I6="No"),"Not met",IF(AND(F6="Peginterferon alfa and ribavirin",G6=3,H6="No",I6="Yes"),"Met","")))</f>
      </c>
      <c r="O6" s="100">
        <f>IF(AND(F6="Peginterferon alfa and ribavirin",G6&gt;3,H6="No",K6="Yes"),"Exception",IF(AND(F6="Peginterferon alfa and ribavirin",G6&gt;3,H6="No"),"Not met",IF(AND(F6="Peginterferon alfa and ribavirin",G6&gt;3,H6="Yes"),"Met","")))</f>
      </c>
      <c r="P6" s="100">
        <f>IF(AND(F6="Peginterferon alfa and ribavirin",G6=2,K6="Yes"),"Exception",IF(AND(F6="Peginterferon alfa and ribavirin",G6=2),"Not met",""))</f>
      </c>
      <c r="Q6" s="100">
        <f aca="true" t="shared" si="0" ref="Q6:Q46">IF(AND(I6="",J6=""),"",IF(AND(F6="Ribavirin",G6=2,I6="No",J6="No",K6="Yes"),"Exception A",IF(I6="Yes","",IF(AND(F6="Ribavirin",G6=2,I6="No",J6="No"),"Not met",IF(AND(F6="Ribavirin",G6=2,I6="No",J6="Yes"),"Met","")))))</f>
      </c>
      <c r="R6" s="100">
        <f aca="true" t="shared" si="1" ref="R6:R46">IF(OR(F6="Peginterferon alfa and ribavirin",F6="",G6="",I6=""),"",IF(I6="No","",IF(AND(F6="Ribavirin",G6=2,I6="Yes"),"Met","Not met")))</f>
      </c>
      <c r="S6" s="100">
        <f aca="true" t="shared" si="2" ref="S6:S46">IF(AND(AND(F6="Ribavirin",K6="Yes"),OR(G6=1,G6&gt;3)),"Exception A",IF(AND(F6="Ribavirin",OR(G6=1,G6&gt;3)),"Not met",""))</f>
      </c>
      <c r="T6" s="100">
        <f aca="true" t="shared" si="3" ref="T6:T46">IF(OR(F6="",G6="",H6=""),"",IF(H6="NA","NA",IF(H6="Exception","Exception",IF(AND(F6="Ribavirin",G6=3,H6="No",K6="Yes"),"Exception A",IF(F6="Peginterferon alfa and ribavirin","",IF(G6&lt;&gt;3,"",IF(AND(F6="Ribavirin",G6=3,H6="Yes"),"Met","Not met")))))))</f>
      </c>
      <c r="V6" s="40" t="s">
        <v>44</v>
      </c>
      <c r="W6" s="41"/>
    </row>
    <row r="7" spans="2:23" s="39" customFormat="1" ht="30" customHeight="1" thickBot="1">
      <c r="B7" s="77">
        <v>2</v>
      </c>
      <c r="C7" s="75"/>
      <c r="D7" s="75"/>
      <c r="E7" s="75"/>
      <c r="F7" s="76"/>
      <c r="G7" s="75"/>
      <c r="H7" s="75"/>
      <c r="I7" s="75"/>
      <c r="J7" s="75"/>
      <c r="K7" s="75"/>
      <c r="L7" s="100">
        <f aca="true" t="shared" si="4" ref="L7:L46">IF(AND(F7="Peginterferon alfa and ribavirin",G7=1),"Met","")</f>
      </c>
      <c r="M7" s="100">
        <f aca="true" t="shared" si="5" ref="M7:M46">IF(OR(F7="",G7="",H7=""),"",IF(F7="Ribavirin","",IF(AND(F7="Peginterferon alfa and ribavirin",G7=3,H7="No",I7="Yes"),"",IF(AND(F7="Peginterferon alfa and ribavirin",G7=3,H7="Yes"),"Met",""))))</f>
      </c>
      <c r="N7" s="100">
        <f aca="true" t="shared" si="6" ref="N7:N46">IF(AND(F7="Peginterferon alfa and ribavirin",G7=3,K7="Yes"),"Exception A",IF(AND(F7="Peginterferon alfa and ribavirin",G7=3,H7="No",I7="No"),"Not met",IF(AND(F7="Peginterferon alfa and ribavirin",G7=3,H7="No",I7="Yes"),"Met","")))</f>
      </c>
      <c r="O7" s="100">
        <f aca="true" t="shared" si="7" ref="O7:O46">IF(AND(F7="Peginterferon alfa and ribavirin",G7&gt;3,H7="No",K7="Yes"),"Exception",IF(AND(F7="Peginterferon alfa and ribavirin",G7&gt;3,H7="No"),"Not met",IF(AND(F7="Peginterferon alfa and ribavirin",G7&gt;3,H7="Yes"),"Met","")))</f>
      </c>
      <c r="P7" s="100">
        <f aca="true" t="shared" si="8" ref="P7:P46">IF(AND(F7="Peginterferon alfa and ribavirin",G7=2,K7="Yes"),"Exception",IF(AND(F7="Peginterferon alfa and ribavirin",G7=2),"Not met",""))</f>
      </c>
      <c r="Q7" s="100">
        <f t="shared" si="0"/>
      </c>
      <c r="R7" s="100">
        <f t="shared" si="1"/>
      </c>
      <c r="S7" s="100">
        <f t="shared" si="2"/>
      </c>
      <c r="T7" s="100">
        <f t="shared" si="3"/>
      </c>
      <c r="V7" s="40"/>
      <c r="W7" s="42"/>
    </row>
    <row r="8" spans="2:23" s="39" customFormat="1" ht="30" customHeight="1" thickBot="1">
      <c r="B8" s="77">
        <v>3</v>
      </c>
      <c r="C8" s="75"/>
      <c r="D8" s="75"/>
      <c r="E8" s="75"/>
      <c r="F8" s="76"/>
      <c r="G8" s="75"/>
      <c r="H8" s="75"/>
      <c r="I8" s="75"/>
      <c r="J8" s="75"/>
      <c r="K8" s="75"/>
      <c r="L8" s="100">
        <f t="shared" si="4"/>
      </c>
      <c r="M8" s="100">
        <f t="shared" si="5"/>
      </c>
      <c r="N8" s="100">
        <f t="shared" si="6"/>
      </c>
      <c r="O8" s="100">
        <f t="shared" si="7"/>
      </c>
      <c r="P8" s="100">
        <f t="shared" si="8"/>
      </c>
      <c r="Q8" s="100">
        <f t="shared" si="0"/>
      </c>
      <c r="R8" s="100">
        <f t="shared" si="1"/>
      </c>
      <c r="S8" s="100">
        <f t="shared" si="2"/>
      </c>
      <c r="T8" s="100">
        <f t="shared" si="3"/>
      </c>
      <c r="V8" s="82" t="s">
        <v>11</v>
      </c>
      <c r="W8" s="87" t="str">
        <f>MIN(Age)&amp;" - "&amp;MAX(Age)</f>
        <v>0 - 0</v>
      </c>
    </row>
    <row r="9" spans="2:23" s="39" customFormat="1" ht="30" customHeight="1" thickBot="1">
      <c r="B9" s="77">
        <v>4</v>
      </c>
      <c r="C9" s="75"/>
      <c r="D9" s="75"/>
      <c r="E9" s="75"/>
      <c r="F9" s="76"/>
      <c r="G9" s="75"/>
      <c r="H9" s="75"/>
      <c r="I9" s="75"/>
      <c r="J9" s="75"/>
      <c r="K9" s="75"/>
      <c r="L9" s="100">
        <f t="shared" si="4"/>
      </c>
      <c r="M9" s="100">
        <f t="shared" si="5"/>
      </c>
      <c r="N9" s="100">
        <f t="shared" si="6"/>
      </c>
      <c r="O9" s="100">
        <f t="shared" si="7"/>
      </c>
      <c r="P9" s="100">
        <f t="shared" si="8"/>
      </c>
      <c r="Q9" s="100">
        <f t="shared" si="0"/>
      </c>
      <c r="R9" s="100">
        <f t="shared" si="1"/>
      </c>
      <c r="S9" s="100">
        <f t="shared" si="2"/>
      </c>
      <c r="T9" s="100">
        <f t="shared" si="3"/>
      </c>
      <c r="V9" s="83"/>
      <c r="W9" s="81"/>
    </row>
    <row r="10" spans="2:23" s="39" customFormat="1" ht="30" customHeight="1" thickBot="1">
      <c r="B10" s="77">
        <v>5</v>
      </c>
      <c r="C10" s="75"/>
      <c r="D10" s="75"/>
      <c r="E10" s="75"/>
      <c r="F10" s="76"/>
      <c r="G10" s="75"/>
      <c r="H10" s="75"/>
      <c r="I10" s="75"/>
      <c r="J10" s="75"/>
      <c r="K10" s="75"/>
      <c r="L10" s="100">
        <f t="shared" si="4"/>
      </c>
      <c r="M10" s="100">
        <f t="shared" si="5"/>
      </c>
      <c r="N10" s="100">
        <f t="shared" si="6"/>
      </c>
      <c r="O10" s="100">
        <f t="shared" si="7"/>
      </c>
      <c r="P10" s="100">
        <f t="shared" si="8"/>
      </c>
      <c r="Q10" s="100">
        <f t="shared" si="0"/>
      </c>
      <c r="R10" s="100">
        <f t="shared" si="1"/>
      </c>
      <c r="S10" s="100">
        <f t="shared" si="2"/>
      </c>
      <c r="T10" s="100">
        <f t="shared" si="3"/>
      </c>
      <c r="V10" s="84" t="s">
        <v>9</v>
      </c>
      <c r="W10" s="87">
        <f>COUNTIF(Sex,"Male")</f>
        <v>0</v>
      </c>
    </row>
    <row r="11" spans="2:23" s="39" customFormat="1" ht="30" customHeight="1" thickBot="1">
      <c r="B11" s="77">
        <v>6</v>
      </c>
      <c r="C11" s="75"/>
      <c r="D11" s="75"/>
      <c r="E11" s="75"/>
      <c r="F11" s="76"/>
      <c r="G11" s="75"/>
      <c r="H11" s="75"/>
      <c r="I11" s="75"/>
      <c r="J11" s="75"/>
      <c r="K11" s="75"/>
      <c r="L11" s="100">
        <f t="shared" si="4"/>
      </c>
      <c r="M11" s="100">
        <f t="shared" si="5"/>
      </c>
      <c r="N11" s="100">
        <f t="shared" si="6"/>
      </c>
      <c r="O11" s="100">
        <f t="shared" si="7"/>
      </c>
      <c r="P11" s="100">
        <f t="shared" si="8"/>
      </c>
      <c r="Q11" s="100">
        <f t="shared" si="0"/>
      </c>
      <c r="R11" s="100">
        <f t="shared" si="1"/>
      </c>
      <c r="S11" s="100">
        <f t="shared" si="2"/>
      </c>
      <c r="T11" s="100">
        <f t="shared" si="3"/>
      </c>
      <c r="V11" s="85" t="s">
        <v>10</v>
      </c>
      <c r="W11" s="87">
        <f>COUNTIF(Sex,"Female")</f>
        <v>0</v>
      </c>
    </row>
    <row r="12" spans="2:23" s="39" customFormat="1" ht="30" customHeight="1" thickBot="1">
      <c r="B12" s="77">
        <v>7</v>
      </c>
      <c r="C12" s="75"/>
      <c r="D12" s="75"/>
      <c r="E12" s="75"/>
      <c r="F12" s="76"/>
      <c r="G12" s="75"/>
      <c r="H12" s="75"/>
      <c r="I12" s="75"/>
      <c r="J12" s="75"/>
      <c r="K12" s="75"/>
      <c r="L12" s="100">
        <f t="shared" si="4"/>
      </c>
      <c r="M12" s="100">
        <f t="shared" si="5"/>
      </c>
      <c r="N12" s="100">
        <f t="shared" si="6"/>
      </c>
      <c r="O12" s="100">
        <f t="shared" si="7"/>
      </c>
      <c r="P12" s="100">
        <f t="shared" si="8"/>
      </c>
      <c r="Q12" s="100">
        <f t="shared" si="0"/>
      </c>
      <c r="R12" s="100">
        <f t="shared" si="1"/>
      </c>
      <c r="S12" s="100">
        <f t="shared" si="2"/>
      </c>
      <c r="T12" s="100">
        <f t="shared" si="3"/>
      </c>
      <c r="V12" s="86"/>
      <c r="W12" s="81"/>
    </row>
    <row r="13" spans="2:23" s="39" customFormat="1" ht="30" customHeight="1" thickBot="1">
      <c r="B13" s="77">
        <v>8</v>
      </c>
      <c r="C13" s="75"/>
      <c r="D13" s="75"/>
      <c r="E13" s="75"/>
      <c r="F13" s="76"/>
      <c r="G13" s="75"/>
      <c r="H13" s="75"/>
      <c r="I13" s="75"/>
      <c r="J13" s="75"/>
      <c r="K13" s="75"/>
      <c r="L13" s="100">
        <f t="shared" si="4"/>
      </c>
      <c r="M13" s="100">
        <f t="shared" si="5"/>
      </c>
      <c r="N13" s="100">
        <f t="shared" si="6"/>
      </c>
      <c r="O13" s="100">
        <f t="shared" si="7"/>
      </c>
      <c r="P13" s="100">
        <f t="shared" si="8"/>
      </c>
      <c r="Q13" s="100">
        <f t="shared" si="0"/>
      </c>
      <c r="R13" s="100">
        <f t="shared" si="1"/>
      </c>
      <c r="S13" s="100">
        <f t="shared" si="2"/>
      </c>
      <c r="T13" s="100">
        <f t="shared" si="3"/>
      </c>
      <c r="V13" s="85" t="s">
        <v>22</v>
      </c>
      <c r="W13" s="87">
        <f>COUNTIF(Ethnicity,"White British")</f>
        <v>0</v>
      </c>
    </row>
    <row r="14" spans="2:23" s="39" customFormat="1" ht="30" customHeight="1" thickBot="1">
      <c r="B14" s="77">
        <v>9</v>
      </c>
      <c r="C14" s="75"/>
      <c r="D14" s="75"/>
      <c r="E14" s="75"/>
      <c r="F14" s="76"/>
      <c r="G14" s="75"/>
      <c r="H14" s="75"/>
      <c r="I14" s="75"/>
      <c r="J14" s="75"/>
      <c r="K14" s="75"/>
      <c r="L14" s="100">
        <f t="shared" si="4"/>
      </c>
      <c r="M14" s="100">
        <f t="shared" si="5"/>
      </c>
      <c r="N14" s="100">
        <f t="shared" si="6"/>
      </c>
      <c r="O14" s="100">
        <f t="shared" si="7"/>
      </c>
      <c r="P14" s="100">
        <f t="shared" si="8"/>
      </c>
      <c r="Q14" s="100">
        <f t="shared" si="0"/>
      </c>
      <c r="R14" s="100">
        <f t="shared" si="1"/>
      </c>
      <c r="S14" s="100">
        <f t="shared" si="2"/>
      </c>
      <c r="T14" s="100">
        <f t="shared" si="3"/>
      </c>
      <c r="V14" s="85" t="s">
        <v>23</v>
      </c>
      <c r="W14" s="87">
        <f>COUNTIF(Ethnicity,"White Irish")</f>
        <v>0</v>
      </c>
    </row>
    <row r="15" spans="2:23" s="39" customFormat="1" ht="30" customHeight="1" thickBot="1">
      <c r="B15" s="77">
        <v>10</v>
      </c>
      <c r="C15" s="75"/>
      <c r="D15" s="75"/>
      <c r="E15" s="75"/>
      <c r="F15" s="76"/>
      <c r="G15" s="75"/>
      <c r="H15" s="75"/>
      <c r="I15" s="75"/>
      <c r="J15" s="75"/>
      <c r="K15" s="75"/>
      <c r="L15" s="100">
        <f t="shared" si="4"/>
      </c>
      <c r="M15" s="100">
        <f t="shared" si="5"/>
      </c>
      <c r="N15" s="100">
        <f t="shared" si="6"/>
      </c>
      <c r="O15" s="100">
        <f t="shared" si="7"/>
      </c>
      <c r="P15" s="100">
        <f t="shared" si="8"/>
      </c>
      <c r="Q15" s="100">
        <f t="shared" si="0"/>
      </c>
      <c r="R15" s="100">
        <f t="shared" si="1"/>
      </c>
      <c r="S15" s="100">
        <f t="shared" si="2"/>
      </c>
      <c r="T15" s="100">
        <f t="shared" si="3"/>
      </c>
      <c r="V15" s="85" t="s">
        <v>34</v>
      </c>
      <c r="W15" s="87">
        <f>COUNTIF(Ethnicity,"Any other white background")</f>
        <v>0</v>
      </c>
    </row>
    <row r="16" spans="2:23" s="39" customFormat="1" ht="30" customHeight="1" thickBot="1">
      <c r="B16" s="77">
        <v>11</v>
      </c>
      <c r="C16" s="75"/>
      <c r="D16" s="75"/>
      <c r="E16" s="75"/>
      <c r="F16" s="76"/>
      <c r="G16" s="75"/>
      <c r="H16" s="75"/>
      <c r="I16" s="75"/>
      <c r="J16" s="75"/>
      <c r="K16" s="75"/>
      <c r="L16" s="100">
        <f t="shared" si="4"/>
      </c>
      <c r="M16" s="100">
        <f t="shared" si="5"/>
      </c>
      <c r="N16" s="100">
        <f t="shared" si="6"/>
      </c>
      <c r="O16" s="100">
        <f t="shared" si="7"/>
      </c>
      <c r="P16" s="100">
        <f t="shared" si="8"/>
      </c>
      <c r="Q16" s="100">
        <f t="shared" si="0"/>
      </c>
      <c r="R16" s="100">
        <f t="shared" si="1"/>
      </c>
      <c r="S16" s="100">
        <f t="shared" si="2"/>
      </c>
      <c r="T16" s="100">
        <f t="shared" si="3"/>
      </c>
      <c r="V16" s="85" t="s">
        <v>30</v>
      </c>
      <c r="W16" s="87">
        <f>COUNTIF(Ethnicity,"Mixed: White and black Caribbean")</f>
        <v>0</v>
      </c>
    </row>
    <row r="17" spans="2:23" s="39" customFormat="1" ht="30" customHeight="1" thickBot="1">
      <c r="B17" s="77">
        <v>12</v>
      </c>
      <c r="C17" s="75"/>
      <c r="D17" s="75"/>
      <c r="E17" s="75"/>
      <c r="F17" s="76"/>
      <c r="G17" s="75"/>
      <c r="H17" s="75"/>
      <c r="I17" s="75"/>
      <c r="J17" s="75"/>
      <c r="K17" s="75"/>
      <c r="L17" s="100">
        <f t="shared" si="4"/>
      </c>
      <c r="M17" s="100">
        <f t="shared" si="5"/>
      </c>
      <c r="N17" s="100">
        <f t="shared" si="6"/>
      </c>
      <c r="O17" s="100">
        <f t="shared" si="7"/>
      </c>
      <c r="P17" s="100">
        <f t="shared" si="8"/>
      </c>
      <c r="Q17" s="100">
        <f t="shared" si="0"/>
      </c>
      <c r="R17" s="100">
        <f t="shared" si="1"/>
      </c>
      <c r="S17" s="100">
        <f t="shared" si="2"/>
      </c>
      <c r="T17" s="100">
        <f t="shared" si="3"/>
      </c>
      <c r="V17" s="85" t="s">
        <v>31</v>
      </c>
      <c r="W17" s="87">
        <f>COUNTIF(Ethnicity,"Mixed: White and black African")</f>
        <v>0</v>
      </c>
    </row>
    <row r="18" spans="2:23" s="39" customFormat="1" ht="30" customHeight="1" thickBot="1">
      <c r="B18" s="77">
        <v>13</v>
      </c>
      <c r="C18" s="75"/>
      <c r="D18" s="75"/>
      <c r="E18" s="75"/>
      <c r="F18" s="76"/>
      <c r="G18" s="75"/>
      <c r="H18" s="75"/>
      <c r="I18" s="75"/>
      <c r="J18" s="75"/>
      <c r="K18" s="75"/>
      <c r="L18" s="100">
        <f t="shared" si="4"/>
      </c>
      <c r="M18" s="100">
        <f t="shared" si="5"/>
      </c>
      <c r="N18" s="100">
        <f t="shared" si="6"/>
      </c>
      <c r="O18" s="100">
        <f t="shared" si="7"/>
      </c>
      <c r="P18" s="100">
        <f t="shared" si="8"/>
      </c>
      <c r="Q18" s="100">
        <f t="shared" si="0"/>
      </c>
      <c r="R18" s="100">
        <f t="shared" si="1"/>
      </c>
      <c r="S18" s="100">
        <f t="shared" si="2"/>
      </c>
      <c r="T18" s="100">
        <f t="shared" si="3"/>
      </c>
      <c r="V18" s="85" t="s">
        <v>24</v>
      </c>
      <c r="W18" s="87">
        <f>COUNTIF(Ethnicity,"Mixed: White and Asian")</f>
        <v>0</v>
      </c>
    </row>
    <row r="19" spans="2:23" s="39" customFormat="1" ht="30" customHeight="1" thickBot="1">
      <c r="B19" s="77">
        <v>14</v>
      </c>
      <c r="C19" s="75"/>
      <c r="D19" s="75"/>
      <c r="E19" s="75"/>
      <c r="F19" s="75"/>
      <c r="G19" s="75"/>
      <c r="H19" s="75"/>
      <c r="I19" s="75"/>
      <c r="J19" s="75"/>
      <c r="K19" s="75"/>
      <c r="L19" s="100">
        <f t="shared" si="4"/>
      </c>
      <c r="M19" s="100">
        <f t="shared" si="5"/>
      </c>
      <c r="N19" s="100">
        <f t="shared" si="6"/>
      </c>
      <c r="O19" s="100">
        <f t="shared" si="7"/>
      </c>
      <c r="P19" s="100">
        <f t="shared" si="8"/>
      </c>
      <c r="Q19" s="100">
        <f t="shared" si="0"/>
      </c>
      <c r="R19" s="100">
        <f t="shared" si="1"/>
      </c>
      <c r="S19" s="100">
        <f t="shared" si="2"/>
      </c>
      <c r="T19" s="100">
        <f t="shared" si="3"/>
      </c>
      <c r="V19" s="85" t="s">
        <v>35</v>
      </c>
      <c r="W19" s="87">
        <f>COUNTIF(Ethnicity,"Any other mixed background")</f>
        <v>0</v>
      </c>
    </row>
    <row r="20" spans="2:23" s="39" customFormat="1" ht="30" customHeight="1" thickBot="1">
      <c r="B20" s="77">
        <v>15</v>
      </c>
      <c r="C20" s="75"/>
      <c r="D20" s="75"/>
      <c r="E20" s="75"/>
      <c r="F20" s="75"/>
      <c r="G20" s="75"/>
      <c r="H20" s="75"/>
      <c r="I20" s="75"/>
      <c r="J20" s="75"/>
      <c r="K20" s="75"/>
      <c r="L20" s="100">
        <f t="shared" si="4"/>
      </c>
      <c r="M20" s="100">
        <f t="shared" si="5"/>
      </c>
      <c r="N20" s="100">
        <f t="shared" si="6"/>
      </c>
      <c r="O20" s="100">
        <f t="shared" si="7"/>
      </c>
      <c r="P20" s="100">
        <f t="shared" si="8"/>
      </c>
      <c r="Q20" s="100">
        <f t="shared" si="0"/>
      </c>
      <c r="R20" s="100">
        <f t="shared" si="1"/>
      </c>
      <c r="S20" s="100">
        <f t="shared" si="2"/>
      </c>
      <c r="T20" s="100">
        <f t="shared" si="3"/>
      </c>
      <c r="V20" s="85" t="s">
        <v>25</v>
      </c>
      <c r="W20" s="87">
        <f>COUNTIF(Ethnicity,"Asian or Asian British: Indian")</f>
        <v>0</v>
      </c>
    </row>
    <row r="21" spans="2:23" s="39" customFormat="1" ht="30" customHeight="1" thickBot="1">
      <c r="B21" s="77">
        <v>16</v>
      </c>
      <c r="C21" s="75"/>
      <c r="D21" s="75"/>
      <c r="E21" s="75"/>
      <c r="F21" s="75"/>
      <c r="G21" s="75"/>
      <c r="H21" s="75"/>
      <c r="I21" s="75"/>
      <c r="J21" s="75"/>
      <c r="K21" s="75"/>
      <c r="L21" s="100">
        <f t="shared" si="4"/>
      </c>
      <c r="M21" s="100">
        <f t="shared" si="5"/>
      </c>
      <c r="N21" s="100">
        <f t="shared" si="6"/>
      </c>
      <c r="O21" s="100">
        <f t="shared" si="7"/>
      </c>
      <c r="P21" s="100">
        <f t="shared" si="8"/>
      </c>
      <c r="Q21" s="100">
        <f t="shared" si="0"/>
      </c>
      <c r="R21" s="100">
        <f t="shared" si="1"/>
      </c>
      <c r="S21" s="100">
        <f t="shared" si="2"/>
      </c>
      <c r="T21" s="100">
        <f t="shared" si="3"/>
      </c>
      <c r="V21" s="85" t="s">
        <v>26</v>
      </c>
      <c r="W21" s="87">
        <f>COUNTIF(Ethnicity,"Asian or Asian British: Pakistani")</f>
        <v>0</v>
      </c>
    </row>
    <row r="22" spans="2:23" s="39" customFormat="1" ht="30" customHeight="1" thickBot="1">
      <c r="B22" s="77">
        <v>17</v>
      </c>
      <c r="C22" s="75"/>
      <c r="D22" s="75"/>
      <c r="E22" s="75"/>
      <c r="F22" s="75"/>
      <c r="G22" s="75"/>
      <c r="H22" s="75"/>
      <c r="I22" s="75"/>
      <c r="J22" s="75"/>
      <c r="K22" s="75"/>
      <c r="L22" s="100">
        <f t="shared" si="4"/>
      </c>
      <c r="M22" s="100">
        <f t="shared" si="5"/>
      </c>
      <c r="N22" s="100">
        <f t="shared" si="6"/>
      </c>
      <c r="O22" s="100">
        <f t="shared" si="7"/>
      </c>
      <c r="P22" s="100">
        <f t="shared" si="8"/>
      </c>
      <c r="Q22" s="100">
        <f t="shared" si="0"/>
      </c>
      <c r="R22" s="100">
        <f t="shared" si="1"/>
      </c>
      <c r="S22" s="100">
        <f t="shared" si="2"/>
      </c>
      <c r="T22" s="100">
        <f t="shared" si="3"/>
      </c>
      <c r="V22" s="85" t="s">
        <v>27</v>
      </c>
      <c r="W22" s="87">
        <f>COUNTIF(Ethnicity,"Asian or Asian British: Bangladeshi")</f>
        <v>0</v>
      </c>
    </row>
    <row r="23" spans="2:23" s="39" customFormat="1" ht="30" customHeight="1" thickBot="1">
      <c r="B23" s="77">
        <v>18</v>
      </c>
      <c r="C23" s="75"/>
      <c r="D23" s="75"/>
      <c r="E23" s="75"/>
      <c r="F23" s="75"/>
      <c r="G23" s="75"/>
      <c r="H23" s="75"/>
      <c r="I23" s="75"/>
      <c r="J23" s="75"/>
      <c r="K23" s="75"/>
      <c r="L23" s="100">
        <f t="shared" si="4"/>
      </c>
      <c r="M23" s="100">
        <f t="shared" si="5"/>
      </c>
      <c r="N23" s="100">
        <f t="shared" si="6"/>
      </c>
      <c r="O23" s="100">
        <f t="shared" si="7"/>
      </c>
      <c r="P23" s="100">
        <f t="shared" si="8"/>
      </c>
      <c r="Q23" s="100">
        <f t="shared" si="0"/>
      </c>
      <c r="R23" s="100">
        <f t="shared" si="1"/>
      </c>
      <c r="S23" s="100">
        <f t="shared" si="2"/>
      </c>
      <c r="T23" s="100">
        <f t="shared" si="3"/>
      </c>
      <c r="V23" s="85" t="s">
        <v>36</v>
      </c>
      <c r="W23" s="87">
        <f>COUNTIF(Ethnicity,"Any other Asian background")</f>
        <v>0</v>
      </c>
    </row>
    <row r="24" spans="2:23" s="39" customFormat="1" ht="30" customHeight="1" thickBot="1">
      <c r="B24" s="77">
        <v>19</v>
      </c>
      <c r="C24" s="75"/>
      <c r="D24" s="75"/>
      <c r="E24" s="75"/>
      <c r="F24" s="75"/>
      <c r="G24" s="75"/>
      <c r="H24" s="75"/>
      <c r="I24" s="75"/>
      <c r="J24" s="75"/>
      <c r="K24" s="75"/>
      <c r="L24" s="100">
        <f t="shared" si="4"/>
      </c>
      <c r="M24" s="100">
        <f t="shared" si="5"/>
      </c>
      <c r="N24" s="100">
        <f t="shared" si="6"/>
      </c>
      <c r="O24" s="100">
        <f t="shared" si="7"/>
      </c>
      <c r="P24" s="100">
        <f t="shared" si="8"/>
      </c>
      <c r="Q24" s="100">
        <f t="shared" si="0"/>
      </c>
      <c r="R24" s="100">
        <f t="shared" si="1"/>
      </c>
      <c r="S24" s="100">
        <f t="shared" si="2"/>
      </c>
      <c r="T24" s="100">
        <f t="shared" si="3"/>
      </c>
      <c r="V24" s="85" t="s">
        <v>32</v>
      </c>
      <c r="W24" s="87">
        <f>COUNTIF(Ethnicity,"Black or black British: Caribbean")</f>
        <v>0</v>
      </c>
    </row>
    <row r="25" spans="2:23" s="39" customFormat="1" ht="30" customHeight="1" thickBot="1">
      <c r="B25" s="77">
        <v>20</v>
      </c>
      <c r="C25" s="75"/>
      <c r="D25" s="75"/>
      <c r="E25" s="75"/>
      <c r="F25" s="75"/>
      <c r="G25" s="75"/>
      <c r="H25" s="75"/>
      <c r="I25" s="75"/>
      <c r="J25" s="75"/>
      <c r="K25" s="75"/>
      <c r="L25" s="100">
        <f t="shared" si="4"/>
      </c>
      <c r="M25" s="100">
        <f t="shared" si="5"/>
      </c>
      <c r="N25" s="100">
        <f t="shared" si="6"/>
      </c>
      <c r="O25" s="100">
        <f t="shared" si="7"/>
      </c>
      <c r="P25" s="100">
        <f t="shared" si="8"/>
      </c>
      <c r="Q25" s="100">
        <f t="shared" si="0"/>
      </c>
      <c r="R25" s="100">
        <f t="shared" si="1"/>
      </c>
      <c r="S25" s="100">
        <f t="shared" si="2"/>
      </c>
      <c r="T25" s="100">
        <f t="shared" si="3"/>
      </c>
      <c r="V25" s="85" t="s">
        <v>33</v>
      </c>
      <c r="W25" s="87">
        <f>COUNTIF(Ethnicity,"Black or black British: African")</f>
        <v>0</v>
      </c>
    </row>
    <row r="26" spans="2:23" s="39" customFormat="1" ht="30" customHeight="1" thickBot="1">
      <c r="B26" s="77">
        <v>21</v>
      </c>
      <c r="C26" s="75"/>
      <c r="D26" s="75"/>
      <c r="E26" s="75"/>
      <c r="F26" s="75"/>
      <c r="G26" s="75"/>
      <c r="H26" s="75"/>
      <c r="I26" s="75"/>
      <c r="J26" s="75"/>
      <c r="K26" s="75"/>
      <c r="L26" s="100">
        <f t="shared" si="4"/>
      </c>
      <c r="M26" s="100">
        <f t="shared" si="5"/>
      </c>
      <c r="N26" s="100">
        <f t="shared" si="6"/>
      </c>
      <c r="O26" s="100">
        <f t="shared" si="7"/>
      </c>
      <c r="P26" s="100">
        <f t="shared" si="8"/>
      </c>
      <c r="Q26" s="100">
        <f t="shared" si="0"/>
      </c>
      <c r="R26" s="100">
        <f t="shared" si="1"/>
      </c>
      <c r="S26" s="100">
        <f t="shared" si="2"/>
      </c>
      <c r="T26" s="100">
        <f t="shared" si="3"/>
      </c>
      <c r="V26" s="85" t="s">
        <v>37</v>
      </c>
      <c r="W26" s="87">
        <f>COUNTIF(Ethnicity,"Any other black background")</f>
        <v>0</v>
      </c>
    </row>
    <row r="27" spans="2:23" s="39" customFormat="1" ht="30" customHeight="1" thickBot="1">
      <c r="B27" s="77">
        <v>22</v>
      </c>
      <c r="C27" s="75"/>
      <c r="D27" s="75"/>
      <c r="E27" s="75"/>
      <c r="F27" s="75"/>
      <c r="G27" s="75"/>
      <c r="H27" s="75"/>
      <c r="I27" s="75"/>
      <c r="J27" s="75"/>
      <c r="K27" s="75"/>
      <c r="L27" s="100">
        <f t="shared" si="4"/>
      </c>
      <c r="M27" s="100">
        <f t="shared" si="5"/>
      </c>
      <c r="N27" s="100">
        <f t="shared" si="6"/>
      </c>
      <c r="O27" s="100">
        <f t="shared" si="7"/>
      </c>
      <c r="P27" s="100">
        <f t="shared" si="8"/>
      </c>
      <c r="Q27" s="100">
        <f t="shared" si="0"/>
      </c>
      <c r="R27" s="100">
        <f t="shared" si="1"/>
      </c>
      <c r="S27" s="100">
        <f t="shared" si="2"/>
      </c>
      <c r="T27" s="100">
        <f t="shared" si="3"/>
      </c>
      <c r="V27" s="85" t="s">
        <v>28</v>
      </c>
      <c r="W27" s="87">
        <f>COUNTIF(Ethnicity,"Chinese")</f>
        <v>0</v>
      </c>
    </row>
    <row r="28" spans="2:23" s="39" customFormat="1" ht="30" customHeight="1" thickBot="1">
      <c r="B28" s="77">
        <v>23</v>
      </c>
      <c r="C28" s="75"/>
      <c r="D28" s="75"/>
      <c r="E28" s="75"/>
      <c r="F28" s="75"/>
      <c r="G28" s="75"/>
      <c r="H28" s="75"/>
      <c r="I28" s="75"/>
      <c r="J28" s="75"/>
      <c r="K28" s="75"/>
      <c r="L28" s="100">
        <f t="shared" si="4"/>
      </c>
      <c r="M28" s="100">
        <f t="shared" si="5"/>
      </c>
      <c r="N28" s="100">
        <f t="shared" si="6"/>
      </c>
      <c r="O28" s="100">
        <f t="shared" si="7"/>
      </c>
      <c r="P28" s="100">
        <f t="shared" si="8"/>
      </c>
      <c r="Q28" s="100">
        <f t="shared" si="0"/>
      </c>
      <c r="R28" s="100">
        <f t="shared" si="1"/>
      </c>
      <c r="S28" s="100">
        <f t="shared" si="2"/>
      </c>
      <c r="T28" s="100">
        <f t="shared" si="3"/>
      </c>
      <c r="V28" s="85" t="s">
        <v>38</v>
      </c>
      <c r="W28" s="87">
        <f>COUNTIF(Ethnicity,"Any other ethnic group")</f>
        <v>0</v>
      </c>
    </row>
    <row r="29" spans="2:23" s="39" customFormat="1" ht="30" customHeight="1" thickBot="1">
      <c r="B29" s="77">
        <v>24</v>
      </c>
      <c r="C29" s="75"/>
      <c r="D29" s="75"/>
      <c r="E29" s="75"/>
      <c r="F29" s="75"/>
      <c r="G29" s="75"/>
      <c r="H29" s="75"/>
      <c r="I29" s="75"/>
      <c r="J29" s="75"/>
      <c r="K29" s="75"/>
      <c r="L29" s="100">
        <f t="shared" si="4"/>
      </c>
      <c r="M29" s="100">
        <f t="shared" si="5"/>
      </c>
      <c r="N29" s="100">
        <f t="shared" si="6"/>
      </c>
      <c r="O29" s="100">
        <f t="shared" si="7"/>
      </c>
      <c r="P29" s="100">
        <f t="shared" si="8"/>
      </c>
      <c r="Q29" s="100">
        <f t="shared" si="0"/>
      </c>
      <c r="R29" s="100">
        <f t="shared" si="1"/>
      </c>
      <c r="S29" s="100">
        <f t="shared" si="2"/>
      </c>
      <c r="T29" s="100">
        <f t="shared" si="3"/>
      </c>
      <c r="V29" s="85" t="s">
        <v>29</v>
      </c>
      <c r="W29" s="87">
        <f>COUNTIF(Ethnicity,"Not stated")</f>
        <v>0</v>
      </c>
    </row>
    <row r="30" spans="2:20" s="39" customFormat="1" ht="30" customHeight="1" thickBot="1">
      <c r="B30" s="77">
        <v>25</v>
      </c>
      <c r="C30" s="75"/>
      <c r="D30" s="75"/>
      <c r="E30" s="75"/>
      <c r="F30" s="75"/>
      <c r="G30" s="75"/>
      <c r="H30" s="75"/>
      <c r="I30" s="75"/>
      <c r="J30" s="75"/>
      <c r="K30" s="75"/>
      <c r="L30" s="100">
        <f t="shared" si="4"/>
      </c>
      <c r="M30" s="100">
        <f t="shared" si="5"/>
      </c>
      <c r="N30" s="100">
        <f t="shared" si="6"/>
      </c>
      <c r="O30" s="100">
        <f t="shared" si="7"/>
      </c>
      <c r="P30" s="100">
        <f t="shared" si="8"/>
      </c>
      <c r="Q30" s="100">
        <f t="shared" si="0"/>
      </c>
      <c r="R30" s="100">
        <f t="shared" si="1"/>
      </c>
      <c r="S30" s="100">
        <f t="shared" si="2"/>
      </c>
      <c r="T30" s="100">
        <f t="shared" si="3"/>
      </c>
    </row>
    <row r="31" spans="2:20" s="39" customFormat="1" ht="30" customHeight="1" thickBot="1">
      <c r="B31" s="77">
        <v>26</v>
      </c>
      <c r="C31" s="75"/>
      <c r="D31" s="75"/>
      <c r="E31" s="75"/>
      <c r="F31" s="75"/>
      <c r="G31" s="75"/>
      <c r="H31" s="75"/>
      <c r="I31" s="75"/>
      <c r="J31" s="75"/>
      <c r="K31" s="75"/>
      <c r="L31" s="100">
        <f t="shared" si="4"/>
      </c>
      <c r="M31" s="100">
        <f t="shared" si="5"/>
      </c>
      <c r="N31" s="100">
        <f t="shared" si="6"/>
      </c>
      <c r="O31" s="100">
        <f t="shared" si="7"/>
      </c>
      <c r="P31" s="100">
        <f t="shared" si="8"/>
      </c>
      <c r="Q31" s="100">
        <f t="shared" si="0"/>
      </c>
      <c r="R31" s="100">
        <f t="shared" si="1"/>
      </c>
      <c r="S31" s="100">
        <f t="shared" si="2"/>
      </c>
      <c r="T31" s="100">
        <f t="shared" si="3"/>
      </c>
    </row>
    <row r="32" spans="2:20" s="39" customFormat="1" ht="30" customHeight="1" thickBot="1">
      <c r="B32" s="77">
        <v>27</v>
      </c>
      <c r="C32" s="75"/>
      <c r="D32" s="75"/>
      <c r="E32" s="75"/>
      <c r="F32" s="75"/>
      <c r="G32" s="75"/>
      <c r="H32" s="75"/>
      <c r="I32" s="75"/>
      <c r="J32" s="75"/>
      <c r="K32" s="75"/>
      <c r="L32" s="100">
        <f t="shared" si="4"/>
      </c>
      <c r="M32" s="100">
        <f t="shared" si="5"/>
      </c>
      <c r="N32" s="100">
        <f t="shared" si="6"/>
      </c>
      <c r="O32" s="100">
        <f t="shared" si="7"/>
      </c>
      <c r="P32" s="100">
        <f t="shared" si="8"/>
      </c>
      <c r="Q32" s="100">
        <f t="shared" si="0"/>
      </c>
      <c r="R32" s="100">
        <f t="shared" si="1"/>
      </c>
      <c r="S32" s="100">
        <f t="shared" si="2"/>
      </c>
      <c r="T32" s="100">
        <f t="shared" si="3"/>
      </c>
    </row>
    <row r="33" spans="2:20" s="39" customFormat="1" ht="30" customHeight="1" thickBot="1">
      <c r="B33" s="77">
        <v>28</v>
      </c>
      <c r="C33" s="75"/>
      <c r="D33" s="75"/>
      <c r="E33" s="75"/>
      <c r="F33" s="75"/>
      <c r="G33" s="75"/>
      <c r="H33" s="75"/>
      <c r="I33" s="75"/>
      <c r="J33" s="75"/>
      <c r="K33" s="75"/>
      <c r="L33" s="100">
        <f t="shared" si="4"/>
      </c>
      <c r="M33" s="100">
        <f t="shared" si="5"/>
      </c>
      <c r="N33" s="100">
        <f t="shared" si="6"/>
      </c>
      <c r="O33" s="100">
        <f t="shared" si="7"/>
      </c>
      <c r="P33" s="100">
        <f t="shared" si="8"/>
      </c>
      <c r="Q33" s="100">
        <f t="shared" si="0"/>
      </c>
      <c r="R33" s="100">
        <f t="shared" si="1"/>
      </c>
      <c r="S33" s="100">
        <f t="shared" si="2"/>
      </c>
      <c r="T33" s="100">
        <f t="shared" si="3"/>
      </c>
    </row>
    <row r="34" spans="2:20" s="39" customFormat="1" ht="30" customHeight="1" thickBot="1">
      <c r="B34" s="77">
        <v>29</v>
      </c>
      <c r="C34" s="75"/>
      <c r="D34" s="75"/>
      <c r="E34" s="75"/>
      <c r="F34" s="75"/>
      <c r="G34" s="75"/>
      <c r="H34" s="75"/>
      <c r="I34" s="75"/>
      <c r="J34" s="75"/>
      <c r="K34" s="75"/>
      <c r="L34" s="100">
        <f t="shared" si="4"/>
      </c>
      <c r="M34" s="100">
        <f t="shared" si="5"/>
      </c>
      <c r="N34" s="100">
        <f t="shared" si="6"/>
      </c>
      <c r="O34" s="100">
        <f t="shared" si="7"/>
      </c>
      <c r="P34" s="100">
        <f t="shared" si="8"/>
      </c>
      <c r="Q34" s="100">
        <f t="shared" si="0"/>
      </c>
      <c r="R34" s="100">
        <f t="shared" si="1"/>
      </c>
      <c r="S34" s="100">
        <f t="shared" si="2"/>
      </c>
      <c r="T34" s="100">
        <f t="shared" si="3"/>
      </c>
    </row>
    <row r="35" spans="2:20" s="39" customFormat="1" ht="30" customHeight="1" thickBot="1">
      <c r="B35" s="77">
        <v>30</v>
      </c>
      <c r="C35" s="75"/>
      <c r="D35" s="75"/>
      <c r="E35" s="75"/>
      <c r="F35" s="75"/>
      <c r="G35" s="75"/>
      <c r="H35" s="75"/>
      <c r="I35" s="75"/>
      <c r="J35" s="75"/>
      <c r="K35" s="75"/>
      <c r="L35" s="100">
        <f t="shared" si="4"/>
      </c>
      <c r="M35" s="100">
        <f t="shared" si="5"/>
      </c>
      <c r="N35" s="100">
        <f t="shared" si="6"/>
      </c>
      <c r="O35" s="100">
        <f t="shared" si="7"/>
      </c>
      <c r="P35" s="100">
        <f t="shared" si="8"/>
      </c>
      <c r="Q35" s="100">
        <f t="shared" si="0"/>
      </c>
      <c r="R35" s="100">
        <f t="shared" si="1"/>
      </c>
      <c r="S35" s="100">
        <f t="shared" si="2"/>
      </c>
      <c r="T35" s="100">
        <f t="shared" si="3"/>
      </c>
    </row>
    <row r="36" spans="2:20" s="39" customFormat="1" ht="30" customHeight="1" thickBot="1">
      <c r="B36" s="78">
        <v>31</v>
      </c>
      <c r="C36" s="75"/>
      <c r="D36" s="75"/>
      <c r="E36" s="75"/>
      <c r="F36" s="75"/>
      <c r="G36" s="75"/>
      <c r="H36" s="75"/>
      <c r="I36" s="75"/>
      <c r="J36" s="75"/>
      <c r="K36" s="75"/>
      <c r="L36" s="100">
        <f t="shared" si="4"/>
      </c>
      <c r="M36" s="100">
        <f t="shared" si="5"/>
      </c>
      <c r="N36" s="100">
        <f t="shared" si="6"/>
      </c>
      <c r="O36" s="100">
        <f t="shared" si="7"/>
      </c>
      <c r="P36" s="100">
        <f t="shared" si="8"/>
      </c>
      <c r="Q36" s="100">
        <f t="shared" si="0"/>
      </c>
      <c r="R36" s="100">
        <f t="shared" si="1"/>
      </c>
      <c r="S36" s="100">
        <f t="shared" si="2"/>
      </c>
      <c r="T36" s="100">
        <f t="shared" si="3"/>
      </c>
    </row>
    <row r="37" spans="2:20" s="39" customFormat="1" ht="30" customHeight="1" thickBot="1">
      <c r="B37" s="77">
        <v>32</v>
      </c>
      <c r="C37" s="75"/>
      <c r="D37" s="75"/>
      <c r="E37" s="75"/>
      <c r="F37" s="75"/>
      <c r="G37" s="75"/>
      <c r="H37" s="75"/>
      <c r="I37" s="75"/>
      <c r="J37" s="75"/>
      <c r="K37" s="75"/>
      <c r="L37" s="100">
        <f t="shared" si="4"/>
      </c>
      <c r="M37" s="100">
        <f t="shared" si="5"/>
      </c>
      <c r="N37" s="100">
        <f t="shared" si="6"/>
      </c>
      <c r="O37" s="100">
        <f t="shared" si="7"/>
      </c>
      <c r="P37" s="100">
        <f t="shared" si="8"/>
      </c>
      <c r="Q37" s="100">
        <f t="shared" si="0"/>
      </c>
      <c r="R37" s="100">
        <f t="shared" si="1"/>
      </c>
      <c r="S37" s="100">
        <f t="shared" si="2"/>
      </c>
      <c r="T37" s="100">
        <f t="shared" si="3"/>
      </c>
    </row>
    <row r="38" spans="2:20" s="39" customFormat="1" ht="30" customHeight="1" thickBot="1">
      <c r="B38" s="77">
        <v>33</v>
      </c>
      <c r="C38" s="75"/>
      <c r="D38" s="75"/>
      <c r="E38" s="75"/>
      <c r="F38" s="75"/>
      <c r="G38" s="75"/>
      <c r="H38" s="75"/>
      <c r="I38" s="75"/>
      <c r="J38" s="75"/>
      <c r="K38" s="75"/>
      <c r="L38" s="100">
        <f t="shared" si="4"/>
      </c>
      <c r="M38" s="100">
        <f t="shared" si="5"/>
      </c>
      <c r="N38" s="100">
        <f t="shared" si="6"/>
      </c>
      <c r="O38" s="100">
        <f t="shared" si="7"/>
      </c>
      <c r="P38" s="100">
        <f t="shared" si="8"/>
      </c>
      <c r="Q38" s="100">
        <f t="shared" si="0"/>
      </c>
      <c r="R38" s="100">
        <f t="shared" si="1"/>
      </c>
      <c r="S38" s="100">
        <f t="shared" si="2"/>
      </c>
      <c r="T38" s="100">
        <f t="shared" si="3"/>
      </c>
    </row>
    <row r="39" spans="2:20" s="39" customFormat="1" ht="30" customHeight="1" thickBot="1">
      <c r="B39" s="77">
        <v>34</v>
      </c>
      <c r="C39" s="75"/>
      <c r="D39" s="75"/>
      <c r="E39" s="75"/>
      <c r="F39" s="75"/>
      <c r="G39" s="75"/>
      <c r="H39" s="75"/>
      <c r="I39" s="75"/>
      <c r="J39" s="75"/>
      <c r="K39" s="75"/>
      <c r="L39" s="100">
        <f t="shared" si="4"/>
      </c>
      <c r="M39" s="100">
        <f t="shared" si="5"/>
      </c>
      <c r="N39" s="100">
        <f t="shared" si="6"/>
      </c>
      <c r="O39" s="100">
        <f t="shared" si="7"/>
      </c>
      <c r="P39" s="100">
        <f t="shared" si="8"/>
      </c>
      <c r="Q39" s="100">
        <f t="shared" si="0"/>
      </c>
      <c r="R39" s="100">
        <f t="shared" si="1"/>
      </c>
      <c r="S39" s="100">
        <f t="shared" si="2"/>
      </c>
      <c r="T39" s="100">
        <f t="shared" si="3"/>
      </c>
    </row>
    <row r="40" spans="2:20" s="39" customFormat="1" ht="30" customHeight="1" thickBot="1">
      <c r="B40" s="77">
        <v>35</v>
      </c>
      <c r="C40" s="75"/>
      <c r="D40" s="75"/>
      <c r="E40" s="75"/>
      <c r="F40" s="75"/>
      <c r="G40" s="75"/>
      <c r="H40" s="75"/>
      <c r="I40" s="75"/>
      <c r="J40" s="75"/>
      <c r="K40" s="75"/>
      <c r="L40" s="100">
        <f t="shared" si="4"/>
      </c>
      <c r="M40" s="100">
        <f t="shared" si="5"/>
      </c>
      <c r="N40" s="100">
        <f t="shared" si="6"/>
      </c>
      <c r="O40" s="100">
        <f t="shared" si="7"/>
      </c>
      <c r="P40" s="100">
        <f t="shared" si="8"/>
      </c>
      <c r="Q40" s="100">
        <f t="shared" si="0"/>
      </c>
      <c r="R40" s="100">
        <f t="shared" si="1"/>
      </c>
      <c r="S40" s="100">
        <f t="shared" si="2"/>
      </c>
      <c r="T40" s="100">
        <f t="shared" si="3"/>
      </c>
    </row>
    <row r="41" spans="2:20" s="39" customFormat="1" ht="30" customHeight="1" thickBot="1">
      <c r="B41" s="77">
        <v>36</v>
      </c>
      <c r="C41" s="75"/>
      <c r="D41" s="75"/>
      <c r="E41" s="75"/>
      <c r="F41" s="75"/>
      <c r="G41" s="75"/>
      <c r="H41" s="75"/>
      <c r="I41" s="75"/>
      <c r="J41" s="75"/>
      <c r="K41" s="75"/>
      <c r="L41" s="100">
        <f t="shared" si="4"/>
      </c>
      <c r="M41" s="100">
        <f t="shared" si="5"/>
      </c>
      <c r="N41" s="100">
        <f t="shared" si="6"/>
      </c>
      <c r="O41" s="100">
        <f t="shared" si="7"/>
      </c>
      <c r="P41" s="100">
        <f t="shared" si="8"/>
      </c>
      <c r="Q41" s="100">
        <f t="shared" si="0"/>
      </c>
      <c r="R41" s="100">
        <f t="shared" si="1"/>
      </c>
      <c r="S41" s="100">
        <f t="shared" si="2"/>
      </c>
      <c r="T41" s="100">
        <f t="shared" si="3"/>
      </c>
    </row>
    <row r="42" spans="2:20" s="39" customFormat="1" ht="30" customHeight="1" thickBot="1">
      <c r="B42" s="77">
        <v>37</v>
      </c>
      <c r="C42" s="75"/>
      <c r="D42" s="75"/>
      <c r="E42" s="75"/>
      <c r="F42" s="75"/>
      <c r="G42" s="75"/>
      <c r="H42" s="75"/>
      <c r="I42" s="75"/>
      <c r="J42" s="75"/>
      <c r="K42" s="75"/>
      <c r="L42" s="100">
        <f t="shared" si="4"/>
      </c>
      <c r="M42" s="100">
        <f t="shared" si="5"/>
      </c>
      <c r="N42" s="100">
        <f t="shared" si="6"/>
      </c>
      <c r="O42" s="100">
        <f t="shared" si="7"/>
      </c>
      <c r="P42" s="100">
        <f t="shared" si="8"/>
      </c>
      <c r="Q42" s="100">
        <f t="shared" si="0"/>
      </c>
      <c r="R42" s="100">
        <f t="shared" si="1"/>
      </c>
      <c r="S42" s="100">
        <f t="shared" si="2"/>
      </c>
      <c r="T42" s="100">
        <f t="shared" si="3"/>
      </c>
    </row>
    <row r="43" spans="2:20" s="39" customFormat="1" ht="30" customHeight="1" thickBot="1">
      <c r="B43" s="77">
        <v>38</v>
      </c>
      <c r="C43" s="75"/>
      <c r="D43" s="75"/>
      <c r="E43" s="75"/>
      <c r="F43" s="75"/>
      <c r="G43" s="75"/>
      <c r="H43" s="75"/>
      <c r="I43" s="75"/>
      <c r="J43" s="75"/>
      <c r="K43" s="75"/>
      <c r="L43" s="100">
        <f t="shared" si="4"/>
      </c>
      <c r="M43" s="100">
        <f t="shared" si="5"/>
      </c>
      <c r="N43" s="100">
        <f t="shared" si="6"/>
      </c>
      <c r="O43" s="100">
        <f t="shared" si="7"/>
      </c>
      <c r="P43" s="100">
        <f t="shared" si="8"/>
      </c>
      <c r="Q43" s="100">
        <f t="shared" si="0"/>
      </c>
      <c r="R43" s="100">
        <f t="shared" si="1"/>
      </c>
      <c r="S43" s="100">
        <f t="shared" si="2"/>
      </c>
      <c r="T43" s="100">
        <f t="shared" si="3"/>
      </c>
    </row>
    <row r="44" spans="2:20" s="39" customFormat="1" ht="30" customHeight="1" thickBot="1">
      <c r="B44" s="77">
        <v>39</v>
      </c>
      <c r="C44" s="75"/>
      <c r="D44" s="75"/>
      <c r="E44" s="75"/>
      <c r="F44" s="75"/>
      <c r="G44" s="75"/>
      <c r="H44" s="75"/>
      <c r="I44" s="75"/>
      <c r="J44" s="75"/>
      <c r="K44" s="75"/>
      <c r="L44" s="100">
        <f t="shared" si="4"/>
      </c>
      <c r="M44" s="100">
        <f t="shared" si="5"/>
      </c>
      <c r="N44" s="100">
        <f t="shared" si="6"/>
      </c>
      <c r="O44" s="100">
        <f t="shared" si="7"/>
      </c>
      <c r="P44" s="100">
        <f t="shared" si="8"/>
      </c>
      <c r="Q44" s="100">
        <f t="shared" si="0"/>
      </c>
      <c r="R44" s="100">
        <f t="shared" si="1"/>
      </c>
      <c r="S44" s="100">
        <f t="shared" si="2"/>
      </c>
      <c r="T44" s="100">
        <f t="shared" si="3"/>
      </c>
    </row>
    <row r="45" spans="2:20" s="39" customFormat="1" ht="30" customHeight="1" thickBot="1">
      <c r="B45" s="77">
        <v>40</v>
      </c>
      <c r="C45" s="75"/>
      <c r="D45" s="75"/>
      <c r="E45" s="75"/>
      <c r="F45" s="75"/>
      <c r="G45" s="75"/>
      <c r="H45" s="75"/>
      <c r="I45" s="75"/>
      <c r="J45" s="75"/>
      <c r="K45" s="75"/>
      <c r="L45" s="100">
        <f t="shared" si="4"/>
      </c>
      <c r="M45" s="100">
        <f t="shared" si="5"/>
      </c>
      <c r="N45" s="100">
        <f t="shared" si="6"/>
      </c>
      <c r="O45" s="100">
        <f t="shared" si="7"/>
      </c>
      <c r="P45" s="100">
        <f t="shared" si="8"/>
      </c>
      <c r="Q45" s="100">
        <f t="shared" si="0"/>
      </c>
      <c r="R45" s="100">
        <f t="shared" si="1"/>
      </c>
      <c r="S45" s="100">
        <f t="shared" si="2"/>
      </c>
      <c r="T45" s="100">
        <f t="shared" si="3"/>
      </c>
    </row>
    <row r="46" spans="2:20" s="39" customFormat="1" ht="30" customHeight="1" thickBot="1">
      <c r="B46" s="77" t="s">
        <v>87</v>
      </c>
      <c r="C46" s="75"/>
      <c r="D46" s="75"/>
      <c r="E46" s="75"/>
      <c r="F46" s="75"/>
      <c r="G46" s="75"/>
      <c r="H46" s="75"/>
      <c r="I46" s="75"/>
      <c r="J46" s="75"/>
      <c r="K46" s="75"/>
      <c r="L46" s="100">
        <f t="shared" si="4"/>
      </c>
      <c r="M46" s="100">
        <f t="shared" si="5"/>
      </c>
      <c r="N46" s="100">
        <f t="shared" si="6"/>
      </c>
      <c r="O46" s="100">
        <f t="shared" si="7"/>
      </c>
      <c r="P46" s="100">
        <f t="shared" si="8"/>
      </c>
      <c r="Q46" s="100">
        <f t="shared" si="0"/>
      </c>
      <c r="R46" s="100">
        <f t="shared" si="1"/>
      </c>
      <c r="S46" s="100">
        <f t="shared" si="2"/>
      </c>
      <c r="T46" s="100">
        <f t="shared" si="3"/>
      </c>
    </row>
    <row r="47" spans="2:20" s="39" customFormat="1" ht="13.5" thickBot="1">
      <c r="B47" s="3" t="s">
        <v>5</v>
      </c>
      <c r="C47" s="43"/>
      <c r="D47" s="44"/>
      <c r="E47" s="45"/>
      <c r="F47" s="79">
        <f aca="true" t="shared" si="9" ref="F47:K47">COUNTIF(F6:F46,"Yes")</f>
        <v>0</v>
      </c>
      <c r="G47" s="79">
        <f t="shared" si="9"/>
        <v>0</v>
      </c>
      <c r="H47" s="79">
        <f t="shared" si="9"/>
        <v>0</v>
      </c>
      <c r="I47" s="79">
        <f t="shared" si="9"/>
        <v>0</v>
      </c>
      <c r="J47" s="79">
        <f t="shared" si="9"/>
        <v>0</v>
      </c>
      <c r="K47" s="79">
        <f t="shared" si="9"/>
        <v>0</v>
      </c>
      <c r="L47" s="79">
        <f aca="true" t="shared" si="10" ref="L47:T47">COUNTIF(L6:L46,"Met")</f>
        <v>0</v>
      </c>
      <c r="M47" s="79">
        <f t="shared" si="10"/>
        <v>0</v>
      </c>
      <c r="N47" s="79">
        <f t="shared" si="10"/>
        <v>0</v>
      </c>
      <c r="O47" s="79">
        <f t="shared" si="10"/>
        <v>0</v>
      </c>
      <c r="P47" s="79">
        <f t="shared" si="10"/>
        <v>0</v>
      </c>
      <c r="Q47" s="79">
        <f t="shared" si="10"/>
        <v>0</v>
      </c>
      <c r="R47" s="79">
        <f t="shared" si="10"/>
        <v>0</v>
      </c>
      <c r="S47" s="79">
        <f t="shared" si="10"/>
        <v>0</v>
      </c>
      <c r="T47" s="79">
        <f t="shared" si="10"/>
        <v>0</v>
      </c>
    </row>
    <row r="48" spans="2:20" s="39" customFormat="1" ht="13.5" thickBot="1">
      <c r="B48" s="3" t="s">
        <v>6</v>
      </c>
      <c r="C48" s="46"/>
      <c r="D48" s="37"/>
      <c r="E48" s="47"/>
      <c r="F48" s="79">
        <f aca="true" t="shared" si="11" ref="F48:K48">COUNTIF(F6:F46,"No")</f>
        <v>0</v>
      </c>
      <c r="G48" s="79">
        <f t="shared" si="11"/>
        <v>0</v>
      </c>
      <c r="H48" s="79">
        <f t="shared" si="11"/>
        <v>0</v>
      </c>
      <c r="I48" s="79">
        <f t="shared" si="11"/>
        <v>0</v>
      </c>
      <c r="J48" s="79">
        <f t="shared" si="11"/>
        <v>0</v>
      </c>
      <c r="K48" s="79">
        <f t="shared" si="11"/>
        <v>0</v>
      </c>
      <c r="L48" s="79">
        <f aca="true" t="shared" si="12" ref="L48:T48">COUNTIF(L6:L46,"Not met")</f>
        <v>0</v>
      </c>
      <c r="M48" s="79">
        <f t="shared" si="12"/>
        <v>0</v>
      </c>
      <c r="N48" s="79">
        <f t="shared" si="12"/>
        <v>0</v>
      </c>
      <c r="O48" s="79">
        <f t="shared" si="12"/>
        <v>0</v>
      </c>
      <c r="P48" s="79">
        <f t="shared" si="12"/>
        <v>0</v>
      </c>
      <c r="Q48" s="79">
        <f t="shared" si="12"/>
        <v>0</v>
      </c>
      <c r="R48" s="79">
        <f t="shared" si="12"/>
        <v>0</v>
      </c>
      <c r="S48" s="79">
        <f t="shared" si="12"/>
        <v>0</v>
      </c>
      <c r="T48" s="79">
        <f t="shared" si="12"/>
        <v>0</v>
      </c>
    </row>
    <row r="49" spans="2:20" s="39" customFormat="1" ht="13.5" thickBot="1">
      <c r="B49" s="3" t="s">
        <v>7</v>
      </c>
      <c r="C49" s="46"/>
      <c r="D49" s="37"/>
      <c r="E49" s="47"/>
      <c r="F49" s="79">
        <f aca="true" t="shared" si="13" ref="F49:L49">SUM(F47:F48)</f>
        <v>0</v>
      </c>
      <c r="G49" s="79">
        <f t="shared" si="13"/>
        <v>0</v>
      </c>
      <c r="H49" s="79">
        <f t="shared" si="13"/>
        <v>0</v>
      </c>
      <c r="I49" s="79">
        <f t="shared" si="13"/>
        <v>0</v>
      </c>
      <c r="J49" s="79">
        <f t="shared" si="13"/>
        <v>0</v>
      </c>
      <c r="K49" s="79">
        <f t="shared" si="13"/>
        <v>0</v>
      </c>
      <c r="L49" s="79">
        <f t="shared" si="13"/>
        <v>0</v>
      </c>
      <c r="M49" s="79">
        <f aca="true" t="shared" si="14" ref="M49:T49">SUM(M47:M48)</f>
        <v>0</v>
      </c>
      <c r="N49" s="79">
        <f t="shared" si="14"/>
        <v>0</v>
      </c>
      <c r="O49" s="79">
        <f t="shared" si="14"/>
        <v>0</v>
      </c>
      <c r="P49" s="79">
        <f>SUM(P47:P48)</f>
        <v>0</v>
      </c>
      <c r="Q49" s="79">
        <f t="shared" si="14"/>
        <v>0</v>
      </c>
      <c r="R49" s="79">
        <f t="shared" si="14"/>
        <v>0</v>
      </c>
      <c r="S49" s="79">
        <f t="shared" si="14"/>
        <v>0</v>
      </c>
      <c r="T49" s="79">
        <f t="shared" si="14"/>
        <v>0</v>
      </c>
    </row>
    <row r="50" spans="2:20" s="51" customFormat="1" ht="13.5" thickBot="1">
      <c r="B50" s="5" t="s">
        <v>8</v>
      </c>
      <c r="C50" s="48"/>
      <c r="D50" s="49"/>
      <c r="E50" s="50"/>
      <c r="F50" s="80" t="str">
        <f aca="true" t="shared" si="15" ref="F50:L50">IF(ISERROR(F47/F49),"%",F47/F49)</f>
        <v>%</v>
      </c>
      <c r="G50" s="80" t="str">
        <f t="shared" si="15"/>
        <v>%</v>
      </c>
      <c r="H50" s="80" t="str">
        <f t="shared" si="15"/>
        <v>%</v>
      </c>
      <c r="I50" s="80" t="str">
        <f t="shared" si="15"/>
        <v>%</v>
      </c>
      <c r="J50" s="80" t="str">
        <f t="shared" si="15"/>
        <v>%</v>
      </c>
      <c r="K50" s="80" t="str">
        <f t="shared" si="15"/>
        <v>%</v>
      </c>
      <c r="L50" s="80" t="str">
        <f t="shared" si="15"/>
        <v>%</v>
      </c>
      <c r="M50" s="80" t="str">
        <f aca="true" t="shared" si="16" ref="M50:T50">IF(ISERROR(M47/M49),"%",M47/M49)</f>
        <v>%</v>
      </c>
      <c r="N50" s="80" t="str">
        <f t="shared" si="16"/>
        <v>%</v>
      </c>
      <c r="O50" s="80" t="str">
        <f>IF(ISERROR(O47/O49),"%",O47/O49)</f>
        <v>%</v>
      </c>
      <c r="P50" s="80" t="str">
        <f>IF(ISERROR(P47/P49),"%",P47/P49)</f>
        <v>%</v>
      </c>
      <c r="Q50" s="80" t="str">
        <f t="shared" si="16"/>
        <v>%</v>
      </c>
      <c r="R50" s="80" t="str">
        <f t="shared" si="16"/>
        <v>%</v>
      </c>
      <c r="S50" s="80" t="str">
        <f>IF(ISERROR(S48/S49),"%",S48/S49)</f>
        <v>%</v>
      </c>
      <c r="T50" s="80" t="str">
        <f t="shared" si="16"/>
        <v>%</v>
      </c>
    </row>
    <row r="51" spans="3:20" s="39" customFormat="1" ht="12.75">
      <c r="C51" s="52"/>
      <c r="F51" s="81"/>
      <c r="G51" s="81"/>
      <c r="H51" s="81"/>
      <c r="I51" s="81"/>
      <c r="J51" s="81"/>
      <c r="K51" s="81"/>
      <c r="L51" s="81"/>
      <c r="M51" s="81"/>
      <c r="N51" s="81"/>
      <c r="O51" s="81"/>
      <c r="P51" s="81"/>
      <c r="Q51" s="81"/>
      <c r="R51" s="81"/>
      <c r="S51" s="81"/>
      <c r="T51" s="81"/>
    </row>
    <row r="52" spans="3:20" s="39" customFormat="1" ht="13.5" thickBot="1">
      <c r="C52" s="52"/>
      <c r="F52" s="81"/>
      <c r="G52" s="81"/>
      <c r="H52" s="81"/>
      <c r="I52" s="81"/>
      <c r="J52" s="81"/>
      <c r="K52" s="81"/>
      <c r="L52" s="81"/>
      <c r="M52" s="81"/>
      <c r="N52" s="81"/>
      <c r="O52" s="81"/>
      <c r="P52" s="81"/>
      <c r="Q52" s="81"/>
      <c r="R52" s="81"/>
      <c r="S52" s="81"/>
      <c r="T52" s="81"/>
    </row>
    <row r="53" spans="2:20" s="39" customFormat="1" ht="13.5" thickBot="1">
      <c r="B53" s="3" t="s">
        <v>18</v>
      </c>
      <c r="C53" s="52"/>
      <c r="F53" s="79">
        <f aca="true" t="shared" si="17" ref="F53:O53">COUNTIF(F6:F46,"NA")</f>
        <v>0</v>
      </c>
      <c r="G53" s="79">
        <f t="shared" si="17"/>
        <v>0</v>
      </c>
      <c r="H53" s="79">
        <f t="shared" si="17"/>
        <v>0</v>
      </c>
      <c r="I53" s="79">
        <f t="shared" si="17"/>
        <v>0</v>
      </c>
      <c r="J53" s="79">
        <f t="shared" si="17"/>
        <v>0</v>
      </c>
      <c r="K53" s="79">
        <f t="shared" si="17"/>
        <v>0</v>
      </c>
      <c r="L53" s="79">
        <f t="shared" si="17"/>
        <v>0</v>
      </c>
      <c r="M53" s="79">
        <f t="shared" si="17"/>
        <v>0</v>
      </c>
      <c r="N53" s="79">
        <f t="shared" si="17"/>
        <v>0</v>
      </c>
      <c r="O53" s="79">
        <f t="shared" si="17"/>
        <v>0</v>
      </c>
      <c r="P53" s="79"/>
      <c r="Q53" s="79">
        <f>COUNTIF(Q6:Q46,"NA")</f>
        <v>0</v>
      </c>
      <c r="R53" s="79">
        <f>COUNTIF(R6:R46,"NA")</f>
        <v>0</v>
      </c>
      <c r="S53" s="79">
        <f>COUNTIF(S6:S46,"NA")</f>
        <v>0</v>
      </c>
      <c r="T53" s="79">
        <f>COUNTIF(T6:T46,"NA")</f>
        <v>0</v>
      </c>
    </row>
    <row r="54" spans="2:20" s="39" customFormat="1" ht="13.5" thickBot="1">
      <c r="B54" s="3" t="s">
        <v>21</v>
      </c>
      <c r="C54" s="52"/>
      <c r="F54" s="79">
        <f aca="true" t="shared" si="18" ref="F54:O54">COUNTIF(F6:F46,"*Exception*")</f>
        <v>0</v>
      </c>
      <c r="G54" s="79">
        <f t="shared" si="18"/>
        <v>0</v>
      </c>
      <c r="H54" s="79">
        <f t="shared" si="18"/>
        <v>0</v>
      </c>
      <c r="I54" s="79">
        <f t="shared" si="18"/>
        <v>0</v>
      </c>
      <c r="J54" s="79">
        <f t="shared" si="18"/>
        <v>0</v>
      </c>
      <c r="K54" s="79">
        <f t="shared" si="18"/>
        <v>0</v>
      </c>
      <c r="L54" s="79">
        <f t="shared" si="18"/>
        <v>0</v>
      </c>
      <c r="M54" s="79">
        <f t="shared" si="18"/>
        <v>0</v>
      </c>
      <c r="N54" s="79">
        <f t="shared" si="18"/>
        <v>0</v>
      </c>
      <c r="O54" s="79">
        <f t="shared" si="18"/>
        <v>0</v>
      </c>
      <c r="P54" s="79"/>
      <c r="Q54" s="79">
        <f>COUNTIF(Q6:Q46,"*Exception*")</f>
        <v>0</v>
      </c>
      <c r="R54" s="79">
        <f>COUNTIF(R6:R46,"*Exception*")</f>
        <v>0</v>
      </c>
      <c r="S54" s="79">
        <f>COUNTIF(S6:S46,"*Exception*")</f>
        <v>0</v>
      </c>
      <c r="T54" s="79">
        <f>COUNTIF(T6:T46,"*Exception*")</f>
        <v>0</v>
      </c>
    </row>
    <row r="57" spans="2:5" ht="15">
      <c r="B57" s="153" t="s">
        <v>78</v>
      </c>
      <c r="C57" s="141"/>
      <c r="D57" s="141"/>
      <c r="E57" s="141"/>
    </row>
    <row r="58" spans="2:5" ht="40.5" customHeight="1">
      <c r="B58" s="148" t="s">
        <v>130</v>
      </c>
      <c r="C58" s="149"/>
      <c r="D58" s="149"/>
      <c r="E58" s="149"/>
    </row>
    <row r="59" spans="2:5" ht="15">
      <c r="B59" s="150"/>
      <c r="C59" s="147"/>
      <c r="D59" s="147"/>
      <c r="E59" s="147"/>
    </row>
    <row r="60" spans="2:5" ht="15">
      <c r="B60" s="150"/>
      <c r="C60" s="147"/>
      <c r="D60" s="147"/>
      <c r="E60" s="147"/>
    </row>
    <row r="61" spans="2:5" ht="15">
      <c r="B61" s="150"/>
      <c r="C61" s="147"/>
      <c r="D61" s="147"/>
      <c r="E61" s="147"/>
    </row>
    <row r="62" spans="2:5" ht="15">
      <c r="B62" s="146"/>
      <c r="C62" s="147"/>
      <c r="D62" s="147"/>
      <c r="E62" s="147"/>
    </row>
    <row r="63" spans="2:5" ht="15">
      <c r="B63" s="146"/>
      <c r="C63" s="147"/>
      <c r="D63" s="147"/>
      <c r="E63" s="147"/>
    </row>
    <row r="64" spans="2:5" ht="15">
      <c r="B64" s="146"/>
      <c r="C64" s="147"/>
      <c r="D64" s="147"/>
      <c r="E64" s="147"/>
    </row>
    <row r="65" spans="2:5" ht="15">
      <c r="B65" s="146"/>
      <c r="C65" s="147"/>
      <c r="D65" s="147"/>
      <c r="E65" s="147"/>
    </row>
    <row r="79" ht="14.25" hidden="1">
      <c r="B79" s="39" t="s">
        <v>22</v>
      </c>
    </row>
    <row r="80" ht="14.25" hidden="1">
      <c r="B80" s="39" t="s">
        <v>23</v>
      </c>
    </row>
    <row r="81" ht="14.25" hidden="1">
      <c r="B81" s="39" t="s">
        <v>34</v>
      </c>
    </row>
    <row r="82" ht="14.25" hidden="1">
      <c r="B82" s="39" t="s">
        <v>30</v>
      </c>
    </row>
    <row r="83" ht="14.25" hidden="1">
      <c r="B83" s="39" t="s">
        <v>31</v>
      </c>
    </row>
    <row r="84" ht="14.25" hidden="1">
      <c r="B84" s="39" t="s">
        <v>24</v>
      </c>
    </row>
    <row r="85" ht="14.25" hidden="1">
      <c r="B85" s="39" t="s">
        <v>35</v>
      </c>
    </row>
    <row r="86" ht="14.25" hidden="1">
      <c r="B86" s="39" t="s">
        <v>25</v>
      </c>
    </row>
    <row r="87" ht="14.25" hidden="1">
      <c r="B87" s="39" t="s">
        <v>26</v>
      </c>
    </row>
    <row r="88" ht="14.25" hidden="1">
      <c r="B88" s="39" t="s">
        <v>27</v>
      </c>
    </row>
    <row r="89" ht="14.25" hidden="1">
      <c r="B89" s="39" t="s">
        <v>36</v>
      </c>
    </row>
    <row r="90" ht="14.25" hidden="1">
      <c r="B90" s="39" t="s">
        <v>32</v>
      </c>
    </row>
    <row r="91" ht="14.25" hidden="1">
      <c r="B91" s="39" t="s">
        <v>33</v>
      </c>
    </row>
    <row r="92" ht="14.25" hidden="1">
      <c r="B92" s="39" t="s">
        <v>37</v>
      </c>
    </row>
    <row r="93" ht="14.25" hidden="1">
      <c r="B93" s="39" t="s">
        <v>28</v>
      </c>
    </row>
    <row r="94" ht="14.25" hidden="1">
      <c r="B94" s="39" t="s">
        <v>38</v>
      </c>
    </row>
    <row r="95" ht="14.25" hidden="1">
      <c r="B95" s="39" t="s">
        <v>29</v>
      </c>
    </row>
  </sheetData>
  <sheetProtection formatCells="0" formatColumns="0" formatRows="0" insertColumns="0" insertRows="0" insertHyperlinks="0" deleteColumns="0" deleteRows="0" sort="0" autoFilter="0" pivotTables="0"/>
  <mergeCells count="11">
    <mergeCell ref="B1:R1"/>
    <mergeCell ref="B2:J2"/>
    <mergeCell ref="B57:E57"/>
    <mergeCell ref="B62:E62"/>
    <mergeCell ref="B63:E63"/>
    <mergeCell ref="B64:E64"/>
    <mergeCell ref="B65:E65"/>
    <mergeCell ref="B58:E58"/>
    <mergeCell ref="B59:E59"/>
    <mergeCell ref="B60:E60"/>
    <mergeCell ref="B61:E61"/>
  </mergeCells>
  <conditionalFormatting sqref="H6:H46">
    <cfRule type="expression" priority="28" dxfId="0" stopIfTrue="1">
      <formula>AND(F6="Ribavirin",G6=1)</formula>
    </cfRule>
    <cfRule type="expression" priority="32" dxfId="0" stopIfTrue="1">
      <formula>AND(F6="Ribavirin",G6=2)</formula>
    </cfRule>
    <cfRule type="expression" priority="44" dxfId="0" stopIfTrue="1">
      <formula>AND(F6="Peginterferon alfa and ribavirin",G6=1)</formula>
    </cfRule>
  </conditionalFormatting>
  <conditionalFormatting sqref="I6:I46">
    <cfRule type="expression" priority="25" dxfId="0" stopIfTrue="1">
      <formula>AND(F6="Ribavirin",G6=3)</formula>
    </cfRule>
    <cfRule type="expression" priority="27" dxfId="0" stopIfTrue="1">
      <formula>AND(F6="Ribavirin",G6=1)</formula>
    </cfRule>
    <cfRule type="expression" priority="34" dxfId="0" stopIfTrue="1">
      <formula>G6&gt;3</formula>
    </cfRule>
    <cfRule type="expression" priority="40" dxfId="0" stopIfTrue="1">
      <formula>AND(F6="Peginterferon alfa and ribavirin",G6=3,H6="Yes")</formula>
    </cfRule>
    <cfRule type="expression" priority="43" dxfId="0" stopIfTrue="1">
      <formula>AND(F6="Peginterferon alfa and ribavirin",G6=1)</formula>
    </cfRule>
  </conditionalFormatting>
  <conditionalFormatting sqref="J6:J46">
    <cfRule type="expression" priority="24" dxfId="0" stopIfTrue="1">
      <formula>AND(F6="Ribavirin",G6=3)</formula>
    </cfRule>
    <cfRule type="expression" priority="26" dxfId="0" stopIfTrue="1">
      <formula>AND(F6="Ribavirin",G6=1)</formula>
    </cfRule>
    <cfRule type="expression" priority="33" dxfId="0" stopIfTrue="1">
      <formula>G6&gt;3</formula>
    </cfRule>
    <cfRule type="expression" priority="37" dxfId="0" stopIfTrue="1">
      <formula>AND(F6="Peginterferon alfa and ribavirin",G6=3,H6="No",I6="Yes")</formula>
    </cfRule>
    <cfRule type="expression" priority="39" dxfId="0" stopIfTrue="1">
      <formula>AND(F6="Peginterferon alfa and ribavirin",G6=3,H6="Yes")</formula>
    </cfRule>
    <cfRule type="expression" priority="42" dxfId="0" stopIfTrue="1">
      <formula>AND(F6="Peginterferon alfa and ribavirin",G6=1)</formula>
    </cfRule>
  </conditionalFormatting>
  <conditionalFormatting sqref="K6:K46">
    <cfRule type="expression" priority="29" dxfId="0" stopIfTrue="1">
      <formula>AND(F6="Ribavirin",G6=2,I6="No",J6="Yes")</formula>
    </cfRule>
    <cfRule type="expression" priority="30" dxfId="0" stopIfTrue="1">
      <formula>AND(F6="Ribavirin",G6=2,I6="Yes")</formula>
    </cfRule>
    <cfRule type="expression" priority="36" dxfId="0" stopIfTrue="1">
      <formula>AND(F6="Peginterferon alfa and ribavirin",G6=3,H6="No",I6="Yes")</formula>
    </cfRule>
    <cfRule type="expression" priority="38" dxfId="0" stopIfTrue="1">
      <formula>AND(F6="Peginterferon alfa and ribavirin",G6=3,H6="Yes")</formula>
    </cfRule>
    <cfRule type="expression" priority="41" dxfId="0" stopIfTrue="1">
      <formula>AND(F6="Peginterferon alfa and ribavirin",G6=1)</formula>
    </cfRule>
  </conditionalFormatting>
  <conditionalFormatting sqref="J6:J46">
    <cfRule type="expression" priority="23" dxfId="0" stopIfTrue="1">
      <formula>AND(F6="Peginterferon alfa and ribavirin",G6=3)</formula>
    </cfRule>
  </conditionalFormatting>
  <conditionalFormatting sqref="H6:H46">
    <cfRule type="expression" priority="22" dxfId="0" stopIfTrue="1">
      <formula>AND(F6="Ribavirin",G6&gt;3)</formula>
    </cfRule>
  </conditionalFormatting>
  <dataValidations count="6">
    <dataValidation type="list" allowBlank="1" showInputMessage="1" showErrorMessage="1" sqref="D6:D46">
      <formula1>"Male,Female"</formula1>
    </dataValidation>
    <dataValidation type="list" allowBlank="1" showInputMessage="1" showErrorMessage="1" sqref="E6:E46">
      <formula1>$B$79:$B$95</formula1>
    </dataValidation>
    <dataValidation type="list" allowBlank="1" showInputMessage="1" showErrorMessage="1" sqref="H6:J46">
      <formula1>"Yes, No, NA, Exception"</formula1>
    </dataValidation>
    <dataValidation type="list" allowBlank="1" showInputMessage="1" showErrorMessage="1" sqref="F6:F46">
      <formula1>"Peginterferon alfa and ribavirin, Ribavirin"</formula1>
    </dataValidation>
    <dataValidation type="list" allowBlank="1" showInputMessage="1" showErrorMessage="1" sqref="G6:G46">
      <formula1>"1,2,3,4,5,6"</formula1>
    </dataValidation>
    <dataValidation type="list" allowBlank="1" showInputMessage="1" showErrorMessage="1" sqref="K6:K46">
      <formula1>"Yes"</formula1>
    </dataValidation>
  </dataValidations>
  <printOptions/>
  <pageMargins left="0.7086614173228347" right="0.7086614173228347" top="0.7480314960629921" bottom="0.7480314960629921" header="0.31496062992125984" footer="0.31496062992125984"/>
  <pageSetup fitToWidth="4" horizontalDpi="300" verticalDpi="300" orientation="landscape" paperSize="9" scale="50" r:id="rId3"/>
  <ignoredErrors>
    <ignoredError sqref="Q53:T54 L49:L50 F47:H50 F53:H54 J47:J50 J53:J54 L53:O54" unlockedFormula="1"/>
  </ignoredErrors>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B1:N116"/>
  <sheetViews>
    <sheetView showGridLines="0" zoomScalePageLayoutView="0" workbookViewId="0" topLeftCell="A1">
      <selection activeCell="B8" sqref="B8:I8"/>
    </sheetView>
  </sheetViews>
  <sheetFormatPr defaultColWidth="9.140625" defaultRowHeight="15"/>
  <cols>
    <col min="1" max="1" width="9.140625" style="29" customWidth="1"/>
    <col min="2" max="2" width="29.7109375" style="29" customWidth="1"/>
    <col min="3" max="4" width="11.421875" style="29" customWidth="1"/>
    <col min="5" max="5" width="30.421875" style="29" customWidth="1"/>
    <col min="6" max="9" width="13.00390625" style="29" customWidth="1"/>
    <col min="10" max="16384" width="9.140625" style="29" customWidth="1"/>
  </cols>
  <sheetData>
    <row r="1" spans="2:9" ht="22.5" customHeight="1">
      <c r="B1" s="160" t="str">
        <f>'Hidden sheet'!B2&amp;" clinical audit report"</f>
        <v>Sofosbuvir for treating chronic hepatitis C clinical audit report</v>
      </c>
      <c r="C1" s="161"/>
      <c r="D1" s="161"/>
      <c r="E1" s="161"/>
      <c r="F1" s="161"/>
      <c r="G1" s="161"/>
      <c r="H1" s="161"/>
      <c r="I1" s="161"/>
    </row>
    <row r="2" spans="2:9" ht="14.25">
      <c r="B2" s="162"/>
      <c r="C2" s="162"/>
      <c r="D2" s="162"/>
      <c r="E2" s="162"/>
      <c r="F2" s="162"/>
      <c r="G2" s="162"/>
      <c r="H2" s="162"/>
      <c r="I2" s="141"/>
    </row>
    <row r="3" spans="2:14" s="73" customFormat="1" ht="15.75">
      <c r="B3" s="154" t="s">
        <v>41</v>
      </c>
      <c r="C3" s="154"/>
      <c r="D3" s="154"/>
      <c r="E3" s="155"/>
      <c r="F3" s="155"/>
      <c r="G3" s="155"/>
      <c r="H3" s="156"/>
      <c r="I3" s="156"/>
      <c r="J3" s="90"/>
      <c r="K3" s="90"/>
      <c r="L3" s="90"/>
      <c r="M3" s="90"/>
      <c r="N3" s="90"/>
    </row>
    <row r="4" spans="2:14" s="73" customFormat="1" ht="15.75" customHeight="1">
      <c r="B4" s="157" t="str">
        <f>Introduction!B1&amp;"."</f>
        <v>Sofosbuvir for treating chronic hepatitis C clinical audit.</v>
      </c>
      <c r="C4" s="157"/>
      <c r="D4" s="157"/>
      <c r="E4" s="158"/>
      <c r="F4" s="158"/>
      <c r="G4" s="158"/>
      <c r="H4" s="159"/>
      <c r="I4" s="159"/>
      <c r="J4" s="90"/>
      <c r="K4" s="90"/>
      <c r="L4" s="90"/>
      <c r="M4" s="90"/>
      <c r="N4" s="90"/>
    </row>
    <row r="5" spans="2:14" s="73" customFormat="1" ht="15.75" customHeight="1">
      <c r="B5" s="157"/>
      <c r="C5" s="157"/>
      <c r="D5" s="157"/>
      <c r="E5" s="158"/>
      <c r="F5" s="158"/>
      <c r="G5" s="158"/>
      <c r="H5" s="159"/>
      <c r="I5" s="159"/>
      <c r="J5" s="90"/>
      <c r="K5" s="90"/>
      <c r="L5" s="90"/>
      <c r="M5" s="90"/>
      <c r="N5" s="90"/>
    </row>
    <row r="6" spans="2:14" s="73" customFormat="1" ht="15.75">
      <c r="B6" s="154" t="s">
        <v>42</v>
      </c>
      <c r="C6" s="154"/>
      <c r="D6" s="154"/>
      <c r="E6" s="155"/>
      <c r="F6" s="155"/>
      <c r="G6" s="155"/>
      <c r="H6" s="156"/>
      <c r="I6" s="156"/>
      <c r="J6" s="90"/>
      <c r="K6" s="90"/>
      <c r="L6" s="90"/>
      <c r="M6" s="90"/>
      <c r="N6" s="90"/>
    </row>
    <row r="7" spans="2:14" s="73" customFormat="1" ht="31.5" customHeight="1">
      <c r="B7" s="157" t="str">
        <f>"The aim of this clinical audit is "&amp;'Hidden sheet'!B6&amp;"."</f>
        <v>The aim of this clinical audit is to improve the appropriate use of sofosbuvir for treating chronic hepatitis C.</v>
      </c>
      <c r="C7" s="157"/>
      <c r="D7" s="157"/>
      <c r="E7" s="158"/>
      <c r="F7" s="158"/>
      <c r="G7" s="158"/>
      <c r="H7" s="159"/>
      <c r="I7" s="159"/>
      <c r="J7" s="90"/>
      <c r="K7" s="90"/>
      <c r="L7" s="90"/>
      <c r="M7" s="90"/>
      <c r="N7" s="90"/>
    </row>
    <row r="8" spans="2:14" s="73" customFormat="1" ht="15.75">
      <c r="B8" s="154" t="s">
        <v>62</v>
      </c>
      <c r="C8" s="154"/>
      <c r="D8" s="154"/>
      <c r="E8" s="155"/>
      <c r="F8" s="155"/>
      <c r="G8" s="155"/>
      <c r="H8" s="156"/>
      <c r="I8" s="156"/>
      <c r="J8" s="90"/>
      <c r="K8" s="90"/>
      <c r="L8" s="90"/>
      <c r="M8" s="90"/>
      <c r="N8" s="90"/>
    </row>
    <row r="9" spans="2:14" s="73" customFormat="1" ht="15">
      <c r="B9" s="157" t="str">
        <f>"The audit standards are based on "&amp;'Hidden sheet'!B3&amp;". NICE technology appraisal guidance "&amp;'Hidden sheet'!B4&amp;" ("&amp;'Hidden sheet'!B5&amp;")."</f>
        <v>The audit standards are based on sofosbuvir for treating chronic hepatitis C. NICE technology appraisal guidance 330 (2015).</v>
      </c>
      <c r="C9" s="157"/>
      <c r="D9" s="157"/>
      <c r="E9" s="158"/>
      <c r="F9" s="158"/>
      <c r="G9" s="158"/>
      <c r="H9" s="159"/>
      <c r="I9" s="159"/>
      <c r="J9" s="90"/>
      <c r="K9" s="90"/>
      <c r="L9" s="90"/>
      <c r="M9" s="90"/>
      <c r="N9" s="90"/>
    </row>
    <row r="10" spans="2:14" s="73" customFormat="1" ht="15.75" customHeight="1">
      <c r="B10" s="157"/>
      <c r="C10" s="157"/>
      <c r="D10" s="157"/>
      <c r="E10" s="158"/>
      <c r="F10" s="158"/>
      <c r="G10" s="158"/>
      <c r="H10" s="159"/>
      <c r="I10" s="159"/>
      <c r="J10" s="90"/>
      <c r="K10" s="90"/>
      <c r="L10" s="90"/>
      <c r="M10" s="90"/>
      <c r="N10" s="90"/>
    </row>
    <row r="11" spans="2:14" s="73" customFormat="1" ht="15.75">
      <c r="B11" s="154" t="s">
        <v>43</v>
      </c>
      <c r="C11" s="154"/>
      <c r="D11" s="154"/>
      <c r="E11" s="155"/>
      <c r="F11" s="155"/>
      <c r="G11" s="155"/>
      <c r="H11" s="156"/>
      <c r="I11" s="156"/>
      <c r="J11" s="90"/>
      <c r="K11" s="90"/>
      <c r="L11" s="90"/>
      <c r="M11" s="90"/>
      <c r="N11" s="90"/>
    </row>
    <row r="12" spans="2:14" s="73" customFormat="1" ht="31.5" customHeight="1">
      <c r="B12" s="157" t="str">
        <f>"The audit sample includes "&amp;'Hidden sheet'!B9&amp;"."</f>
        <v>The audit sample includes adults having sofosbuvir in combination with peginterferon alfa and ribavirin or in combination with ribavirin alone for chronic hepatitis C.</v>
      </c>
      <c r="C12" s="157"/>
      <c r="D12" s="157"/>
      <c r="E12" s="158"/>
      <c r="F12" s="158"/>
      <c r="G12" s="158"/>
      <c r="H12" s="159"/>
      <c r="I12" s="159"/>
      <c r="J12" s="90"/>
      <c r="K12" s="90"/>
      <c r="L12" s="90"/>
      <c r="M12" s="90"/>
      <c r="N12" s="90"/>
    </row>
    <row r="13" spans="2:14" s="73" customFormat="1" ht="15">
      <c r="B13" s="157"/>
      <c r="C13" s="157"/>
      <c r="D13" s="157"/>
      <c r="E13" s="158"/>
      <c r="F13" s="158"/>
      <c r="G13" s="158"/>
      <c r="H13" s="159"/>
      <c r="I13" s="159"/>
      <c r="J13" s="90"/>
      <c r="K13" s="90"/>
      <c r="L13" s="90"/>
      <c r="M13" s="90"/>
      <c r="N13" s="90"/>
    </row>
    <row r="14" spans="2:14" s="73" customFormat="1" ht="17.25" customHeight="1">
      <c r="B14" s="154" t="s">
        <v>48</v>
      </c>
      <c r="C14" s="154"/>
      <c r="D14" s="154"/>
      <c r="E14" s="154"/>
      <c r="F14" s="154"/>
      <c r="G14" s="154"/>
      <c r="H14" s="156"/>
      <c r="I14" s="156"/>
      <c r="J14" s="90"/>
      <c r="K14" s="90"/>
      <c r="L14" s="90"/>
      <c r="M14" s="90"/>
      <c r="N14" s="90"/>
    </row>
    <row r="15" spans="2:9" s="73" customFormat="1" ht="15">
      <c r="B15" s="180"/>
      <c r="C15" s="147"/>
      <c r="D15" s="147"/>
      <c r="E15" s="147"/>
      <c r="F15" s="31" t="s">
        <v>19</v>
      </c>
      <c r="G15" s="32">
        <f>COUNTA('Data collection'!F6:F46)</f>
        <v>0</v>
      </c>
      <c r="H15" s="31" t="s">
        <v>20</v>
      </c>
      <c r="I15" s="35">
        <f>COUNTA('Re-audit'!F6:F46)</f>
        <v>0</v>
      </c>
    </row>
    <row r="16" spans="2:9" s="73" customFormat="1" ht="15" thickBot="1">
      <c r="B16" s="164"/>
      <c r="C16" s="165"/>
      <c r="D16" s="165"/>
      <c r="E16" s="165"/>
      <c r="F16" s="165"/>
      <c r="G16" s="165"/>
      <c r="H16" s="165"/>
      <c r="I16" s="165"/>
    </row>
    <row r="17" spans="2:9" ht="15.75" thickBot="1">
      <c r="B17" s="181" t="s">
        <v>62</v>
      </c>
      <c r="C17" s="182"/>
      <c r="D17" s="182"/>
      <c r="E17" s="183"/>
      <c r="F17" s="181" t="s">
        <v>49</v>
      </c>
      <c r="G17" s="182"/>
      <c r="H17" s="181" t="s">
        <v>50</v>
      </c>
      <c r="I17" s="183"/>
    </row>
    <row r="18" spans="2:9" s="94" customFormat="1" ht="15.75" thickBot="1">
      <c r="B18" s="108" t="s">
        <v>149</v>
      </c>
      <c r="C18" s="113"/>
      <c r="D18" s="113"/>
      <c r="E18" s="114"/>
      <c r="F18" s="108"/>
      <c r="G18" s="113">
        <f>COUNTIF('Data collection'!$F$6:$F$46,"Peginterferon alfa and ribavirin")</f>
        <v>0</v>
      </c>
      <c r="H18" s="108"/>
      <c r="I18" s="107"/>
    </row>
    <row r="19" spans="2:9" s="94" customFormat="1" ht="37.5" customHeight="1" thickBot="1">
      <c r="B19" s="169" t="s">
        <v>144</v>
      </c>
      <c r="C19" s="170"/>
      <c r="D19" s="170"/>
      <c r="E19" s="171"/>
      <c r="F19" s="108"/>
      <c r="G19" s="106"/>
      <c r="H19" s="108"/>
      <c r="I19" s="107"/>
    </row>
    <row r="20" spans="2:9" ht="44.25" customHeight="1">
      <c r="B20" s="166" t="s">
        <v>145</v>
      </c>
      <c r="C20" s="167"/>
      <c r="D20" s="167"/>
      <c r="E20" s="168"/>
      <c r="F20" s="109">
        <f>IF('Data collection'!$L$50="%","",'Data collection'!$L$50/$G$18)</f>
      </c>
      <c r="G20" s="112">
        <f>IF('Data collection'!$L50="%","",'Data collection'!$L47&amp;"/"&amp;$G18)</f>
      </c>
      <c r="H20" s="109">
        <f>IF('Re-audit'!$L$50="%","",'Re-audit'!$L$50/$G$18)</f>
      </c>
      <c r="I20" s="112">
        <f>IF('Re-audit'!$L50="%","",'Re-audit'!$L47&amp;"/"&amp;$G18)</f>
      </c>
    </row>
    <row r="21" spans="2:9" s="94" customFormat="1" ht="17.25" customHeight="1">
      <c r="B21" s="184" t="s">
        <v>121</v>
      </c>
      <c r="C21" s="136"/>
      <c r="D21" s="136"/>
      <c r="E21" s="185"/>
      <c r="F21" s="104">
        <f>IF('Data collection'!$M50="%","",'Data collection'!$M50/$G18)</f>
      </c>
      <c r="G21" s="105">
        <f>IF('Data collection'!$M50="%","",'Data collection'!$M47&amp;"/"&amp;$G18)</f>
      </c>
      <c r="H21" s="104">
        <f>IF('Re-audit'!$M50="%","",'Re-audit'!$M50/$G18)</f>
      </c>
      <c r="I21" s="105">
        <f>IF('Re-audit'!$M50="%","",'Re-audit'!$M47&amp;"/"&amp;$G18)</f>
      </c>
    </row>
    <row r="22" spans="2:9" s="94" customFormat="1" ht="30.75" customHeight="1">
      <c r="B22" s="186" t="s">
        <v>165</v>
      </c>
      <c r="C22" s="137"/>
      <c r="D22" s="137"/>
      <c r="E22" s="187"/>
      <c r="F22" s="104">
        <f>IF('Data collection'!$N50="%","",'Data collection'!$N50/$G18)</f>
      </c>
      <c r="G22" s="105">
        <f>IF('Data collection'!$N50="%","",'Data collection'!$N47&amp;"/"&amp;$G18)</f>
      </c>
      <c r="H22" s="104">
        <f>IF('Re-audit'!$N50="%","",'Re-audit'!$N50/$G18)</f>
      </c>
      <c r="I22" s="105">
        <f>IF('Re-audit'!$N50="%","",'Re-audit'!$N47&amp;"/"&amp;$G18)</f>
      </c>
    </row>
    <row r="23" spans="2:9" s="94" customFormat="1" ht="15.75" customHeight="1" thickBot="1">
      <c r="B23" s="117" t="s">
        <v>133</v>
      </c>
      <c r="C23" s="115"/>
      <c r="D23" s="115"/>
      <c r="E23" s="116"/>
      <c r="F23" s="101">
        <f>IF('Data collection'!$O50="%","",'Data collection'!$O47/$G18)</f>
      </c>
      <c r="G23" s="103">
        <f>IF('Data collection'!$O50="%","",'Data collection'!$O47&amp;"/"&amp;$G18)</f>
      </c>
      <c r="H23" s="101">
        <f>IF('Re-audit'!$O50="%","",'Re-audit'!$O47/$G18)</f>
      </c>
      <c r="I23" s="103">
        <f>IF('Re-audit'!$O50="%","",'Re-audit'!$O47&amp;"/"&amp;$G18)</f>
      </c>
    </row>
    <row r="24" spans="2:10" ht="65.25" customHeight="1" thickBot="1">
      <c r="B24" s="166" t="str">
        <f>'Audit standards'!B12&amp;"
(The results show the number of people who were receiving sofosbuvir in combination with peginterferon alfa and ribavirin so a low number is desirable.)"</f>
        <v>2. People do not have sofosbuvir in combination with peginterferon alfa and ribavirin if they have genotype 2 chronic hepatitis C.
(The results show the number of people who were receiving sofosbuvir in combination with peginterferon alfa and ribavirin so a low number is desirable.)</v>
      </c>
      <c r="C24" s="167"/>
      <c r="D24" s="167"/>
      <c r="E24" s="168"/>
      <c r="F24" s="102">
        <f>IF('Data collection'!$P$48=0,"",'Data collection'!$P$48/$G$18)</f>
      </c>
      <c r="G24" s="102">
        <f>IF('Data collection'!P$48=0,"",'Data collection'!P$48&amp;"/"&amp;$G$18)</f>
      </c>
      <c r="H24" s="102">
        <f>IF('Re-audit'!$P$48=0,"",'Re-audit'!$P$48/$G$18)</f>
      </c>
      <c r="I24" s="102">
        <f>IF('Re-audit'!P$48=0,"",'Re-audit'!P$48&amp;"/"&amp;$G$18)</f>
      </c>
      <c r="J24" s="119"/>
    </row>
    <row r="25" spans="2:9" s="94" customFormat="1" ht="15.75" thickBot="1">
      <c r="B25" s="108" t="s">
        <v>146</v>
      </c>
      <c r="C25" s="113"/>
      <c r="D25" s="113"/>
      <c r="E25" s="114"/>
      <c r="F25" s="108"/>
      <c r="G25" s="113">
        <f>COUNTIF('Data collection'!$F6:$F46,"Ribavirin")</f>
        <v>0</v>
      </c>
      <c r="H25" s="108"/>
      <c r="I25" s="120">
        <f>COUNTIF('Re-audit'!$F6:$F46,"Ribavirin")</f>
        <v>0</v>
      </c>
    </row>
    <row r="26" spans="2:9" s="94" customFormat="1" ht="37.5" customHeight="1" thickBot="1">
      <c r="B26" s="169" t="s">
        <v>147</v>
      </c>
      <c r="C26" s="170"/>
      <c r="D26" s="170"/>
      <c r="E26" s="171"/>
      <c r="F26" s="108"/>
      <c r="G26" s="106"/>
      <c r="H26" s="108"/>
      <c r="I26" s="118"/>
    </row>
    <row r="27" spans="2:9" ht="60" customHeight="1">
      <c r="B27" s="166" t="s">
        <v>148</v>
      </c>
      <c r="C27" s="167"/>
      <c r="D27" s="167"/>
      <c r="E27" s="168"/>
      <c r="F27" s="109">
        <f>IF('Data collection'!$Q50="%","",'Data collection'!$Q47/$G25)</f>
      </c>
      <c r="G27" s="109">
        <f>IF('Data collection'!$Q50="%","",'Data collection'!$Q47&amp;"/"&amp;$G$25)</f>
      </c>
      <c r="H27" s="109">
        <f>IF('Re-audit'!$Q50="%","",'Re-audit'!$Q47/$G25)</f>
      </c>
      <c r="I27" s="109">
        <f>IF('Re-audit'!$Q50="%","",'Re-audit'!$Q47&amp;"/"&amp;$G$25)</f>
      </c>
    </row>
    <row r="28" spans="2:9" s="94" customFormat="1" ht="18" customHeight="1" thickBot="1">
      <c r="B28" s="175" t="s">
        <v>127</v>
      </c>
      <c r="C28" s="176"/>
      <c r="D28" s="176"/>
      <c r="E28" s="177"/>
      <c r="F28" s="111">
        <f>IF('Data collection'!$R50="%","",'Data collection'!$R47/$G25)</f>
      </c>
      <c r="G28" s="111">
        <f>IF('Data collection'!$R50="%","",'Data collection'!$R47&amp;"/"&amp;$G25)</f>
      </c>
      <c r="H28" s="111">
        <f>IF('Re-audit'!$R50="%","",'Re-audit'!$R47/$G25)</f>
      </c>
      <c r="I28" s="111">
        <f>IF('Re-audit'!$R50="%","",'Re-audit'!$R47&amp;"/"&amp;$G25)</f>
      </c>
    </row>
    <row r="29" spans="2:9" ht="61.5" customHeight="1" thickBot="1">
      <c r="B29" s="172" t="str">
        <f>'Audit standards'!B15&amp;"
(The results show the number of people who were receiving sofosbuvir in combination with ribavirin so a low number is desirable.)"</f>
        <v>4. People do not have sofosbuvir in combination with ribavirin alone if they have genotype 1, 4, 5 or 6 chronic hepatitis C.
(The results show the number of people who were receiving sofosbuvir in combination with ribavirin so a low number is desirable.)</v>
      </c>
      <c r="C29" s="178"/>
      <c r="D29" s="178"/>
      <c r="E29" s="179"/>
      <c r="F29" s="102">
        <f>IF('Data collection'!$S50="%","",'Data collection'!$S48/$G25)</f>
      </c>
      <c r="G29" s="102">
        <f>IF('Data collection'!$S50="%","",'Data collection'!$S48&amp;"/"&amp;$G25)</f>
      </c>
      <c r="H29" s="102">
        <f>IF('Re-audit'!$S50="%","",'Re-audit'!$S48/$G25)</f>
      </c>
      <c r="I29" s="102">
        <f>IF('Re-audit'!$S50="%","",'Re-audit'!$S48&amp;"/"&amp;$G25)</f>
      </c>
    </row>
    <row r="30" spans="2:9" ht="46.5" customHeight="1" thickBot="1">
      <c r="B30" s="172" t="str">
        <f>'Audit standards'!B16</f>
        <v>5. People having sofosbuvir in combination with ribavirin alone for the treatment of genotype 3 chronic hepatitis C  have cirrhosis and are intolerant to or ineligible for interferon.</v>
      </c>
      <c r="C30" s="178"/>
      <c r="D30" s="178"/>
      <c r="E30" s="179"/>
      <c r="F30" s="102">
        <f>IF('Data collection'!$T50="%","",'Data collection'!$T47/$G25)</f>
      </c>
      <c r="G30" s="102">
        <f>IF('Data collection'!$T50="%","",'Data collection'!$T47&amp;"/"&amp;$G25)</f>
      </c>
      <c r="H30" s="102">
        <f>IF('Re-audit'!$T50="%","",'Re-audit'!$T47/$G25)</f>
      </c>
      <c r="I30" s="102">
        <f>IF('Re-audit'!$T50="%","",'Re-audit'!$T47&amp;"/"&amp;$G25)</f>
      </c>
    </row>
    <row r="31" spans="2:9" s="94" customFormat="1" ht="46.5" customHeight="1" thickBot="1">
      <c r="B31" s="172" t="s">
        <v>150</v>
      </c>
      <c r="C31" s="173"/>
      <c r="D31" s="173"/>
      <c r="E31" s="174"/>
      <c r="F31" s="110">
        <f>IF('Data collection'!$K50="%","",'Data collection'!$K47/($G18+$G25))</f>
      </c>
      <c r="G31" s="110">
        <f>IF('Data collection'!$K50="%","",'Data collection'!$K47&amp;"/"&amp;($G18+$G25))</f>
      </c>
      <c r="H31" s="110">
        <f>IF('Re-audit'!$K50="%","",'Re-audit'!$K47/($G18+$G25))</f>
      </c>
      <c r="I31" s="110">
        <f>IF('Re-audit'!$K50="%","",'Re-audit'!$K47&amp;"/"&amp;($G18+$G25))</f>
      </c>
    </row>
    <row r="32" s="73" customFormat="1" ht="14.25"/>
    <row r="33" spans="2:9" s="73" customFormat="1" ht="15.75">
      <c r="B33" s="154" t="s">
        <v>45</v>
      </c>
      <c r="C33" s="154"/>
      <c r="D33" s="154"/>
      <c r="E33" s="154"/>
      <c r="F33" s="154"/>
      <c r="G33" s="154"/>
      <c r="H33" s="154"/>
      <c r="I33" s="90"/>
    </row>
    <row r="34" spans="2:9" s="73" customFormat="1" ht="32.25" customHeight="1">
      <c r="B34" s="157" t="s">
        <v>95</v>
      </c>
      <c r="C34" s="157"/>
      <c r="D34" s="157"/>
      <c r="E34" s="157"/>
      <c r="F34" s="157"/>
      <c r="G34" s="157"/>
      <c r="H34" s="157"/>
      <c r="I34" s="157"/>
    </row>
    <row r="35" spans="2:9" s="73" customFormat="1" ht="14.25">
      <c r="B35" s="157"/>
      <c r="C35" s="157"/>
      <c r="D35" s="157"/>
      <c r="E35" s="157"/>
      <c r="F35" s="157"/>
      <c r="G35" s="157"/>
      <c r="H35" s="157"/>
      <c r="I35" s="157"/>
    </row>
    <row r="36" spans="2:9" s="73" customFormat="1" ht="14.25">
      <c r="B36" s="157" t="s">
        <v>52</v>
      </c>
      <c r="C36" s="157"/>
      <c r="D36" s="157"/>
      <c r="E36" s="157"/>
      <c r="F36" s="157"/>
      <c r="G36" s="157"/>
      <c r="H36" s="157"/>
      <c r="I36" s="157"/>
    </row>
    <row r="37" spans="2:9" s="73" customFormat="1" ht="14.25">
      <c r="B37" s="157"/>
      <c r="C37" s="157"/>
      <c r="D37" s="157"/>
      <c r="E37" s="157"/>
      <c r="F37" s="157"/>
      <c r="G37" s="157"/>
      <c r="H37" s="157"/>
      <c r="I37" s="157"/>
    </row>
    <row r="38" spans="2:9" s="73" customFormat="1" ht="14.25">
      <c r="B38" s="163"/>
      <c r="C38" s="163"/>
      <c r="D38" s="163"/>
      <c r="E38" s="163"/>
      <c r="F38" s="163"/>
      <c r="G38" s="163"/>
      <c r="H38" s="163"/>
      <c r="I38" s="163"/>
    </row>
    <row r="39" spans="2:9" s="73" customFormat="1" ht="14.25">
      <c r="B39" s="163"/>
      <c r="C39" s="163"/>
      <c r="D39" s="163"/>
      <c r="E39" s="163"/>
      <c r="F39" s="163"/>
      <c r="G39" s="163"/>
      <c r="H39" s="163"/>
      <c r="I39" s="163"/>
    </row>
    <row r="40" spans="2:9" s="73" customFormat="1" ht="14.25">
      <c r="B40" s="163"/>
      <c r="C40" s="163"/>
      <c r="D40" s="163"/>
      <c r="E40" s="163"/>
      <c r="F40" s="163"/>
      <c r="G40" s="163"/>
      <c r="H40" s="163"/>
      <c r="I40" s="163"/>
    </row>
    <row r="41" spans="2:9" s="73" customFormat="1" ht="14.25">
      <c r="B41" s="163"/>
      <c r="C41" s="163"/>
      <c r="D41" s="163"/>
      <c r="E41" s="163"/>
      <c r="F41" s="163"/>
      <c r="G41" s="163"/>
      <c r="H41" s="163"/>
      <c r="I41" s="163"/>
    </row>
    <row r="42" spans="2:9" s="73" customFormat="1" ht="14.25">
      <c r="B42" s="163"/>
      <c r="C42" s="163"/>
      <c r="D42" s="163"/>
      <c r="E42" s="163"/>
      <c r="F42" s="163"/>
      <c r="G42" s="163"/>
      <c r="H42" s="163"/>
      <c r="I42" s="163"/>
    </row>
    <row r="43" spans="2:9" s="73" customFormat="1" ht="14.25">
      <c r="B43" s="163"/>
      <c r="C43" s="163"/>
      <c r="D43" s="163"/>
      <c r="E43" s="163"/>
      <c r="F43" s="163"/>
      <c r="G43" s="163"/>
      <c r="H43" s="163"/>
      <c r="I43" s="163"/>
    </row>
    <row r="44" spans="2:9" s="73" customFormat="1" ht="14.25">
      <c r="B44" s="163"/>
      <c r="C44" s="163"/>
      <c r="D44" s="163"/>
      <c r="E44" s="163"/>
      <c r="F44" s="163"/>
      <c r="G44" s="163"/>
      <c r="H44" s="163"/>
      <c r="I44" s="163"/>
    </row>
    <row r="45" spans="2:9" s="73" customFormat="1" ht="14.25">
      <c r="B45" s="163"/>
      <c r="C45" s="163"/>
      <c r="D45" s="163"/>
      <c r="E45" s="163"/>
      <c r="F45" s="163"/>
      <c r="G45" s="163"/>
      <c r="H45" s="163"/>
      <c r="I45" s="163"/>
    </row>
    <row r="46" spans="2:9" s="73" customFormat="1" ht="14.25">
      <c r="B46" s="163"/>
      <c r="C46" s="163"/>
      <c r="D46" s="163"/>
      <c r="E46" s="163"/>
      <c r="F46" s="163"/>
      <c r="G46" s="163"/>
      <c r="H46" s="163"/>
      <c r="I46" s="163"/>
    </row>
    <row r="47" spans="2:9" s="73" customFormat="1" ht="14.25">
      <c r="B47" s="163"/>
      <c r="C47" s="163"/>
      <c r="D47" s="163"/>
      <c r="E47" s="163"/>
      <c r="F47" s="163"/>
      <c r="G47" s="163"/>
      <c r="H47" s="163"/>
      <c r="I47" s="163"/>
    </row>
    <row r="48" spans="2:9" s="73" customFormat="1" ht="14.25">
      <c r="B48" s="163"/>
      <c r="C48" s="163"/>
      <c r="D48" s="163"/>
      <c r="E48" s="163"/>
      <c r="F48" s="163"/>
      <c r="G48" s="163"/>
      <c r="H48" s="163"/>
      <c r="I48" s="163"/>
    </row>
    <row r="49" spans="2:9" s="73" customFormat="1" ht="14.25">
      <c r="B49" s="163"/>
      <c r="C49" s="163"/>
      <c r="D49" s="163"/>
      <c r="E49" s="163"/>
      <c r="F49" s="163"/>
      <c r="G49" s="163"/>
      <c r="H49" s="163"/>
      <c r="I49" s="163"/>
    </row>
    <row r="50" spans="2:9" s="73" customFormat="1" ht="14.25">
      <c r="B50" s="163"/>
      <c r="C50" s="163"/>
      <c r="D50" s="163"/>
      <c r="E50" s="163"/>
      <c r="F50" s="163"/>
      <c r="G50" s="163"/>
      <c r="H50" s="163"/>
      <c r="I50" s="163"/>
    </row>
    <row r="51" spans="2:9" s="73" customFormat="1" ht="14.25">
      <c r="B51" s="163"/>
      <c r="C51" s="163"/>
      <c r="D51" s="163"/>
      <c r="E51" s="163"/>
      <c r="F51" s="163"/>
      <c r="G51" s="163"/>
      <c r="H51" s="163"/>
      <c r="I51" s="163"/>
    </row>
    <row r="52" spans="2:9" s="73" customFormat="1" ht="14.25">
      <c r="B52" s="72"/>
      <c r="C52" s="72"/>
      <c r="D52" s="72"/>
      <c r="E52" s="72"/>
      <c r="F52" s="72"/>
      <c r="G52" s="72"/>
      <c r="H52" s="72"/>
      <c r="I52" s="72"/>
    </row>
    <row r="53" spans="2:9" s="73" customFormat="1" ht="14.25">
      <c r="B53" s="72"/>
      <c r="C53" s="72"/>
      <c r="D53" s="72"/>
      <c r="E53" s="72"/>
      <c r="F53" s="72"/>
      <c r="G53" s="72"/>
      <c r="H53" s="72"/>
      <c r="I53" s="72"/>
    </row>
    <row r="54" spans="2:9" s="73" customFormat="1" ht="14.25">
      <c r="B54" s="72"/>
      <c r="C54" s="72"/>
      <c r="D54" s="72"/>
      <c r="E54" s="72"/>
      <c r="F54" s="72"/>
      <c r="G54" s="72"/>
      <c r="H54" s="72"/>
      <c r="I54" s="72"/>
    </row>
    <row r="55" spans="2:9" s="73" customFormat="1" ht="14.25">
      <c r="B55" s="72"/>
      <c r="C55" s="72"/>
      <c r="D55" s="72"/>
      <c r="E55" s="72"/>
      <c r="F55" s="72"/>
      <c r="G55" s="72"/>
      <c r="H55" s="72"/>
      <c r="I55" s="72"/>
    </row>
    <row r="56" spans="2:9" s="73" customFormat="1" ht="14.25">
      <c r="B56" s="72"/>
      <c r="C56" s="72"/>
      <c r="D56" s="72"/>
      <c r="E56" s="72"/>
      <c r="F56" s="72"/>
      <c r="G56" s="72"/>
      <c r="H56" s="72"/>
      <c r="I56" s="72"/>
    </row>
    <row r="57" spans="2:9" s="73" customFormat="1" ht="14.25">
      <c r="B57" s="72"/>
      <c r="C57" s="72"/>
      <c r="D57" s="72"/>
      <c r="E57" s="72"/>
      <c r="F57" s="72"/>
      <c r="G57" s="72"/>
      <c r="H57" s="72"/>
      <c r="I57" s="72"/>
    </row>
    <row r="58" spans="2:9" s="73" customFormat="1" ht="14.25">
      <c r="B58" s="72"/>
      <c r="C58" s="72"/>
      <c r="D58" s="72"/>
      <c r="E58" s="72"/>
      <c r="F58" s="72"/>
      <c r="G58" s="72"/>
      <c r="H58" s="72"/>
      <c r="I58" s="72"/>
    </row>
    <row r="59" spans="2:9" s="73" customFormat="1" ht="14.25">
      <c r="B59" s="72"/>
      <c r="C59" s="72"/>
      <c r="D59" s="72"/>
      <c r="E59" s="72"/>
      <c r="F59" s="72"/>
      <c r="G59" s="72"/>
      <c r="H59" s="72"/>
      <c r="I59" s="72"/>
    </row>
    <row r="60" spans="2:9" s="73" customFormat="1" ht="14.25">
      <c r="B60" s="72"/>
      <c r="C60" s="72"/>
      <c r="D60" s="72"/>
      <c r="E60" s="72"/>
      <c r="F60" s="72"/>
      <c r="G60" s="72"/>
      <c r="H60" s="72"/>
      <c r="I60" s="72"/>
    </row>
    <row r="61" spans="2:9" s="73" customFormat="1" ht="14.25">
      <c r="B61" s="72"/>
      <c r="C61" s="72"/>
      <c r="D61" s="72"/>
      <c r="E61" s="72"/>
      <c r="F61" s="72"/>
      <c r="G61" s="72"/>
      <c r="H61" s="72"/>
      <c r="I61" s="72"/>
    </row>
    <row r="62" spans="2:9" s="73" customFormat="1" ht="14.25">
      <c r="B62" s="72"/>
      <c r="C62" s="72"/>
      <c r="D62" s="72"/>
      <c r="E62" s="72"/>
      <c r="F62" s="72"/>
      <c r="G62" s="72"/>
      <c r="H62" s="72"/>
      <c r="I62" s="72"/>
    </row>
    <row r="63" spans="2:9" s="73" customFormat="1" ht="14.25">
      <c r="B63" s="72"/>
      <c r="C63" s="72"/>
      <c r="D63" s="72"/>
      <c r="E63" s="72"/>
      <c r="F63" s="72"/>
      <c r="G63" s="72"/>
      <c r="H63" s="72"/>
      <c r="I63" s="72"/>
    </row>
    <row r="64" spans="2:9" s="73" customFormat="1" ht="14.25">
      <c r="B64" s="72"/>
      <c r="C64" s="72"/>
      <c r="D64" s="72"/>
      <c r="E64" s="72"/>
      <c r="F64" s="72"/>
      <c r="G64" s="72"/>
      <c r="H64" s="72"/>
      <c r="I64" s="72"/>
    </row>
    <row r="65" spans="2:9" s="73" customFormat="1" ht="14.25">
      <c r="B65" s="72"/>
      <c r="C65" s="72"/>
      <c r="D65" s="72"/>
      <c r="E65" s="72"/>
      <c r="F65" s="72"/>
      <c r="G65" s="72"/>
      <c r="H65" s="72"/>
      <c r="I65" s="72"/>
    </row>
    <row r="66" spans="2:9" s="73" customFormat="1" ht="14.25">
      <c r="B66" s="72"/>
      <c r="C66" s="72"/>
      <c r="D66" s="72"/>
      <c r="E66" s="72"/>
      <c r="F66" s="72"/>
      <c r="G66" s="72"/>
      <c r="H66" s="72"/>
      <c r="I66" s="72"/>
    </row>
    <row r="67" spans="2:9" s="73" customFormat="1" ht="14.25">
      <c r="B67" s="72"/>
      <c r="C67" s="72"/>
      <c r="D67" s="72"/>
      <c r="E67" s="72"/>
      <c r="F67" s="72"/>
      <c r="G67" s="72"/>
      <c r="H67" s="72"/>
      <c r="I67" s="72"/>
    </row>
    <row r="68" spans="2:9" s="73" customFormat="1" ht="14.25">
      <c r="B68" s="72"/>
      <c r="C68" s="72"/>
      <c r="D68" s="72"/>
      <c r="E68" s="72"/>
      <c r="F68" s="72"/>
      <c r="G68" s="72"/>
      <c r="H68" s="72"/>
      <c r="I68" s="72"/>
    </row>
    <row r="69" spans="2:9" s="73" customFormat="1" ht="14.25">
      <c r="B69" s="72"/>
      <c r="C69" s="72"/>
      <c r="D69" s="72"/>
      <c r="E69" s="72"/>
      <c r="F69" s="72"/>
      <c r="G69" s="72"/>
      <c r="H69" s="72"/>
      <c r="I69" s="72"/>
    </row>
    <row r="70" spans="2:9" s="73" customFormat="1" ht="14.25">
      <c r="B70" s="72"/>
      <c r="C70" s="72"/>
      <c r="D70" s="72"/>
      <c r="E70" s="72"/>
      <c r="F70" s="72"/>
      <c r="G70" s="72"/>
      <c r="H70" s="72"/>
      <c r="I70" s="72"/>
    </row>
    <row r="71" spans="2:9" s="73" customFormat="1" ht="14.25">
      <c r="B71" s="72"/>
      <c r="C71" s="72"/>
      <c r="D71" s="72"/>
      <c r="E71" s="72"/>
      <c r="F71" s="72"/>
      <c r="G71" s="72"/>
      <c r="H71" s="72"/>
      <c r="I71" s="72"/>
    </row>
    <row r="72" spans="2:9" s="73" customFormat="1" ht="14.25">
      <c r="B72" s="72"/>
      <c r="C72" s="72"/>
      <c r="D72" s="72"/>
      <c r="E72" s="72"/>
      <c r="F72" s="72"/>
      <c r="G72" s="72"/>
      <c r="H72" s="72"/>
      <c r="I72" s="72"/>
    </row>
    <row r="73" spans="2:9" s="73" customFormat="1" ht="14.25">
      <c r="B73" s="72"/>
      <c r="C73" s="72"/>
      <c r="D73" s="72"/>
      <c r="E73" s="72"/>
      <c r="F73" s="72"/>
      <c r="G73" s="72"/>
      <c r="H73" s="72"/>
      <c r="I73" s="72"/>
    </row>
    <row r="74" spans="2:9" s="73" customFormat="1" ht="14.25">
      <c r="B74" s="72"/>
      <c r="C74" s="72"/>
      <c r="D74" s="72"/>
      <c r="E74" s="72"/>
      <c r="F74" s="72"/>
      <c r="G74" s="72"/>
      <c r="H74" s="72"/>
      <c r="I74" s="72"/>
    </row>
    <row r="75" spans="2:9" s="73" customFormat="1" ht="14.25">
      <c r="B75" s="72"/>
      <c r="C75" s="72"/>
      <c r="D75" s="72"/>
      <c r="E75" s="72"/>
      <c r="F75" s="72"/>
      <c r="G75" s="72"/>
      <c r="H75" s="72"/>
      <c r="I75" s="72"/>
    </row>
    <row r="76" spans="2:9" s="73" customFormat="1" ht="14.25">
      <c r="B76" s="72"/>
      <c r="C76" s="72"/>
      <c r="D76" s="72"/>
      <c r="E76" s="72"/>
      <c r="F76" s="72"/>
      <c r="G76" s="72"/>
      <c r="H76" s="72"/>
      <c r="I76" s="72"/>
    </row>
    <row r="77" spans="2:9" s="73" customFormat="1" ht="14.25">
      <c r="B77" s="72"/>
      <c r="C77" s="72"/>
      <c r="D77" s="72"/>
      <c r="E77" s="72"/>
      <c r="F77" s="72"/>
      <c r="G77" s="72"/>
      <c r="H77" s="72"/>
      <c r="I77" s="72"/>
    </row>
    <row r="78" spans="2:9" s="73" customFormat="1" ht="14.25">
      <c r="B78" s="72"/>
      <c r="C78" s="72"/>
      <c r="D78" s="72"/>
      <c r="E78" s="72"/>
      <c r="F78" s="72"/>
      <c r="G78" s="72"/>
      <c r="H78" s="72"/>
      <c r="I78" s="72"/>
    </row>
    <row r="79" spans="2:9" s="73" customFormat="1" ht="14.25">
      <c r="B79" s="72"/>
      <c r="C79" s="72"/>
      <c r="D79" s="72"/>
      <c r="E79" s="72"/>
      <c r="F79" s="72"/>
      <c r="G79" s="72"/>
      <c r="H79" s="72"/>
      <c r="I79" s="72"/>
    </row>
    <row r="80" spans="2:9" s="73" customFormat="1" ht="14.25">
      <c r="B80" s="72"/>
      <c r="C80" s="72"/>
      <c r="D80" s="72"/>
      <c r="E80" s="72"/>
      <c r="F80" s="72"/>
      <c r="G80" s="72"/>
      <c r="H80" s="72"/>
      <c r="I80" s="72"/>
    </row>
    <row r="81" spans="2:9" s="73" customFormat="1" ht="14.25">
      <c r="B81" s="72"/>
      <c r="C81" s="72"/>
      <c r="D81" s="72"/>
      <c r="E81" s="72"/>
      <c r="F81" s="72"/>
      <c r="G81" s="72"/>
      <c r="H81" s="72"/>
      <c r="I81" s="72"/>
    </row>
    <row r="82" spans="2:9" s="73" customFormat="1" ht="14.25">
      <c r="B82" s="72"/>
      <c r="C82" s="72"/>
      <c r="D82" s="72"/>
      <c r="E82" s="72"/>
      <c r="F82" s="72"/>
      <c r="G82" s="72"/>
      <c r="H82" s="72"/>
      <c r="I82" s="72"/>
    </row>
    <row r="83" spans="2:9" s="73" customFormat="1" ht="14.25">
      <c r="B83" s="72"/>
      <c r="C83" s="72"/>
      <c r="D83" s="72"/>
      <c r="E83" s="72"/>
      <c r="F83" s="72"/>
      <c r="G83" s="72"/>
      <c r="H83" s="72"/>
      <c r="I83" s="72"/>
    </row>
    <row r="84" spans="2:9" s="73" customFormat="1" ht="14.25">
      <c r="B84" s="72"/>
      <c r="C84" s="72"/>
      <c r="D84" s="72"/>
      <c r="E84" s="72"/>
      <c r="F84" s="72"/>
      <c r="G84" s="72"/>
      <c r="H84" s="72"/>
      <c r="I84" s="72"/>
    </row>
    <row r="85" spans="2:9" s="73" customFormat="1" ht="14.25">
      <c r="B85" s="72"/>
      <c r="C85" s="72"/>
      <c r="D85" s="72"/>
      <c r="E85" s="72"/>
      <c r="F85" s="72"/>
      <c r="G85" s="72"/>
      <c r="H85" s="72"/>
      <c r="I85" s="72"/>
    </row>
    <row r="86" spans="2:9" s="73" customFormat="1" ht="14.25">
      <c r="B86" s="72"/>
      <c r="C86" s="72"/>
      <c r="D86" s="72"/>
      <c r="E86" s="72"/>
      <c r="F86" s="72"/>
      <c r="G86" s="72"/>
      <c r="H86" s="72"/>
      <c r="I86" s="72"/>
    </row>
    <row r="87" spans="2:9" s="73" customFormat="1" ht="14.25">
      <c r="B87" s="72"/>
      <c r="C87" s="72"/>
      <c r="D87" s="72"/>
      <c r="E87" s="72"/>
      <c r="F87" s="72"/>
      <c r="G87" s="72"/>
      <c r="H87" s="72"/>
      <c r="I87" s="72"/>
    </row>
    <row r="88" spans="2:9" s="73" customFormat="1" ht="14.25">
      <c r="B88" s="72"/>
      <c r="C88" s="72"/>
      <c r="D88" s="72"/>
      <c r="E88" s="72"/>
      <c r="F88" s="72"/>
      <c r="G88" s="72"/>
      <c r="H88" s="72"/>
      <c r="I88" s="72"/>
    </row>
    <row r="89" spans="2:9" s="73" customFormat="1" ht="14.25">
      <c r="B89" s="72"/>
      <c r="C89" s="72"/>
      <c r="D89" s="72"/>
      <c r="E89" s="72"/>
      <c r="F89" s="72"/>
      <c r="G89" s="72"/>
      <c r="H89" s="72"/>
      <c r="I89" s="72"/>
    </row>
    <row r="90" spans="2:9" s="73" customFormat="1" ht="14.25">
      <c r="B90" s="72"/>
      <c r="C90" s="72"/>
      <c r="D90" s="72"/>
      <c r="E90" s="72"/>
      <c r="F90" s="72"/>
      <c r="G90" s="72"/>
      <c r="H90" s="72"/>
      <c r="I90" s="72"/>
    </row>
    <row r="91" spans="2:9" s="73" customFormat="1" ht="14.25">
      <c r="B91" s="72"/>
      <c r="C91" s="72"/>
      <c r="D91" s="72"/>
      <c r="E91" s="72"/>
      <c r="F91" s="72"/>
      <c r="G91" s="72"/>
      <c r="H91" s="72"/>
      <c r="I91" s="72"/>
    </row>
    <row r="92" spans="2:9" s="73" customFormat="1" ht="14.25">
      <c r="B92" s="72"/>
      <c r="C92" s="72"/>
      <c r="D92" s="72"/>
      <c r="E92" s="72"/>
      <c r="F92" s="72"/>
      <c r="G92" s="72"/>
      <c r="H92" s="72"/>
      <c r="I92" s="72"/>
    </row>
    <row r="93" spans="2:9" s="73" customFormat="1" ht="14.25">
      <c r="B93" s="72"/>
      <c r="C93" s="72"/>
      <c r="D93" s="72"/>
      <c r="E93" s="72"/>
      <c r="F93" s="72"/>
      <c r="G93" s="72"/>
      <c r="H93" s="72"/>
      <c r="I93" s="72"/>
    </row>
    <row r="94" spans="2:9" s="73" customFormat="1" ht="14.25">
      <c r="B94" s="72"/>
      <c r="C94" s="72"/>
      <c r="D94" s="72"/>
      <c r="E94" s="72"/>
      <c r="F94" s="72"/>
      <c r="G94" s="72"/>
      <c r="H94" s="72"/>
      <c r="I94" s="72"/>
    </row>
    <row r="95" spans="2:9" s="73" customFormat="1" ht="14.25">
      <c r="B95" s="72"/>
      <c r="C95" s="72"/>
      <c r="D95" s="72"/>
      <c r="E95" s="72"/>
      <c r="F95" s="72"/>
      <c r="G95" s="72"/>
      <c r="H95" s="72"/>
      <c r="I95" s="72"/>
    </row>
    <row r="96" spans="2:9" s="73" customFormat="1" ht="14.25">
      <c r="B96" s="72"/>
      <c r="C96" s="72"/>
      <c r="D96" s="72"/>
      <c r="E96" s="72"/>
      <c r="F96" s="72"/>
      <c r="G96" s="72"/>
      <c r="H96" s="72"/>
      <c r="I96" s="72"/>
    </row>
    <row r="97" spans="2:9" s="73" customFormat="1" ht="14.25">
      <c r="B97" s="72"/>
      <c r="C97" s="72"/>
      <c r="D97" s="72"/>
      <c r="E97" s="72"/>
      <c r="F97" s="72"/>
      <c r="G97" s="72"/>
      <c r="H97" s="72"/>
      <c r="I97" s="72"/>
    </row>
    <row r="98" spans="2:9" ht="14.25">
      <c r="B98" s="56"/>
      <c r="C98" s="56"/>
      <c r="D98" s="56"/>
      <c r="E98" s="56"/>
      <c r="F98" s="56"/>
      <c r="G98" s="56"/>
      <c r="H98" s="56"/>
      <c r="I98" s="56"/>
    </row>
    <row r="99" spans="2:9" ht="14.25">
      <c r="B99" s="56"/>
      <c r="C99" s="56"/>
      <c r="D99" s="56"/>
      <c r="E99" s="56"/>
      <c r="F99" s="56"/>
      <c r="G99" s="56"/>
      <c r="H99" s="56"/>
      <c r="I99" s="56"/>
    </row>
    <row r="100" spans="2:9" ht="14.25">
      <c r="B100" s="56"/>
      <c r="C100" s="56"/>
      <c r="D100" s="56"/>
      <c r="E100" s="56"/>
      <c r="F100" s="56"/>
      <c r="G100" s="56"/>
      <c r="H100" s="56"/>
      <c r="I100" s="56"/>
    </row>
    <row r="101" spans="2:9" ht="14.25">
      <c r="B101" s="56"/>
      <c r="C101" s="56"/>
      <c r="D101" s="56"/>
      <c r="E101" s="56"/>
      <c r="F101" s="56"/>
      <c r="G101" s="56"/>
      <c r="H101" s="56"/>
      <c r="I101" s="56"/>
    </row>
    <row r="102" spans="2:9" ht="14.25">
      <c r="B102" s="56"/>
      <c r="C102" s="56"/>
      <c r="D102" s="56"/>
      <c r="E102" s="56"/>
      <c r="F102" s="56"/>
      <c r="G102" s="56"/>
      <c r="H102" s="56"/>
      <c r="I102" s="56"/>
    </row>
    <row r="103" spans="2:9" ht="14.25">
      <c r="B103" s="56"/>
      <c r="C103" s="56"/>
      <c r="D103" s="56"/>
      <c r="E103" s="56"/>
      <c r="F103" s="56"/>
      <c r="G103" s="56"/>
      <c r="H103" s="56"/>
      <c r="I103" s="56"/>
    </row>
    <row r="104" spans="2:9" ht="14.25">
      <c r="B104" s="56"/>
      <c r="C104" s="56"/>
      <c r="D104" s="56"/>
      <c r="E104" s="56"/>
      <c r="F104" s="56"/>
      <c r="G104" s="56"/>
      <c r="H104" s="56"/>
      <c r="I104" s="56"/>
    </row>
    <row r="105" spans="2:9" ht="14.25">
      <c r="B105" s="56"/>
      <c r="C105" s="56"/>
      <c r="D105" s="56"/>
      <c r="E105" s="56"/>
      <c r="F105" s="56"/>
      <c r="G105" s="56"/>
      <c r="H105" s="56"/>
      <c r="I105" s="56"/>
    </row>
    <row r="106" spans="2:9" ht="14.25">
      <c r="B106" s="56"/>
      <c r="C106" s="56"/>
      <c r="D106" s="56"/>
      <c r="E106" s="56"/>
      <c r="F106" s="56"/>
      <c r="G106" s="56"/>
      <c r="H106" s="56"/>
      <c r="I106" s="56"/>
    </row>
    <row r="107" spans="2:9" ht="14.25">
      <c r="B107" s="56"/>
      <c r="C107" s="56"/>
      <c r="D107" s="56"/>
      <c r="E107" s="56"/>
      <c r="F107" s="56"/>
      <c r="G107" s="56"/>
      <c r="H107" s="56"/>
      <c r="I107" s="56"/>
    </row>
    <row r="108" spans="2:9" ht="14.25">
      <c r="B108" s="56"/>
      <c r="C108" s="56"/>
      <c r="D108" s="56"/>
      <c r="E108" s="56"/>
      <c r="F108" s="56"/>
      <c r="G108" s="56"/>
      <c r="H108" s="56"/>
      <c r="I108" s="56"/>
    </row>
    <row r="109" spans="2:9" ht="14.25">
      <c r="B109" s="56"/>
      <c r="C109" s="56"/>
      <c r="D109" s="56"/>
      <c r="E109" s="56"/>
      <c r="F109" s="56"/>
      <c r="G109" s="56"/>
      <c r="H109" s="56"/>
      <c r="I109" s="56"/>
    </row>
    <row r="110" spans="2:9" ht="14.25">
      <c r="B110" s="56"/>
      <c r="C110" s="56"/>
      <c r="D110" s="56"/>
      <c r="E110" s="56"/>
      <c r="F110" s="56"/>
      <c r="G110" s="56"/>
      <c r="H110" s="56"/>
      <c r="I110" s="56"/>
    </row>
    <row r="111" spans="2:9" ht="14.25">
      <c r="B111" s="56"/>
      <c r="C111" s="56"/>
      <c r="D111" s="56"/>
      <c r="E111" s="56"/>
      <c r="F111" s="56"/>
      <c r="G111" s="56"/>
      <c r="H111" s="56"/>
      <c r="I111" s="56"/>
    </row>
    <row r="112" spans="2:9" ht="14.25">
      <c r="B112" s="56"/>
      <c r="C112" s="56"/>
      <c r="D112" s="56"/>
      <c r="E112" s="56"/>
      <c r="F112" s="56"/>
      <c r="G112" s="56"/>
      <c r="H112" s="56"/>
      <c r="I112" s="56"/>
    </row>
    <row r="113" spans="2:9" ht="14.25">
      <c r="B113" s="56"/>
      <c r="C113" s="56"/>
      <c r="D113" s="56"/>
      <c r="E113" s="56"/>
      <c r="F113" s="56"/>
      <c r="G113" s="56"/>
      <c r="H113" s="56"/>
      <c r="I113" s="56"/>
    </row>
    <row r="114" spans="2:9" ht="14.25">
      <c r="B114" s="56"/>
      <c r="C114" s="56"/>
      <c r="D114" s="56"/>
      <c r="E114" s="56"/>
      <c r="F114" s="56"/>
      <c r="G114" s="56"/>
      <c r="H114" s="56"/>
      <c r="I114" s="56"/>
    </row>
    <row r="115" spans="2:9" ht="14.25">
      <c r="B115" s="56"/>
      <c r="C115" s="56"/>
      <c r="D115" s="56"/>
      <c r="E115" s="56"/>
      <c r="F115" s="56"/>
      <c r="G115" s="56"/>
      <c r="H115" s="56"/>
      <c r="I115" s="56"/>
    </row>
    <row r="116" spans="2:9" ht="14.25">
      <c r="B116" s="163"/>
      <c r="C116" s="163"/>
      <c r="D116" s="163"/>
      <c r="E116" s="163"/>
      <c r="F116" s="163"/>
      <c r="G116" s="163"/>
      <c r="H116" s="163"/>
      <c r="I116" s="163"/>
    </row>
  </sheetData>
  <sheetProtection formatCells="0" formatColumns="0" formatRows="0" insertColumns="0" insertRows="0" insertHyperlinks="0" deleteColumns="0" deleteRows="0" sort="0" autoFilter="0" pivotTables="0"/>
  <mergeCells count="50">
    <mergeCell ref="B36:I36"/>
    <mergeCell ref="H17:I17"/>
    <mergeCell ref="B29:E29"/>
    <mergeCell ref="B17:E17"/>
    <mergeCell ref="B20:E20"/>
    <mergeCell ref="B33:H33"/>
    <mergeCell ref="B21:E21"/>
    <mergeCell ref="B22:E22"/>
    <mergeCell ref="B35:I35"/>
    <mergeCell ref="B24:E24"/>
    <mergeCell ref="B116:I116"/>
    <mergeCell ref="B38:I38"/>
    <mergeCell ref="B47:I47"/>
    <mergeCell ref="B48:I48"/>
    <mergeCell ref="B49:I49"/>
    <mergeCell ref="B15:E15"/>
    <mergeCell ref="B41:I41"/>
    <mergeCell ref="B42:I42"/>
    <mergeCell ref="B37:I37"/>
    <mergeCell ref="F17:G17"/>
    <mergeCell ref="B51:I51"/>
    <mergeCell ref="B44:I44"/>
    <mergeCell ref="B45:I45"/>
    <mergeCell ref="B43:I43"/>
    <mergeCell ref="B19:E19"/>
    <mergeCell ref="B26:E26"/>
    <mergeCell ref="B31:E31"/>
    <mergeCell ref="B28:E28"/>
    <mergeCell ref="B30:E30"/>
    <mergeCell ref="B34:I34"/>
    <mergeCell ref="B11:I11"/>
    <mergeCell ref="B12:I12"/>
    <mergeCell ref="B6:I6"/>
    <mergeCell ref="B7:I7"/>
    <mergeCell ref="B50:I50"/>
    <mergeCell ref="B46:I46"/>
    <mergeCell ref="B16:I16"/>
    <mergeCell ref="B39:I39"/>
    <mergeCell ref="B40:I40"/>
    <mergeCell ref="B27:E27"/>
    <mergeCell ref="B8:I8"/>
    <mergeCell ref="B9:I9"/>
    <mergeCell ref="B13:I13"/>
    <mergeCell ref="B10:I10"/>
    <mergeCell ref="B14:I14"/>
    <mergeCell ref="B1:I1"/>
    <mergeCell ref="B2:I2"/>
    <mergeCell ref="B3:I3"/>
    <mergeCell ref="B4:I4"/>
    <mergeCell ref="B5:I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4" r:id="rId3"/>
  <rowBreaks count="1" manualBreakCount="1">
    <brk id="32" min="1" max="8" man="1"/>
  </rowBreaks>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90" workbookViewId="0" topLeftCell="A1">
      <selection activeCell="B1" sqref="B1:G1"/>
    </sheetView>
  </sheetViews>
  <sheetFormatPr defaultColWidth="9.140625" defaultRowHeight="15"/>
  <cols>
    <col min="1" max="1" width="9.140625" style="2" customWidth="1"/>
    <col min="2" max="3" width="55.28125" style="2" customWidth="1"/>
    <col min="4" max="4" width="14.8515625" style="2" customWidth="1"/>
    <col min="5" max="5" width="23.140625" style="2" customWidth="1"/>
    <col min="6" max="6" width="52.421875" style="2" customWidth="1"/>
    <col min="7" max="7" width="19.00390625" style="2" customWidth="1"/>
    <col min="8" max="16384" width="9.140625" style="2" customWidth="1"/>
  </cols>
  <sheetData>
    <row r="1" spans="2:7" s="1" customFormat="1" ht="23.25">
      <c r="B1" s="190" t="str">
        <f>"Action plan for "&amp;'Hidden sheet'!B3</f>
        <v>Action plan for sofosbuvir for treating chronic hepatitis C</v>
      </c>
      <c r="C1" s="191"/>
      <c r="D1" s="191"/>
      <c r="E1" s="191"/>
      <c r="F1" s="191"/>
      <c r="G1" s="191"/>
    </row>
    <row r="2" spans="2:6" ht="15.75" thickBot="1">
      <c r="B2" s="89"/>
      <c r="C2" s="89"/>
      <c r="D2" s="89"/>
      <c r="E2" s="89"/>
      <c r="F2" s="89"/>
    </row>
    <row r="3" spans="2:7" ht="15.75" thickBot="1">
      <c r="B3" s="14" t="s">
        <v>40</v>
      </c>
      <c r="C3" s="25" t="s">
        <v>58</v>
      </c>
      <c r="D3" s="192" t="s">
        <v>59</v>
      </c>
      <c r="E3" s="193"/>
      <c r="F3" s="192" t="s">
        <v>60</v>
      </c>
      <c r="G3" s="193"/>
    </row>
    <row r="4" spans="2:7" ht="15" customHeight="1">
      <c r="B4" s="188"/>
      <c r="C4" s="189"/>
      <c r="D4" s="189"/>
      <c r="E4" s="189"/>
      <c r="F4" s="189"/>
      <c r="G4" s="189"/>
    </row>
    <row r="5" spans="2:7" ht="15" customHeight="1">
      <c r="B5" s="188" t="s">
        <v>94</v>
      </c>
      <c r="C5" s="189"/>
      <c r="D5" s="189"/>
      <c r="E5" s="189"/>
      <c r="F5" s="189"/>
      <c r="G5" s="189"/>
    </row>
    <row r="6" ht="15" thickBot="1"/>
    <row r="7" spans="2:7" ht="74.25" customHeight="1" thickBot="1">
      <c r="B7" s="17" t="s">
        <v>1</v>
      </c>
      <c r="C7" s="14" t="s">
        <v>14</v>
      </c>
      <c r="D7" s="14" t="s">
        <v>98</v>
      </c>
      <c r="E7" s="15" t="s">
        <v>12</v>
      </c>
      <c r="F7" s="16" t="s">
        <v>91</v>
      </c>
      <c r="G7" s="16" t="s">
        <v>99</v>
      </c>
    </row>
    <row r="8" spans="2:7" ht="15" customHeight="1" thickBot="1">
      <c r="B8" s="74"/>
      <c r="C8" s="25"/>
      <c r="D8" s="27"/>
      <c r="E8" s="25"/>
      <c r="F8" s="25"/>
      <c r="G8" s="25"/>
    </row>
    <row r="9" spans="2:7" ht="15" customHeight="1" thickBot="1">
      <c r="B9" s="74"/>
      <c r="C9" s="25"/>
      <c r="D9" s="27"/>
      <c r="E9" s="25"/>
      <c r="F9" s="25"/>
      <c r="G9" s="25"/>
    </row>
    <row r="10" spans="2:7" ht="15" customHeight="1" thickBot="1">
      <c r="B10" s="74"/>
      <c r="C10" s="25"/>
      <c r="D10" s="26"/>
      <c r="E10" s="25"/>
      <c r="F10" s="25"/>
      <c r="G10" s="25"/>
    </row>
    <row r="11" spans="2:7" ht="15" thickBot="1">
      <c r="B11" s="74"/>
      <c r="C11" s="25"/>
      <c r="D11" s="26"/>
      <c r="E11" s="25"/>
      <c r="F11" s="25"/>
      <c r="G11" s="25"/>
    </row>
    <row r="12" spans="2:7" ht="15" thickBot="1">
      <c r="B12" s="74"/>
      <c r="C12" s="25"/>
      <c r="D12" s="26"/>
      <c r="E12" s="25"/>
      <c r="F12" s="25"/>
      <c r="G12" s="25"/>
    </row>
    <row r="13" spans="2:7" ht="15" thickBot="1">
      <c r="B13" s="74"/>
      <c r="C13" s="25"/>
      <c r="D13" s="26"/>
      <c r="E13" s="25"/>
      <c r="F13" s="25"/>
      <c r="G13" s="25"/>
    </row>
    <row r="14" spans="2:7" ht="15" thickBot="1">
      <c r="B14" s="74"/>
      <c r="C14" s="25"/>
      <c r="D14" s="26"/>
      <c r="E14" s="25"/>
      <c r="F14" s="25"/>
      <c r="G14" s="25"/>
    </row>
    <row r="15" spans="2:7" ht="15" thickBot="1">
      <c r="B15" s="74"/>
      <c r="C15" s="25"/>
      <c r="D15" s="26"/>
      <c r="E15" s="25"/>
      <c r="F15" s="25"/>
      <c r="G15" s="25"/>
    </row>
    <row r="16" spans="2:7" ht="15" thickBot="1">
      <c r="B16" s="74"/>
      <c r="C16" s="25"/>
      <c r="D16" s="26"/>
      <c r="E16" s="25"/>
      <c r="F16" s="25"/>
      <c r="G16" s="25"/>
    </row>
    <row r="18" spans="2:7" ht="14.25">
      <c r="B18" s="162" t="s">
        <v>106</v>
      </c>
      <c r="C18" s="162"/>
      <c r="D18" s="162"/>
      <c r="E18" s="196" t="str">
        <f>'Hidden sheet'!B3</f>
        <v>sofosbuvir for treating chronic hepatitis C</v>
      </c>
      <c r="F18" s="196"/>
      <c r="G18" s="196"/>
    </row>
    <row r="20" spans="2:7" ht="15">
      <c r="B20" s="194" t="s">
        <v>79</v>
      </c>
      <c r="C20" s="195"/>
      <c r="D20" s="195"/>
      <c r="E20" s="195"/>
      <c r="F20" s="195"/>
      <c r="G20" s="195"/>
    </row>
    <row r="21" spans="2:7" ht="15">
      <c r="B21" s="88"/>
      <c r="C21" s="88"/>
      <c r="D21" s="88"/>
      <c r="E21" s="88"/>
      <c r="F21" s="88"/>
      <c r="G21" s="88"/>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TA33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worksheet>
</file>

<file path=xl/worksheets/sheet8.xml><?xml version="1.0" encoding="utf-8"?>
<worksheet xmlns="http://schemas.openxmlformats.org/spreadsheetml/2006/main" xmlns:r="http://schemas.openxmlformats.org/officeDocument/2006/relationships">
  <sheetPr codeName="Sheet5"/>
  <dimension ref="B1:W95"/>
  <sheetViews>
    <sheetView showGridLines="0" zoomScale="90" zoomScaleNormal="90" zoomScalePageLayoutView="0" workbookViewId="0" topLeftCell="A1">
      <selection activeCell="A1" sqref="A1"/>
    </sheetView>
  </sheetViews>
  <sheetFormatPr defaultColWidth="9.140625" defaultRowHeight="15"/>
  <cols>
    <col min="1" max="1" width="9.140625" style="2" customWidth="1"/>
    <col min="2" max="2" width="13.421875" style="39" customWidth="1"/>
    <col min="3" max="3" width="9.140625" style="13" customWidth="1"/>
    <col min="4" max="4" width="15.00390625" style="2" customWidth="1"/>
    <col min="5" max="5" width="29.7109375" style="2" customWidth="1"/>
    <col min="6" max="6" width="27.140625" style="2" customWidth="1"/>
    <col min="7" max="10" width="22.7109375" style="2" customWidth="1"/>
    <col min="11" max="11" width="37.28125" style="2" customWidth="1"/>
    <col min="12" max="13" width="15.421875" style="2" customWidth="1"/>
    <col min="14" max="14" width="23.00390625" style="2" customWidth="1"/>
    <col min="15" max="16" width="15.421875" style="2" customWidth="1"/>
    <col min="17" max="17" width="20.00390625" style="2" customWidth="1"/>
    <col min="18" max="20" width="15.421875" style="2" customWidth="1"/>
    <col min="21" max="21" width="9.140625" style="2" customWidth="1"/>
    <col min="22" max="22" width="31.00390625" style="2" bestFit="1" customWidth="1"/>
    <col min="23" max="16384" width="9.140625" style="2" customWidth="1"/>
  </cols>
  <sheetData>
    <row r="1" spans="2:18" s="1" customFormat="1" ht="23.25">
      <c r="B1" s="151" t="str">
        <f>"Data collection for "&amp;'Hidden sheet'!B3</f>
        <v>Data collection for sofosbuvir for treating chronic hepatitis C</v>
      </c>
      <c r="C1" s="151"/>
      <c r="D1" s="151"/>
      <c r="E1" s="151"/>
      <c r="F1" s="151"/>
      <c r="G1" s="151"/>
      <c r="H1" s="151"/>
      <c r="I1" s="151"/>
      <c r="J1" s="151"/>
      <c r="K1" s="151"/>
      <c r="L1" s="141"/>
      <c r="M1" s="141"/>
      <c r="N1" s="141"/>
      <c r="O1" s="141"/>
      <c r="P1" s="141"/>
      <c r="Q1" s="141"/>
      <c r="R1" s="141"/>
    </row>
    <row r="2" spans="2:11" s="1" customFormat="1" ht="21" thickBot="1">
      <c r="B2" s="152"/>
      <c r="C2" s="152"/>
      <c r="D2" s="152"/>
      <c r="E2" s="152"/>
      <c r="F2" s="152"/>
      <c r="G2" s="152"/>
      <c r="H2" s="152"/>
      <c r="I2" s="152"/>
      <c r="J2" s="152"/>
      <c r="K2" s="121"/>
    </row>
    <row r="3" spans="2:20" s="40" customFormat="1" ht="13.5" thickBot="1">
      <c r="B3" s="53"/>
      <c r="C3" s="54"/>
      <c r="D3" s="53"/>
      <c r="E3" s="55"/>
      <c r="F3" s="38">
        <v>1</v>
      </c>
      <c r="G3" s="38">
        <v>2</v>
      </c>
      <c r="H3" s="38">
        <v>3</v>
      </c>
      <c r="I3" s="38">
        <v>4</v>
      </c>
      <c r="J3" s="38">
        <v>5</v>
      </c>
      <c r="K3" s="38" t="s">
        <v>126</v>
      </c>
      <c r="L3" s="38"/>
      <c r="M3" s="38"/>
      <c r="N3" s="38"/>
      <c r="O3" s="38"/>
      <c r="P3" s="38"/>
      <c r="Q3" s="38"/>
      <c r="R3" s="38"/>
      <c r="S3" s="38"/>
      <c r="T3" s="38"/>
    </row>
    <row r="4" spans="2:20" s="122" customFormat="1" ht="79.5" customHeight="1">
      <c r="B4" s="63" t="s">
        <v>15</v>
      </c>
      <c r="C4" s="62" t="s">
        <v>2</v>
      </c>
      <c r="D4" s="60" t="s">
        <v>3</v>
      </c>
      <c r="E4" s="61" t="s">
        <v>4</v>
      </c>
      <c r="F4" s="71" t="s">
        <v>142</v>
      </c>
      <c r="G4" s="71" t="s">
        <v>138</v>
      </c>
      <c r="H4" s="71" t="s">
        <v>114</v>
      </c>
      <c r="I4" s="71" t="s">
        <v>129</v>
      </c>
      <c r="J4" s="71" t="s">
        <v>115</v>
      </c>
      <c r="K4" s="71" t="s">
        <v>143</v>
      </c>
      <c r="L4" s="71" t="s">
        <v>116</v>
      </c>
      <c r="M4" s="71" t="s">
        <v>117</v>
      </c>
      <c r="N4" s="71" t="s">
        <v>163</v>
      </c>
      <c r="O4" s="71" t="s">
        <v>161</v>
      </c>
      <c r="P4" s="71" t="s">
        <v>134</v>
      </c>
      <c r="Q4" s="71" t="s">
        <v>128</v>
      </c>
      <c r="R4" s="71" t="s">
        <v>119</v>
      </c>
      <c r="S4" s="71" t="s">
        <v>118</v>
      </c>
      <c r="T4" s="71" t="s">
        <v>120</v>
      </c>
    </row>
    <row r="5" spans="2:20" s="122" customFormat="1" ht="30" customHeight="1" thickBot="1">
      <c r="B5" s="97"/>
      <c r="C5" s="58" t="s">
        <v>66</v>
      </c>
      <c r="D5" s="58" t="s">
        <v>139</v>
      </c>
      <c r="E5" s="59" t="s">
        <v>67</v>
      </c>
      <c r="F5" s="64" t="s">
        <v>153</v>
      </c>
      <c r="G5" s="64" t="s">
        <v>113</v>
      </c>
      <c r="H5" s="64" t="s">
        <v>154</v>
      </c>
      <c r="I5" s="64" t="s">
        <v>154</v>
      </c>
      <c r="J5" s="64" t="s">
        <v>154</v>
      </c>
      <c r="K5" s="64" t="s">
        <v>140</v>
      </c>
      <c r="L5" s="64"/>
      <c r="M5" s="64"/>
      <c r="N5" s="64"/>
      <c r="O5" s="64"/>
      <c r="P5" s="64"/>
      <c r="Q5" s="64"/>
      <c r="R5" s="64"/>
      <c r="S5" s="64"/>
      <c r="T5" s="64"/>
    </row>
    <row r="6" spans="2:23" s="39" customFormat="1" ht="30" customHeight="1" thickBot="1">
      <c r="B6" s="77">
        <v>1</v>
      </c>
      <c r="C6" s="75"/>
      <c r="D6" s="75"/>
      <c r="E6" s="75"/>
      <c r="F6" s="75"/>
      <c r="G6" s="75"/>
      <c r="H6" s="75"/>
      <c r="I6" s="75"/>
      <c r="J6" s="75"/>
      <c r="K6" s="75"/>
      <c r="L6" s="100">
        <f>IF(AND(F6="Peginterferon alfa and ribavirin",G6=1),"Met","")</f>
      </c>
      <c r="M6" s="100">
        <f>IF(OR(F6="",G6="",H6=""),"",IF(F6="Ribavirin","",IF(AND(F6="Peginterferon alfa and ribavirin",G6=3,H6="No",I6="Yes"),"",IF(AND(F6="Peginterferon alfa and ribavirin",G6=3,H6="Yes"),"Met",""))))</f>
      </c>
      <c r="N6" s="100">
        <f>IF(AND(F6="Peginterferon alfa and ribavirin",G6=3,K6="Yes"),"Exception A",IF(AND(F6="Peginterferon alfa and ribavirin",G6=3,H6="No",I6="No"),"Not met",IF(AND(F6="Peginterferon alfa and ribavirin",G6=3,H6="No",I6="Yes"),"Met","")))</f>
      </c>
      <c r="O6" s="100">
        <f>IF(AND(F6="Peginterferon alfa and ribavirin",G6&gt;3,H6="No",K6="Yes"),"Exception",IF(AND(F6="Peginterferon alfa and ribavirin",G6&gt;3,H6="No"),"Not met",IF(AND(F6="Peginterferon alfa and ribavirin",G6&gt;3,H6="Yes"),"Met","")))</f>
      </c>
      <c r="P6" s="100">
        <f>IF(AND(F6="Peginterferon alfa and ribavirin",G6=2,K6="Yes"),"Exception",IF(AND(F6="Peginterferon alfa and ribavirin",G6=2),"Not met",""))</f>
      </c>
      <c r="Q6" s="100">
        <f aca="true" t="shared" si="0" ref="Q6:Q46">IF(AND(I6="",J6=""),"",IF(AND(F6="Ribavirin",G6=2,I6="No",J6="No",K6="Yes"),"Exception A",IF(I6="Yes","",IF(AND(F6="Ribavirin",G6=2,I6="No",J6="No"),"Not met",IF(AND(F6="Ribavirin",G6=2,I6="No",J6="Yes"),"Met","")))))</f>
      </c>
      <c r="R6" s="100">
        <f aca="true" t="shared" si="1" ref="R6:R46">IF(OR(F6="Peginterferon alfa and ribavirin",F6="",G6="",I6=""),"",IF(I6="No","",IF(AND(F6="Ribavirin",G6=2,I6="Yes"),"Met","Not met")))</f>
      </c>
      <c r="S6" s="100">
        <f aca="true" t="shared" si="2" ref="S6:S46">IF(AND(AND(F6="Ribavirin",K6="Yes"),OR(G6=1,G6&gt;3)),"Exception A",IF(AND(F6="Ribavirin",OR(G6=1,G6&gt;3)),"Not met",""))</f>
      </c>
      <c r="T6" s="100">
        <f aca="true" t="shared" si="3" ref="T6:T46">IF(OR(F6="",G6="",H6=""),"",IF(H6="NA","NA",IF(H6="Exception","Exception",IF(AND(F6="Ribavirin",G6=3,H6="No",K6="Yes"),"Exception A",IF(F6="Peginterferon alfa and ribavirin","",IF(G6&lt;&gt;3,"",IF(AND(F6="Ribavirin",G6=3,H6="Yes"),"Met","Not met")))))))</f>
      </c>
      <c r="V6" s="40" t="s">
        <v>44</v>
      </c>
      <c r="W6" s="41"/>
    </row>
    <row r="7" spans="2:23" s="39" customFormat="1" ht="30" customHeight="1" thickBot="1">
      <c r="B7" s="77">
        <v>2</v>
      </c>
      <c r="C7" s="75"/>
      <c r="D7" s="75"/>
      <c r="E7" s="75"/>
      <c r="F7" s="76"/>
      <c r="G7" s="75"/>
      <c r="H7" s="75"/>
      <c r="I7" s="75"/>
      <c r="J7" s="75"/>
      <c r="K7" s="75"/>
      <c r="L7" s="100">
        <f aca="true" t="shared" si="4" ref="L7:L46">IF(AND(F7="Peginterferon alfa and ribavirin",G7=1),"Met","")</f>
      </c>
      <c r="M7" s="100">
        <f aca="true" t="shared" si="5" ref="M7:M46">IF(OR(F7="",G7="",H7=""),"",IF(F7="Ribavirin","",IF(AND(F7="Peginterferon alfa and ribavirin",G7=3,H7="No",I7="Yes"),"",IF(AND(F7="Peginterferon alfa and ribavirin",G7=3,H7="Yes"),"Met",""))))</f>
      </c>
      <c r="N7" s="100">
        <f aca="true" t="shared" si="6" ref="N7:N46">IF(AND(F7="Peginterferon alfa and ribavirin",G7=3,K7="Yes"),"Exception A",IF(AND(F7="Peginterferon alfa and ribavirin",G7=3,H7="No",I7="No"),"Not met",IF(AND(F7="Peginterferon alfa and ribavirin",G7=3,H7="No",I7="Yes"),"Met","")))</f>
      </c>
      <c r="O7" s="100">
        <f aca="true" t="shared" si="7" ref="O7:O46">IF(AND(F7="Peginterferon alfa and ribavirin",G7&gt;3,H7="No",K7="Yes"),"Exception",IF(AND(F7="Peginterferon alfa and ribavirin",G7&gt;3,H7="No"),"Not met",IF(AND(F7="Peginterferon alfa and ribavirin",G7&gt;3,H7="Yes"),"Met","")))</f>
      </c>
      <c r="P7" s="100">
        <f aca="true" t="shared" si="8" ref="P7:P46">IF(AND(F7="Peginterferon alfa and ribavirin",G7=2,K7="Yes"),"Exception",IF(AND(F7="Peginterferon alfa and ribavirin",G7=2),"Not met",""))</f>
      </c>
      <c r="Q7" s="100">
        <f t="shared" si="0"/>
      </c>
      <c r="R7" s="100">
        <f t="shared" si="1"/>
      </c>
      <c r="S7" s="100">
        <f t="shared" si="2"/>
      </c>
      <c r="T7" s="100">
        <f t="shared" si="3"/>
      </c>
      <c r="V7" s="40"/>
      <c r="W7" s="42"/>
    </row>
    <row r="8" spans="2:23" s="39" customFormat="1" ht="30" customHeight="1" thickBot="1">
      <c r="B8" s="77">
        <v>3</v>
      </c>
      <c r="C8" s="75"/>
      <c r="D8" s="75"/>
      <c r="E8" s="75"/>
      <c r="F8" s="76"/>
      <c r="G8" s="75"/>
      <c r="H8" s="75"/>
      <c r="I8" s="75"/>
      <c r="J8" s="75"/>
      <c r="K8" s="75"/>
      <c r="L8" s="100">
        <f t="shared" si="4"/>
      </c>
      <c r="M8" s="100">
        <f t="shared" si="5"/>
      </c>
      <c r="N8" s="100">
        <f t="shared" si="6"/>
      </c>
      <c r="O8" s="100">
        <f t="shared" si="7"/>
      </c>
      <c r="P8" s="100">
        <f t="shared" si="8"/>
      </c>
      <c r="Q8" s="100">
        <f t="shared" si="0"/>
      </c>
      <c r="R8" s="100">
        <f t="shared" si="1"/>
      </c>
      <c r="S8" s="100">
        <f t="shared" si="2"/>
      </c>
      <c r="T8" s="100">
        <f t="shared" si="3"/>
      </c>
      <c r="V8" s="82" t="s">
        <v>11</v>
      </c>
      <c r="W8" s="87" t="str">
        <f>MIN(Age)&amp;" - "&amp;MAX(Age)</f>
        <v>0 - 0</v>
      </c>
    </row>
    <row r="9" spans="2:23" s="39" customFormat="1" ht="30" customHeight="1" thickBot="1">
      <c r="B9" s="77">
        <v>4</v>
      </c>
      <c r="C9" s="75"/>
      <c r="D9" s="75"/>
      <c r="E9" s="75"/>
      <c r="F9" s="76"/>
      <c r="G9" s="75"/>
      <c r="H9" s="75"/>
      <c r="I9" s="75"/>
      <c r="J9" s="75"/>
      <c r="K9" s="75"/>
      <c r="L9" s="100">
        <f t="shared" si="4"/>
      </c>
      <c r="M9" s="100">
        <f t="shared" si="5"/>
      </c>
      <c r="N9" s="100">
        <f t="shared" si="6"/>
      </c>
      <c r="O9" s="100">
        <f t="shared" si="7"/>
      </c>
      <c r="P9" s="100">
        <f t="shared" si="8"/>
      </c>
      <c r="Q9" s="100">
        <f t="shared" si="0"/>
      </c>
      <c r="R9" s="100">
        <f t="shared" si="1"/>
      </c>
      <c r="S9" s="100">
        <f t="shared" si="2"/>
      </c>
      <c r="T9" s="100">
        <f t="shared" si="3"/>
      </c>
      <c r="V9" s="83"/>
      <c r="W9" s="81"/>
    </row>
    <row r="10" spans="2:23" s="39" customFormat="1" ht="30" customHeight="1" thickBot="1">
      <c r="B10" s="77">
        <v>5</v>
      </c>
      <c r="C10" s="75"/>
      <c r="D10" s="75"/>
      <c r="E10" s="75"/>
      <c r="F10" s="76"/>
      <c r="G10" s="75"/>
      <c r="H10" s="75"/>
      <c r="I10" s="75"/>
      <c r="J10" s="75"/>
      <c r="K10" s="75"/>
      <c r="L10" s="100">
        <f t="shared" si="4"/>
      </c>
      <c r="M10" s="100">
        <f t="shared" si="5"/>
      </c>
      <c r="N10" s="100">
        <f t="shared" si="6"/>
      </c>
      <c r="O10" s="100">
        <f t="shared" si="7"/>
      </c>
      <c r="P10" s="100">
        <f t="shared" si="8"/>
      </c>
      <c r="Q10" s="100">
        <f t="shared" si="0"/>
      </c>
      <c r="R10" s="100">
        <f t="shared" si="1"/>
      </c>
      <c r="S10" s="100">
        <f t="shared" si="2"/>
      </c>
      <c r="T10" s="100">
        <f t="shared" si="3"/>
      </c>
      <c r="V10" s="84" t="s">
        <v>9</v>
      </c>
      <c r="W10" s="87">
        <f>COUNTIF(Sex,"Male")</f>
        <v>0</v>
      </c>
    </row>
    <row r="11" spans="2:23" s="39" customFormat="1" ht="30" customHeight="1" thickBot="1">
      <c r="B11" s="77">
        <v>6</v>
      </c>
      <c r="C11" s="75"/>
      <c r="D11" s="75"/>
      <c r="E11" s="75"/>
      <c r="F11" s="76"/>
      <c r="G11" s="75"/>
      <c r="H11" s="75"/>
      <c r="I11" s="75"/>
      <c r="J11" s="75"/>
      <c r="K11" s="75"/>
      <c r="L11" s="100">
        <f t="shared" si="4"/>
      </c>
      <c r="M11" s="100">
        <f t="shared" si="5"/>
      </c>
      <c r="N11" s="100">
        <f t="shared" si="6"/>
      </c>
      <c r="O11" s="100">
        <f t="shared" si="7"/>
      </c>
      <c r="P11" s="100">
        <f t="shared" si="8"/>
      </c>
      <c r="Q11" s="100">
        <f t="shared" si="0"/>
      </c>
      <c r="R11" s="100">
        <f t="shared" si="1"/>
      </c>
      <c r="S11" s="100">
        <f t="shared" si="2"/>
      </c>
      <c r="T11" s="100">
        <f t="shared" si="3"/>
      </c>
      <c r="V11" s="85" t="s">
        <v>10</v>
      </c>
      <c r="W11" s="87">
        <f>COUNTIF(Sex,"Female")</f>
        <v>0</v>
      </c>
    </row>
    <row r="12" spans="2:23" s="39" customFormat="1" ht="30" customHeight="1" thickBot="1">
      <c r="B12" s="77">
        <v>7</v>
      </c>
      <c r="C12" s="75"/>
      <c r="D12" s="75"/>
      <c r="E12" s="75"/>
      <c r="F12" s="76"/>
      <c r="G12" s="75"/>
      <c r="H12" s="75"/>
      <c r="I12" s="75"/>
      <c r="J12" s="75"/>
      <c r="K12" s="75"/>
      <c r="L12" s="100">
        <f t="shared" si="4"/>
      </c>
      <c r="M12" s="100">
        <f t="shared" si="5"/>
      </c>
      <c r="N12" s="100">
        <f t="shared" si="6"/>
      </c>
      <c r="O12" s="100">
        <f t="shared" si="7"/>
      </c>
      <c r="P12" s="100">
        <f t="shared" si="8"/>
      </c>
      <c r="Q12" s="100">
        <f t="shared" si="0"/>
      </c>
      <c r="R12" s="100">
        <f t="shared" si="1"/>
      </c>
      <c r="S12" s="100">
        <f t="shared" si="2"/>
      </c>
      <c r="T12" s="100">
        <f t="shared" si="3"/>
      </c>
      <c r="V12" s="86"/>
      <c r="W12" s="81"/>
    </row>
    <row r="13" spans="2:23" s="39" customFormat="1" ht="30" customHeight="1" thickBot="1">
      <c r="B13" s="77">
        <v>8</v>
      </c>
      <c r="C13" s="75"/>
      <c r="D13" s="75"/>
      <c r="E13" s="75"/>
      <c r="F13" s="76"/>
      <c r="G13" s="75"/>
      <c r="H13" s="75"/>
      <c r="I13" s="75"/>
      <c r="J13" s="75"/>
      <c r="K13" s="75"/>
      <c r="L13" s="100">
        <f t="shared" si="4"/>
      </c>
      <c r="M13" s="100">
        <f t="shared" si="5"/>
      </c>
      <c r="N13" s="100">
        <f t="shared" si="6"/>
      </c>
      <c r="O13" s="100">
        <f t="shared" si="7"/>
      </c>
      <c r="P13" s="100">
        <f t="shared" si="8"/>
      </c>
      <c r="Q13" s="100">
        <f t="shared" si="0"/>
      </c>
      <c r="R13" s="100">
        <f t="shared" si="1"/>
      </c>
      <c r="S13" s="100">
        <f t="shared" si="2"/>
      </c>
      <c r="T13" s="100">
        <f t="shared" si="3"/>
      </c>
      <c r="V13" s="85" t="s">
        <v>22</v>
      </c>
      <c r="W13" s="87">
        <f>COUNTIF(Ethnicity,"White British")</f>
        <v>0</v>
      </c>
    </row>
    <row r="14" spans="2:23" s="39" customFormat="1" ht="30" customHeight="1" thickBot="1">
      <c r="B14" s="77">
        <v>9</v>
      </c>
      <c r="C14" s="75"/>
      <c r="D14" s="75"/>
      <c r="E14" s="75"/>
      <c r="F14" s="76"/>
      <c r="G14" s="75"/>
      <c r="H14" s="75"/>
      <c r="I14" s="75"/>
      <c r="J14" s="75"/>
      <c r="K14" s="75"/>
      <c r="L14" s="100">
        <f t="shared" si="4"/>
      </c>
      <c r="M14" s="100">
        <f t="shared" si="5"/>
      </c>
      <c r="N14" s="100">
        <f t="shared" si="6"/>
      </c>
      <c r="O14" s="100">
        <f t="shared" si="7"/>
      </c>
      <c r="P14" s="100">
        <f t="shared" si="8"/>
      </c>
      <c r="Q14" s="100">
        <f t="shared" si="0"/>
      </c>
      <c r="R14" s="100">
        <f t="shared" si="1"/>
      </c>
      <c r="S14" s="100">
        <f t="shared" si="2"/>
      </c>
      <c r="T14" s="100">
        <f t="shared" si="3"/>
      </c>
      <c r="V14" s="85" t="s">
        <v>23</v>
      </c>
      <c r="W14" s="87">
        <f>COUNTIF(Ethnicity,"White Irish")</f>
        <v>0</v>
      </c>
    </row>
    <row r="15" spans="2:23" s="39" customFormat="1" ht="30" customHeight="1" thickBot="1">
      <c r="B15" s="77">
        <v>10</v>
      </c>
      <c r="C15" s="75"/>
      <c r="D15" s="75"/>
      <c r="E15" s="75"/>
      <c r="F15" s="76"/>
      <c r="G15" s="75"/>
      <c r="H15" s="75"/>
      <c r="I15" s="75"/>
      <c r="J15" s="75"/>
      <c r="K15" s="75"/>
      <c r="L15" s="100">
        <f t="shared" si="4"/>
      </c>
      <c r="M15" s="100">
        <f t="shared" si="5"/>
      </c>
      <c r="N15" s="100">
        <f t="shared" si="6"/>
      </c>
      <c r="O15" s="100">
        <f t="shared" si="7"/>
      </c>
      <c r="P15" s="100">
        <f t="shared" si="8"/>
      </c>
      <c r="Q15" s="100">
        <f t="shared" si="0"/>
      </c>
      <c r="R15" s="100">
        <f t="shared" si="1"/>
      </c>
      <c r="S15" s="100">
        <f t="shared" si="2"/>
      </c>
      <c r="T15" s="100">
        <f t="shared" si="3"/>
      </c>
      <c r="V15" s="85" t="s">
        <v>34</v>
      </c>
      <c r="W15" s="87">
        <f>COUNTIF(Ethnicity,"Any other white background")</f>
        <v>0</v>
      </c>
    </row>
    <row r="16" spans="2:23" s="39" customFormat="1" ht="30" customHeight="1" thickBot="1">
      <c r="B16" s="77">
        <v>11</v>
      </c>
      <c r="C16" s="75"/>
      <c r="D16" s="75"/>
      <c r="E16" s="75"/>
      <c r="F16" s="76"/>
      <c r="G16" s="75"/>
      <c r="H16" s="75"/>
      <c r="I16" s="75"/>
      <c r="J16" s="75"/>
      <c r="K16" s="75"/>
      <c r="L16" s="100">
        <f t="shared" si="4"/>
      </c>
      <c r="M16" s="100">
        <f t="shared" si="5"/>
      </c>
      <c r="N16" s="100">
        <f t="shared" si="6"/>
      </c>
      <c r="O16" s="100">
        <f t="shared" si="7"/>
      </c>
      <c r="P16" s="100">
        <f t="shared" si="8"/>
      </c>
      <c r="Q16" s="100">
        <f t="shared" si="0"/>
      </c>
      <c r="R16" s="100">
        <f t="shared" si="1"/>
      </c>
      <c r="S16" s="100">
        <f t="shared" si="2"/>
      </c>
      <c r="T16" s="100">
        <f t="shared" si="3"/>
      </c>
      <c r="V16" s="85" t="s">
        <v>30</v>
      </c>
      <c r="W16" s="87">
        <f>COUNTIF(Ethnicity,"Mixed: White and black Caribbean")</f>
        <v>0</v>
      </c>
    </row>
    <row r="17" spans="2:23" s="39" customFormat="1" ht="30" customHeight="1" thickBot="1">
      <c r="B17" s="77">
        <v>12</v>
      </c>
      <c r="C17" s="75"/>
      <c r="D17" s="75"/>
      <c r="E17" s="75"/>
      <c r="F17" s="76"/>
      <c r="G17" s="75"/>
      <c r="H17" s="75"/>
      <c r="I17" s="75"/>
      <c r="J17" s="75"/>
      <c r="K17" s="75"/>
      <c r="L17" s="100">
        <f t="shared" si="4"/>
      </c>
      <c r="M17" s="100">
        <f t="shared" si="5"/>
      </c>
      <c r="N17" s="100">
        <f t="shared" si="6"/>
      </c>
      <c r="O17" s="100">
        <f t="shared" si="7"/>
      </c>
      <c r="P17" s="100">
        <f t="shared" si="8"/>
      </c>
      <c r="Q17" s="100">
        <f t="shared" si="0"/>
      </c>
      <c r="R17" s="100">
        <f t="shared" si="1"/>
      </c>
      <c r="S17" s="100">
        <f t="shared" si="2"/>
      </c>
      <c r="T17" s="100">
        <f t="shared" si="3"/>
      </c>
      <c r="V17" s="85" t="s">
        <v>31</v>
      </c>
      <c r="W17" s="87">
        <f>COUNTIF(Ethnicity,"Mixed: White and black African")</f>
        <v>0</v>
      </c>
    </row>
    <row r="18" spans="2:23" s="39" customFormat="1" ht="30" customHeight="1" thickBot="1">
      <c r="B18" s="77">
        <v>13</v>
      </c>
      <c r="C18" s="75"/>
      <c r="D18" s="75"/>
      <c r="E18" s="75"/>
      <c r="F18" s="76"/>
      <c r="G18" s="75"/>
      <c r="H18" s="75"/>
      <c r="I18" s="75"/>
      <c r="J18" s="75"/>
      <c r="K18" s="75"/>
      <c r="L18" s="100">
        <f t="shared" si="4"/>
      </c>
      <c r="M18" s="100">
        <f t="shared" si="5"/>
      </c>
      <c r="N18" s="100">
        <f t="shared" si="6"/>
      </c>
      <c r="O18" s="100">
        <f t="shared" si="7"/>
      </c>
      <c r="P18" s="100">
        <f t="shared" si="8"/>
      </c>
      <c r="Q18" s="100">
        <f t="shared" si="0"/>
      </c>
      <c r="R18" s="100">
        <f t="shared" si="1"/>
      </c>
      <c r="S18" s="100">
        <f t="shared" si="2"/>
      </c>
      <c r="T18" s="100">
        <f t="shared" si="3"/>
      </c>
      <c r="V18" s="85" t="s">
        <v>24</v>
      </c>
      <c r="W18" s="87">
        <f>COUNTIF(Ethnicity,"Mixed: White and Asian")</f>
        <v>0</v>
      </c>
    </row>
    <row r="19" spans="2:23" s="39" customFormat="1" ht="30" customHeight="1" thickBot="1">
      <c r="B19" s="77">
        <v>14</v>
      </c>
      <c r="C19" s="75"/>
      <c r="D19" s="75"/>
      <c r="E19" s="75"/>
      <c r="F19" s="75"/>
      <c r="G19" s="75"/>
      <c r="H19" s="75"/>
      <c r="I19" s="75"/>
      <c r="J19" s="75"/>
      <c r="K19" s="75"/>
      <c r="L19" s="100">
        <f t="shared" si="4"/>
      </c>
      <c r="M19" s="100">
        <f t="shared" si="5"/>
      </c>
      <c r="N19" s="100">
        <f t="shared" si="6"/>
      </c>
      <c r="O19" s="100">
        <f t="shared" si="7"/>
      </c>
      <c r="P19" s="100">
        <f t="shared" si="8"/>
      </c>
      <c r="Q19" s="100">
        <f t="shared" si="0"/>
      </c>
      <c r="R19" s="100">
        <f t="shared" si="1"/>
      </c>
      <c r="S19" s="100">
        <f t="shared" si="2"/>
      </c>
      <c r="T19" s="100">
        <f t="shared" si="3"/>
      </c>
      <c r="V19" s="85" t="s">
        <v>35</v>
      </c>
      <c r="W19" s="87">
        <f>COUNTIF(Ethnicity,"Any other mixed background")</f>
        <v>0</v>
      </c>
    </row>
    <row r="20" spans="2:23" s="39" customFormat="1" ht="30" customHeight="1" thickBot="1">
      <c r="B20" s="77">
        <v>15</v>
      </c>
      <c r="C20" s="75"/>
      <c r="D20" s="75"/>
      <c r="E20" s="75"/>
      <c r="F20" s="75"/>
      <c r="G20" s="75"/>
      <c r="H20" s="75"/>
      <c r="I20" s="75"/>
      <c r="J20" s="75"/>
      <c r="K20" s="75"/>
      <c r="L20" s="100">
        <f t="shared" si="4"/>
      </c>
      <c r="M20" s="100">
        <f t="shared" si="5"/>
      </c>
      <c r="N20" s="100">
        <f t="shared" si="6"/>
      </c>
      <c r="O20" s="100">
        <f t="shared" si="7"/>
      </c>
      <c r="P20" s="100">
        <f t="shared" si="8"/>
      </c>
      <c r="Q20" s="100">
        <f t="shared" si="0"/>
      </c>
      <c r="R20" s="100">
        <f t="shared" si="1"/>
      </c>
      <c r="S20" s="100">
        <f t="shared" si="2"/>
      </c>
      <c r="T20" s="100">
        <f t="shared" si="3"/>
      </c>
      <c r="V20" s="85" t="s">
        <v>25</v>
      </c>
      <c r="W20" s="87">
        <f>COUNTIF(Ethnicity,"Asian or Asian British: Indian")</f>
        <v>0</v>
      </c>
    </row>
    <row r="21" spans="2:23" s="39" customFormat="1" ht="30" customHeight="1" thickBot="1">
      <c r="B21" s="77">
        <v>16</v>
      </c>
      <c r="C21" s="75"/>
      <c r="D21" s="75"/>
      <c r="E21" s="75"/>
      <c r="F21" s="75"/>
      <c r="G21" s="75"/>
      <c r="H21" s="75"/>
      <c r="I21" s="75"/>
      <c r="J21" s="75"/>
      <c r="K21" s="75"/>
      <c r="L21" s="100">
        <f t="shared" si="4"/>
      </c>
      <c r="M21" s="100">
        <f t="shared" si="5"/>
      </c>
      <c r="N21" s="100">
        <f t="shared" si="6"/>
      </c>
      <c r="O21" s="100">
        <f t="shared" si="7"/>
      </c>
      <c r="P21" s="100">
        <f t="shared" si="8"/>
      </c>
      <c r="Q21" s="100">
        <f t="shared" si="0"/>
      </c>
      <c r="R21" s="100">
        <f t="shared" si="1"/>
      </c>
      <c r="S21" s="100">
        <f t="shared" si="2"/>
      </c>
      <c r="T21" s="100">
        <f t="shared" si="3"/>
      </c>
      <c r="V21" s="85" t="s">
        <v>26</v>
      </c>
      <c r="W21" s="87">
        <f>COUNTIF(Ethnicity,"Asian or Asian British: Pakistani")</f>
        <v>0</v>
      </c>
    </row>
    <row r="22" spans="2:23" s="39" customFormat="1" ht="30" customHeight="1" thickBot="1">
      <c r="B22" s="77">
        <v>17</v>
      </c>
      <c r="C22" s="75"/>
      <c r="D22" s="75"/>
      <c r="E22" s="75"/>
      <c r="F22" s="75"/>
      <c r="G22" s="75"/>
      <c r="H22" s="75"/>
      <c r="I22" s="75"/>
      <c r="J22" s="75"/>
      <c r="K22" s="75"/>
      <c r="L22" s="100">
        <f t="shared" si="4"/>
      </c>
      <c r="M22" s="100">
        <f t="shared" si="5"/>
      </c>
      <c r="N22" s="100">
        <f t="shared" si="6"/>
      </c>
      <c r="O22" s="100">
        <f t="shared" si="7"/>
      </c>
      <c r="P22" s="100">
        <f t="shared" si="8"/>
      </c>
      <c r="Q22" s="100">
        <f t="shared" si="0"/>
      </c>
      <c r="R22" s="100">
        <f t="shared" si="1"/>
      </c>
      <c r="S22" s="100">
        <f t="shared" si="2"/>
      </c>
      <c r="T22" s="100">
        <f t="shared" si="3"/>
      </c>
      <c r="V22" s="85" t="s">
        <v>27</v>
      </c>
      <c r="W22" s="87">
        <f>COUNTIF(Ethnicity,"Asian or Asian British: Bangladeshi")</f>
        <v>0</v>
      </c>
    </row>
    <row r="23" spans="2:23" s="39" customFormat="1" ht="30" customHeight="1" thickBot="1">
      <c r="B23" s="77">
        <v>18</v>
      </c>
      <c r="C23" s="75"/>
      <c r="D23" s="75"/>
      <c r="E23" s="75"/>
      <c r="F23" s="75"/>
      <c r="G23" s="75"/>
      <c r="H23" s="75"/>
      <c r="I23" s="75"/>
      <c r="J23" s="75"/>
      <c r="K23" s="75"/>
      <c r="L23" s="100">
        <f t="shared" si="4"/>
      </c>
      <c r="M23" s="100">
        <f t="shared" si="5"/>
      </c>
      <c r="N23" s="100">
        <f t="shared" si="6"/>
      </c>
      <c r="O23" s="100">
        <f t="shared" si="7"/>
      </c>
      <c r="P23" s="100">
        <f t="shared" si="8"/>
      </c>
      <c r="Q23" s="100">
        <f t="shared" si="0"/>
      </c>
      <c r="R23" s="100">
        <f t="shared" si="1"/>
      </c>
      <c r="S23" s="100">
        <f t="shared" si="2"/>
      </c>
      <c r="T23" s="100">
        <f t="shared" si="3"/>
      </c>
      <c r="V23" s="85" t="s">
        <v>36</v>
      </c>
      <c r="W23" s="87">
        <f>COUNTIF(Ethnicity,"Any other Asian background")</f>
        <v>0</v>
      </c>
    </row>
    <row r="24" spans="2:23" s="39" customFormat="1" ht="30" customHeight="1" thickBot="1">
      <c r="B24" s="77">
        <v>19</v>
      </c>
      <c r="C24" s="75"/>
      <c r="D24" s="75"/>
      <c r="E24" s="75"/>
      <c r="F24" s="75"/>
      <c r="G24" s="75"/>
      <c r="H24" s="75"/>
      <c r="I24" s="75"/>
      <c r="J24" s="75"/>
      <c r="K24" s="75"/>
      <c r="L24" s="100">
        <f t="shared" si="4"/>
      </c>
      <c r="M24" s="100">
        <f t="shared" si="5"/>
      </c>
      <c r="N24" s="100">
        <f t="shared" si="6"/>
      </c>
      <c r="O24" s="100">
        <f t="shared" si="7"/>
      </c>
      <c r="P24" s="100">
        <f t="shared" si="8"/>
      </c>
      <c r="Q24" s="100">
        <f t="shared" si="0"/>
      </c>
      <c r="R24" s="100">
        <f t="shared" si="1"/>
      </c>
      <c r="S24" s="100">
        <f t="shared" si="2"/>
      </c>
      <c r="T24" s="100">
        <f t="shared" si="3"/>
      </c>
      <c r="V24" s="85" t="s">
        <v>32</v>
      </c>
      <c r="W24" s="87">
        <f>COUNTIF(Ethnicity,"Black or black British: Caribbean")</f>
        <v>0</v>
      </c>
    </row>
    <row r="25" spans="2:23" s="39" customFormat="1" ht="30" customHeight="1" thickBot="1">
      <c r="B25" s="77">
        <v>20</v>
      </c>
      <c r="C25" s="75"/>
      <c r="D25" s="75"/>
      <c r="E25" s="75"/>
      <c r="F25" s="75"/>
      <c r="G25" s="75"/>
      <c r="H25" s="75"/>
      <c r="I25" s="75"/>
      <c r="J25" s="75"/>
      <c r="K25" s="75"/>
      <c r="L25" s="100">
        <f t="shared" si="4"/>
      </c>
      <c r="M25" s="100">
        <f t="shared" si="5"/>
      </c>
      <c r="N25" s="100">
        <f t="shared" si="6"/>
      </c>
      <c r="O25" s="100">
        <f t="shared" si="7"/>
      </c>
      <c r="P25" s="100">
        <f t="shared" si="8"/>
      </c>
      <c r="Q25" s="100">
        <f t="shared" si="0"/>
      </c>
      <c r="R25" s="100">
        <f t="shared" si="1"/>
      </c>
      <c r="S25" s="100">
        <f t="shared" si="2"/>
      </c>
      <c r="T25" s="100">
        <f t="shared" si="3"/>
      </c>
      <c r="V25" s="85" t="s">
        <v>33</v>
      </c>
      <c r="W25" s="87">
        <f>COUNTIF(Ethnicity,"Black or black British: African")</f>
        <v>0</v>
      </c>
    </row>
    <row r="26" spans="2:23" s="39" customFormat="1" ht="30" customHeight="1" thickBot="1">
      <c r="B26" s="77">
        <v>21</v>
      </c>
      <c r="C26" s="75"/>
      <c r="D26" s="75"/>
      <c r="E26" s="75"/>
      <c r="F26" s="75"/>
      <c r="G26" s="75"/>
      <c r="H26" s="75"/>
      <c r="I26" s="75"/>
      <c r="J26" s="75"/>
      <c r="K26" s="75"/>
      <c r="L26" s="100">
        <f t="shared" si="4"/>
      </c>
      <c r="M26" s="100">
        <f t="shared" si="5"/>
      </c>
      <c r="N26" s="100">
        <f t="shared" si="6"/>
      </c>
      <c r="O26" s="100">
        <f t="shared" si="7"/>
      </c>
      <c r="P26" s="100">
        <f t="shared" si="8"/>
      </c>
      <c r="Q26" s="100">
        <f t="shared" si="0"/>
      </c>
      <c r="R26" s="100">
        <f t="shared" si="1"/>
      </c>
      <c r="S26" s="100">
        <f t="shared" si="2"/>
      </c>
      <c r="T26" s="100">
        <f t="shared" si="3"/>
      </c>
      <c r="V26" s="85" t="s">
        <v>37</v>
      </c>
      <c r="W26" s="87">
        <f>COUNTIF(Ethnicity,"Any other black background")</f>
        <v>0</v>
      </c>
    </row>
    <row r="27" spans="2:23" s="39" customFormat="1" ht="30" customHeight="1" thickBot="1">
      <c r="B27" s="77">
        <v>22</v>
      </c>
      <c r="C27" s="75"/>
      <c r="D27" s="75"/>
      <c r="E27" s="75"/>
      <c r="F27" s="75"/>
      <c r="G27" s="75"/>
      <c r="H27" s="75"/>
      <c r="I27" s="75"/>
      <c r="J27" s="75"/>
      <c r="K27" s="75"/>
      <c r="L27" s="100">
        <f t="shared" si="4"/>
      </c>
      <c r="M27" s="100">
        <f t="shared" si="5"/>
      </c>
      <c r="N27" s="100">
        <f t="shared" si="6"/>
      </c>
      <c r="O27" s="100">
        <f t="shared" si="7"/>
      </c>
      <c r="P27" s="100">
        <f t="shared" si="8"/>
      </c>
      <c r="Q27" s="100">
        <f t="shared" si="0"/>
      </c>
      <c r="R27" s="100">
        <f t="shared" si="1"/>
      </c>
      <c r="S27" s="100">
        <f t="shared" si="2"/>
      </c>
      <c r="T27" s="100">
        <f t="shared" si="3"/>
      </c>
      <c r="V27" s="85" t="s">
        <v>28</v>
      </c>
      <c r="W27" s="87">
        <f>COUNTIF(Ethnicity,"Chinese")</f>
        <v>0</v>
      </c>
    </row>
    <row r="28" spans="2:23" s="39" customFormat="1" ht="30" customHeight="1" thickBot="1">
      <c r="B28" s="77">
        <v>23</v>
      </c>
      <c r="C28" s="75"/>
      <c r="D28" s="75"/>
      <c r="E28" s="75"/>
      <c r="F28" s="75"/>
      <c r="G28" s="75"/>
      <c r="H28" s="75"/>
      <c r="I28" s="75"/>
      <c r="J28" s="75"/>
      <c r="K28" s="75"/>
      <c r="L28" s="100">
        <f t="shared" si="4"/>
      </c>
      <c r="M28" s="100">
        <f t="shared" si="5"/>
      </c>
      <c r="N28" s="100">
        <f t="shared" si="6"/>
      </c>
      <c r="O28" s="100">
        <f t="shared" si="7"/>
      </c>
      <c r="P28" s="100">
        <f t="shared" si="8"/>
      </c>
      <c r="Q28" s="100">
        <f t="shared" si="0"/>
      </c>
      <c r="R28" s="100">
        <f t="shared" si="1"/>
      </c>
      <c r="S28" s="100">
        <f t="shared" si="2"/>
      </c>
      <c r="T28" s="100">
        <f t="shared" si="3"/>
      </c>
      <c r="V28" s="85" t="s">
        <v>38</v>
      </c>
      <c r="W28" s="87">
        <f>COUNTIF(Ethnicity,"Any other ethnic group")</f>
        <v>0</v>
      </c>
    </row>
    <row r="29" spans="2:23" s="39" customFormat="1" ht="30" customHeight="1" thickBot="1">
      <c r="B29" s="77">
        <v>24</v>
      </c>
      <c r="C29" s="75"/>
      <c r="D29" s="75"/>
      <c r="E29" s="75"/>
      <c r="F29" s="75"/>
      <c r="G29" s="75"/>
      <c r="H29" s="75"/>
      <c r="I29" s="75"/>
      <c r="J29" s="75"/>
      <c r="K29" s="75"/>
      <c r="L29" s="100">
        <f t="shared" si="4"/>
      </c>
      <c r="M29" s="100">
        <f t="shared" si="5"/>
      </c>
      <c r="N29" s="100">
        <f t="shared" si="6"/>
      </c>
      <c r="O29" s="100">
        <f t="shared" si="7"/>
      </c>
      <c r="P29" s="100">
        <f t="shared" si="8"/>
      </c>
      <c r="Q29" s="100">
        <f t="shared" si="0"/>
      </c>
      <c r="R29" s="100">
        <f t="shared" si="1"/>
      </c>
      <c r="S29" s="100">
        <f t="shared" si="2"/>
      </c>
      <c r="T29" s="100">
        <f t="shared" si="3"/>
      </c>
      <c r="V29" s="85" t="s">
        <v>29</v>
      </c>
      <c r="W29" s="87">
        <f>COUNTIF(Ethnicity,"Not stated")</f>
        <v>0</v>
      </c>
    </row>
    <row r="30" spans="2:20" s="39" customFormat="1" ht="30" customHeight="1" thickBot="1">
      <c r="B30" s="77">
        <v>25</v>
      </c>
      <c r="C30" s="75"/>
      <c r="D30" s="75"/>
      <c r="E30" s="75"/>
      <c r="F30" s="75"/>
      <c r="G30" s="75"/>
      <c r="H30" s="75"/>
      <c r="I30" s="75"/>
      <c r="J30" s="75"/>
      <c r="K30" s="75"/>
      <c r="L30" s="100">
        <f t="shared" si="4"/>
      </c>
      <c r="M30" s="100">
        <f t="shared" si="5"/>
      </c>
      <c r="N30" s="100">
        <f t="shared" si="6"/>
      </c>
      <c r="O30" s="100">
        <f t="shared" si="7"/>
      </c>
      <c r="P30" s="100">
        <f t="shared" si="8"/>
      </c>
      <c r="Q30" s="100">
        <f t="shared" si="0"/>
      </c>
      <c r="R30" s="100">
        <f t="shared" si="1"/>
      </c>
      <c r="S30" s="100">
        <f t="shared" si="2"/>
      </c>
      <c r="T30" s="100">
        <f t="shared" si="3"/>
      </c>
    </row>
    <row r="31" spans="2:20" s="39" customFormat="1" ht="30" customHeight="1" thickBot="1">
      <c r="B31" s="77">
        <v>26</v>
      </c>
      <c r="C31" s="75"/>
      <c r="D31" s="75"/>
      <c r="E31" s="75"/>
      <c r="F31" s="75"/>
      <c r="G31" s="75"/>
      <c r="H31" s="75"/>
      <c r="I31" s="75"/>
      <c r="J31" s="75"/>
      <c r="K31" s="75"/>
      <c r="L31" s="100">
        <f t="shared" si="4"/>
      </c>
      <c r="M31" s="100">
        <f t="shared" si="5"/>
      </c>
      <c r="N31" s="100">
        <f t="shared" si="6"/>
      </c>
      <c r="O31" s="100">
        <f t="shared" si="7"/>
      </c>
      <c r="P31" s="100">
        <f t="shared" si="8"/>
      </c>
      <c r="Q31" s="100">
        <f t="shared" si="0"/>
      </c>
      <c r="R31" s="100">
        <f t="shared" si="1"/>
      </c>
      <c r="S31" s="100">
        <f t="shared" si="2"/>
      </c>
      <c r="T31" s="100">
        <f t="shared" si="3"/>
      </c>
    </row>
    <row r="32" spans="2:20" s="39" customFormat="1" ht="30" customHeight="1" thickBot="1">
      <c r="B32" s="77">
        <v>27</v>
      </c>
      <c r="C32" s="75"/>
      <c r="D32" s="75"/>
      <c r="E32" s="75"/>
      <c r="F32" s="75"/>
      <c r="G32" s="75"/>
      <c r="H32" s="75"/>
      <c r="I32" s="75"/>
      <c r="J32" s="75"/>
      <c r="K32" s="75"/>
      <c r="L32" s="100">
        <f t="shared" si="4"/>
      </c>
      <c r="M32" s="100">
        <f t="shared" si="5"/>
      </c>
      <c r="N32" s="100">
        <f t="shared" si="6"/>
      </c>
      <c r="O32" s="100">
        <f t="shared" si="7"/>
      </c>
      <c r="P32" s="100">
        <f t="shared" si="8"/>
      </c>
      <c r="Q32" s="100">
        <f t="shared" si="0"/>
      </c>
      <c r="R32" s="100">
        <f t="shared" si="1"/>
      </c>
      <c r="S32" s="100">
        <f t="shared" si="2"/>
      </c>
      <c r="T32" s="100">
        <f t="shared" si="3"/>
      </c>
    </row>
    <row r="33" spans="2:20" s="39" customFormat="1" ht="30" customHeight="1" thickBot="1">
      <c r="B33" s="77">
        <v>28</v>
      </c>
      <c r="C33" s="75"/>
      <c r="D33" s="75"/>
      <c r="E33" s="75"/>
      <c r="F33" s="75"/>
      <c r="G33" s="75"/>
      <c r="H33" s="75"/>
      <c r="I33" s="75"/>
      <c r="J33" s="75"/>
      <c r="K33" s="75"/>
      <c r="L33" s="100">
        <f t="shared" si="4"/>
      </c>
      <c r="M33" s="100">
        <f t="shared" si="5"/>
      </c>
      <c r="N33" s="100">
        <f t="shared" si="6"/>
      </c>
      <c r="O33" s="100">
        <f t="shared" si="7"/>
      </c>
      <c r="P33" s="100">
        <f t="shared" si="8"/>
      </c>
      <c r="Q33" s="100">
        <f t="shared" si="0"/>
      </c>
      <c r="R33" s="100">
        <f t="shared" si="1"/>
      </c>
      <c r="S33" s="100">
        <f t="shared" si="2"/>
      </c>
      <c r="T33" s="100">
        <f t="shared" si="3"/>
      </c>
    </row>
    <row r="34" spans="2:20" s="39" customFormat="1" ht="30" customHeight="1" thickBot="1">
      <c r="B34" s="77">
        <v>29</v>
      </c>
      <c r="C34" s="75"/>
      <c r="D34" s="75"/>
      <c r="E34" s="75"/>
      <c r="F34" s="75"/>
      <c r="G34" s="75"/>
      <c r="H34" s="75"/>
      <c r="I34" s="75"/>
      <c r="J34" s="75"/>
      <c r="K34" s="75"/>
      <c r="L34" s="100">
        <f t="shared" si="4"/>
      </c>
      <c r="M34" s="100">
        <f t="shared" si="5"/>
      </c>
      <c r="N34" s="100">
        <f t="shared" si="6"/>
      </c>
      <c r="O34" s="100">
        <f t="shared" si="7"/>
      </c>
      <c r="P34" s="100">
        <f t="shared" si="8"/>
      </c>
      <c r="Q34" s="100">
        <f t="shared" si="0"/>
      </c>
      <c r="R34" s="100">
        <f t="shared" si="1"/>
      </c>
      <c r="S34" s="100">
        <f t="shared" si="2"/>
      </c>
      <c r="T34" s="100">
        <f t="shared" si="3"/>
      </c>
    </row>
    <row r="35" spans="2:20" s="39" customFormat="1" ht="30" customHeight="1" thickBot="1">
      <c r="B35" s="77">
        <v>30</v>
      </c>
      <c r="C35" s="75"/>
      <c r="D35" s="75"/>
      <c r="E35" s="75"/>
      <c r="F35" s="75"/>
      <c r="G35" s="75"/>
      <c r="H35" s="75"/>
      <c r="I35" s="75"/>
      <c r="J35" s="75"/>
      <c r="K35" s="75"/>
      <c r="L35" s="100">
        <f t="shared" si="4"/>
      </c>
      <c r="M35" s="100">
        <f t="shared" si="5"/>
      </c>
      <c r="N35" s="100">
        <f t="shared" si="6"/>
      </c>
      <c r="O35" s="100">
        <f t="shared" si="7"/>
      </c>
      <c r="P35" s="100">
        <f t="shared" si="8"/>
      </c>
      <c r="Q35" s="100">
        <f t="shared" si="0"/>
      </c>
      <c r="R35" s="100">
        <f t="shared" si="1"/>
      </c>
      <c r="S35" s="100">
        <f t="shared" si="2"/>
      </c>
      <c r="T35" s="100">
        <f t="shared" si="3"/>
      </c>
    </row>
    <row r="36" spans="2:20" s="39" customFormat="1" ht="30" customHeight="1" thickBot="1">
      <c r="B36" s="78">
        <v>31</v>
      </c>
      <c r="C36" s="75"/>
      <c r="D36" s="75"/>
      <c r="E36" s="75"/>
      <c r="F36" s="75"/>
      <c r="G36" s="75"/>
      <c r="H36" s="75"/>
      <c r="I36" s="75"/>
      <c r="J36" s="75"/>
      <c r="K36" s="75"/>
      <c r="L36" s="100">
        <f t="shared" si="4"/>
      </c>
      <c r="M36" s="100">
        <f t="shared" si="5"/>
      </c>
      <c r="N36" s="100">
        <f t="shared" si="6"/>
      </c>
      <c r="O36" s="100">
        <f t="shared" si="7"/>
      </c>
      <c r="P36" s="100">
        <f t="shared" si="8"/>
      </c>
      <c r="Q36" s="100">
        <f t="shared" si="0"/>
      </c>
      <c r="R36" s="100">
        <f t="shared" si="1"/>
      </c>
      <c r="S36" s="100">
        <f t="shared" si="2"/>
      </c>
      <c r="T36" s="100">
        <f t="shared" si="3"/>
      </c>
    </row>
    <row r="37" spans="2:20" s="39" customFormat="1" ht="30" customHeight="1" thickBot="1">
      <c r="B37" s="77">
        <v>32</v>
      </c>
      <c r="C37" s="75"/>
      <c r="D37" s="75"/>
      <c r="E37" s="75"/>
      <c r="F37" s="75"/>
      <c r="G37" s="75"/>
      <c r="H37" s="75"/>
      <c r="I37" s="75"/>
      <c r="J37" s="75"/>
      <c r="K37" s="75"/>
      <c r="L37" s="100">
        <f t="shared" si="4"/>
      </c>
      <c r="M37" s="100">
        <f t="shared" si="5"/>
      </c>
      <c r="N37" s="100">
        <f t="shared" si="6"/>
      </c>
      <c r="O37" s="100">
        <f t="shared" si="7"/>
      </c>
      <c r="P37" s="100">
        <f t="shared" si="8"/>
      </c>
      <c r="Q37" s="100">
        <f t="shared" si="0"/>
      </c>
      <c r="R37" s="100">
        <f t="shared" si="1"/>
      </c>
      <c r="S37" s="100">
        <f t="shared" si="2"/>
      </c>
      <c r="T37" s="100">
        <f t="shared" si="3"/>
      </c>
    </row>
    <row r="38" spans="2:20" s="39" customFormat="1" ht="30" customHeight="1" thickBot="1">
      <c r="B38" s="77">
        <v>33</v>
      </c>
      <c r="C38" s="75"/>
      <c r="D38" s="75"/>
      <c r="E38" s="75"/>
      <c r="F38" s="75"/>
      <c r="G38" s="75"/>
      <c r="H38" s="75"/>
      <c r="I38" s="75"/>
      <c r="J38" s="75"/>
      <c r="K38" s="75"/>
      <c r="L38" s="100">
        <f t="shared" si="4"/>
      </c>
      <c r="M38" s="100">
        <f t="shared" si="5"/>
      </c>
      <c r="N38" s="100">
        <f t="shared" si="6"/>
      </c>
      <c r="O38" s="100">
        <f t="shared" si="7"/>
      </c>
      <c r="P38" s="100">
        <f t="shared" si="8"/>
      </c>
      <c r="Q38" s="100">
        <f t="shared" si="0"/>
      </c>
      <c r="R38" s="100">
        <f t="shared" si="1"/>
      </c>
      <c r="S38" s="100">
        <f t="shared" si="2"/>
      </c>
      <c r="T38" s="100">
        <f t="shared" si="3"/>
      </c>
    </row>
    <row r="39" spans="2:20" s="39" customFormat="1" ht="30" customHeight="1" thickBot="1">
      <c r="B39" s="77">
        <v>34</v>
      </c>
      <c r="C39" s="75"/>
      <c r="D39" s="75"/>
      <c r="E39" s="75"/>
      <c r="F39" s="75"/>
      <c r="G39" s="75"/>
      <c r="H39" s="75"/>
      <c r="I39" s="75"/>
      <c r="J39" s="75"/>
      <c r="K39" s="75"/>
      <c r="L39" s="100">
        <f t="shared" si="4"/>
      </c>
      <c r="M39" s="100">
        <f t="shared" si="5"/>
      </c>
      <c r="N39" s="100">
        <f t="shared" si="6"/>
      </c>
      <c r="O39" s="100">
        <f t="shared" si="7"/>
      </c>
      <c r="P39" s="100">
        <f t="shared" si="8"/>
      </c>
      <c r="Q39" s="100">
        <f t="shared" si="0"/>
      </c>
      <c r="R39" s="100">
        <f t="shared" si="1"/>
      </c>
      <c r="S39" s="100">
        <f t="shared" si="2"/>
      </c>
      <c r="T39" s="100">
        <f t="shared" si="3"/>
      </c>
    </row>
    <row r="40" spans="2:20" s="39" customFormat="1" ht="30" customHeight="1" thickBot="1">
      <c r="B40" s="77">
        <v>35</v>
      </c>
      <c r="C40" s="75"/>
      <c r="D40" s="75"/>
      <c r="E40" s="75"/>
      <c r="F40" s="75"/>
      <c r="G40" s="75"/>
      <c r="H40" s="75"/>
      <c r="I40" s="75"/>
      <c r="J40" s="75"/>
      <c r="K40" s="75"/>
      <c r="L40" s="100">
        <f t="shared" si="4"/>
      </c>
      <c r="M40" s="100">
        <f t="shared" si="5"/>
      </c>
      <c r="N40" s="100">
        <f t="shared" si="6"/>
      </c>
      <c r="O40" s="100">
        <f t="shared" si="7"/>
      </c>
      <c r="P40" s="100">
        <f t="shared" si="8"/>
      </c>
      <c r="Q40" s="100">
        <f t="shared" si="0"/>
      </c>
      <c r="R40" s="100">
        <f t="shared" si="1"/>
      </c>
      <c r="S40" s="100">
        <f t="shared" si="2"/>
      </c>
      <c r="T40" s="100">
        <f t="shared" si="3"/>
      </c>
    </row>
    <row r="41" spans="2:20" s="39" customFormat="1" ht="30" customHeight="1" thickBot="1">
      <c r="B41" s="77">
        <v>36</v>
      </c>
      <c r="C41" s="75"/>
      <c r="D41" s="75"/>
      <c r="E41" s="75"/>
      <c r="F41" s="75"/>
      <c r="G41" s="75"/>
      <c r="H41" s="75"/>
      <c r="I41" s="75"/>
      <c r="J41" s="75"/>
      <c r="K41" s="75"/>
      <c r="L41" s="100">
        <f t="shared" si="4"/>
      </c>
      <c r="M41" s="100">
        <f t="shared" si="5"/>
      </c>
      <c r="N41" s="100">
        <f t="shared" si="6"/>
      </c>
      <c r="O41" s="100">
        <f t="shared" si="7"/>
      </c>
      <c r="P41" s="100">
        <f t="shared" si="8"/>
      </c>
      <c r="Q41" s="100">
        <f t="shared" si="0"/>
      </c>
      <c r="R41" s="100">
        <f t="shared" si="1"/>
      </c>
      <c r="S41" s="100">
        <f t="shared" si="2"/>
      </c>
      <c r="T41" s="100">
        <f t="shared" si="3"/>
      </c>
    </row>
    <row r="42" spans="2:20" s="39" customFormat="1" ht="30" customHeight="1" thickBot="1">
      <c r="B42" s="77">
        <v>37</v>
      </c>
      <c r="C42" s="75"/>
      <c r="D42" s="75"/>
      <c r="E42" s="75"/>
      <c r="F42" s="75"/>
      <c r="G42" s="75"/>
      <c r="H42" s="75"/>
      <c r="I42" s="75"/>
      <c r="J42" s="75"/>
      <c r="K42" s="75"/>
      <c r="L42" s="100">
        <f t="shared" si="4"/>
      </c>
      <c r="M42" s="100">
        <f t="shared" si="5"/>
      </c>
      <c r="N42" s="100">
        <f t="shared" si="6"/>
      </c>
      <c r="O42" s="100">
        <f t="shared" si="7"/>
      </c>
      <c r="P42" s="100">
        <f t="shared" si="8"/>
      </c>
      <c r="Q42" s="100">
        <f t="shared" si="0"/>
      </c>
      <c r="R42" s="100">
        <f t="shared" si="1"/>
      </c>
      <c r="S42" s="100">
        <f t="shared" si="2"/>
      </c>
      <c r="T42" s="100">
        <f t="shared" si="3"/>
      </c>
    </row>
    <row r="43" spans="2:20" s="39" customFormat="1" ht="30" customHeight="1" thickBot="1">
      <c r="B43" s="77">
        <v>38</v>
      </c>
      <c r="C43" s="75"/>
      <c r="D43" s="75"/>
      <c r="E43" s="75"/>
      <c r="F43" s="75"/>
      <c r="G43" s="75"/>
      <c r="H43" s="75"/>
      <c r="I43" s="75"/>
      <c r="J43" s="75"/>
      <c r="K43" s="75"/>
      <c r="L43" s="100">
        <f t="shared" si="4"/>
      </c>
      <c r="M43" s="100">
        <f t="shared" si="5"/>
      </c>
      <c r="N43" s="100">
        <f t="shared" si="6"/>
      </c>
      <c r="O43" s="100">
        <f t="shared" si="7"/>
      </c>
      <c r="P43" s="100">
        <f t="shared" si="8"/>
      </c>
      <c r="Q43" s="100">
        <f t="shared" si="0"/>
      </c>
      <c r="R43" s="100">
        <f t="shared" si="1"/>
      </c>
      <c r="S43" s="100">
        <f t="shared" si="2"/>
      </c>
      <c r="T43" s="100">
        <f t="shared" si="3"/>
      </c>
    </row>
    <row r="44" spans="2:20" s="39" customFormat="1" ht="30" customHeight="1" thickBot="1">
      <c r="B44" s="77">
        <v>39</v>
      </c>
      <c r="C44" s="75"/>
      <c r="D44" s="75"/>
      <c r="E44" s="75"/>
      <c r="F44" s="75"/>
      <c r="G44" s="75"/>
      <c r="H44" s="75"/>
      <c r="I44" s="75"/>
      <c r="J44" s="75"/>
      <c r="K44" s="75"/>
      <c r="L44" s="100">
        <f t="shared" si="4"/>
      </c>
      <c r="M44" s="100">
        <f t="shared" si="5"/>
      </c>
      <c r="N44" s="100">
        <f t="shared" si="6"/>
      </c>
      <c r="O44" s="100">
        <f t="shared" si="7"/>
      </c>
      <c r="P44" s="100">
        <f t="shared" si="8"/>
      </c>
      <c r="Q44" s="100">
        <f t="shared" si="0"/>
      </c>
      <c r="R44" s="100">
        <f t="shared" si="1"/>
      </c>
      <c r="S44" s="100">
        <f t="shared" si="2"/>
      </c>
      <c r="T44" s="100">
        <f t="shared" si="3"/>
      </c>
    </row>
    <row r="45" spans="2:20" s="39" customFormat="1" ht="30" customHeight="1" thickBot="1">
      <c r="B45" s="77">
        <v>40</v>
      </c>
      <c r="C45" s="75"/>
      <c r="D45" s="75"/>
      <c r="E45" s="75"/>
      <c r="F45" s="75"/>
      <c r="G45" s="75"/>
      <c r="H45" s="75"/>
      <c r="I45" s="75"/>
      <c r="J45" s="75"/>
      <c r="K45" s="75"/>
      <c r="L45" s="100">
        <f t="shared" si="4"/>
      </c>
      <c r="M45" s="100">
        <f t="shared" si="5"/>
      </c>
      <c r="N45" s="100">
        <f t="shared" si="6"/>
      </c>
      <c r="O45" s="100">
        <f t="shared" si="7"/>
      </c>
      <c r="P45" s="100">
        <f t="shared" si="8"/>
      </c>
      <c r="Q45" s="100">
        <f t="shared" si="0"/>
      </c>
      <c r="R45" s="100">
        <f t="shared" si="1"/>
      </c>
      <c r="S45" s="100">
        <f t="shared" si="2"/>
      </c>
      <c r="T45" s="100">
        <f t="shared" si="3"/>
      </c>
    </row>
    <row r="46" spans="2:20" s="39" customFormat="1" ht="30" customHeight="1" thickBot="1">
      <c r="B46" s="77" t="s">
        <v>87</v>
      </c>
      <c r="C46" s="75"/>
      <c r="D46" s="75"/>
      <c r="E46" s="75"/>
      <c r="F46" s="75"/>
      <c r="G46" s="75"/>
      <c r="H46" s="75"/>
      <c r="I46" s="75"/>
      <c r="J46" s="75"/>
      <c r="K46" s="75"/>
      <c r="L46" s="100">
        <f t="shared" si="4"/>
      </c>
      <c r="M46" s="100">
        <f t="shared" si="5"/>
      </c>
      <c r="N46" s="100">
        <f t="shared" si="6"/>
      </c>
      <c r="O46" s="100">
        <f t="shared" si="7"/>
      </c>
      <c r="P46" s="100">
        <f t="shared" si="8"/>
      </c>
      <c r="Q46" s="100">
        <f t="shared" si="0"/>
      </c>
      <c r="R46" s="100">
        <f t="shared" si="1"/>
      </c>
      <c r="S46" s="100">
        <f t="shared" si="2"/>
      </c>
      <c r="T46" s="100">
        <f t="shared" si="3"/>
      </c>
    </row>
    <row r="47" spans="2:20" s="39" customFormat="1" ht="13.5" thickBot="1">
      <c r="B47" s="3" t="s">
        <v>5</v>
      </c>
      <c r="C47" s="43"/>
      <c r="D47" s="44"/>
      <c r="E47" s="45"/>
      <c r="F47" s="79">
        <f aca="true" t="shared" si="9" ref="F47:K47">COUNTIF(F6:F46,"Yes")</f>
        <v>0</v>
      </c>
      <c r="G47" s="79">
        <f t="shared" si="9"/>
        <v>0</v>
      </c>
      <c r="H47" s="79">
        <f t="shared" si="9"/>
        <v>0</v>
      </c>
      <c r="I47" s="79">
        <f t="shared" si="9"/>
        <v>0</v>
      </c>
      <c r="J47" s="79">
        <f t="shared" si="9"/>
        <v>0</v>
      </c>
      <c r="K47" s="79">
        <f t="shared" si="9"/>
        <v>0</v>
      </c>
      <c r="L47" s="79">
        <f aca="true" t="shared" si="10" ref="L47:T47">COUNTIF(L6:L46,"Met")</f>
        <v>0</v>
      </c>
      <c r="M47" s="79">
        <f t="shared" si="10"/>
        <v>0</v>
      </c>
      <c r="N47" s="79">
        <f t="shared" si="10"/>
        <v>0</v>
      </c>
      <c r="O47" s="79">
        <f t="shared" si="10"/>
        <v>0</v>
      </c>
      <c r="P47" s="79">
        <f t="shared" si="10"/>
        <v>0</v>
      </c>
      <c r="Q47" s="79">
        <f t="shared" si="10"/>
        <v>0</v>
      </c>
      <c r="R47" s="79">
        <f t="shared" si="10"/>
        <v>0</v>
      </c>
      <c r="S47" s="79">
        <f t="shared" si="10"/>
        <v>0</v>
      </c>
      <c r="T47" s="79">
        <f t="shared" si="10"/>
        <v>0</v>
      </c>
    </row>
    <row r="48" spans="2:20" s="39" customFormat="1" ht="13.5" thickBot="1">
      <c r="B48" s="3" t="s">
        <v>6</v>
      </c>
      <c r="C48" s="46"/>
      <c r="D48" s="37"/>
      <c r="E48" s="47"/>
      <c r="F48" s="79">
        <f aca="true" t="shared" si="11" ref="F48:K48">COUNTIF(F6:F46,"No")</f>
        <v>0</v>
      </c>
      <c r="G48" s="79">
        <f t="shared" si="11"/>
        <v>0</v>
      </c>
      <c r="H48" s="79">
        <f t="shared" si="11"/>
        <v>0</v>
      </c>
      <c r="I48" s="79">
        <f t="shared" si="11"/>
        <v>0</v>
      </c>
      <c r="J48" s="79">
        <f t="shared" si="11"/>
        <v>0</v>
      </c>
      <c r="K48" s="79">
        <f t="shared" si="11"/>
        <v>0</v>
      </c>
      <c r="L48" s="79">
        <f aca="true" t="shared" si="12" ref="L48:T48">COUNTIF(L6:L46,"Not met")</f>
        <v>0</v>
      </c>
      <c r="M48" s="79">
        <f t="shared" si="12"/>
        <v>0</v>
      </c>
      <c r="N48" s="79">
        <f t="shared" si="12"/>
        <v>0</v>
      </c>
      <c r="O48" s="79">
        <f t="shared" si="12"/>
        <v>0</v>
      </c>
      <c r="P48" s="79">
        <f t="shared" si="12"/>
        <v>0</v>
      </c>
      <c r="Q48" s="79">
        <f t="shared" si="12"/>
        <v>0</v>
      </c>
      <c r="R48" s="79">
        <f t="shared" si="12"/>
        <v>0</v>
      </c>
      <c r="S48" s="79">
        <f t="shared" si="12"/>
        <v>0</v>
      </c>
      <c r="T48" s="79">
        <f t="shared" si="12"/>
        <v>0</v>
      </c>
    </row>
    <row r="49" spans="2:20" s="39" customFormat="1" ht="13.5" thickBot="1">
      <c r="B49" s="3" t="s">
        <v>7</v>
      </c>
      <c r="C49" s="46"/>
      <c r="D49" s="37"/>
      <c r="E49" s="47"/>
      <c r="F49" s="79">
        <f aca="true" t="shared" si="13" ref="F49:L49">SUM(F47:F48)</f>
        <v>0</v>
      </c>
      <c r="G49" s="79">
        <f t="shared" si="13"/>
        <v>0</v>
      </c>
      <c r="H49" s="79">
        <f t="shared" si="13"/>
        <v>0</v>
      </c>
      <c r="I49" s="79">
        <f t="shared" si="13"/>
        <v>0</v>
      </c>
      <c r="J49" s="79">
        <f t="shared" si="13"/>
        <v>0</v>
      </c>
      <c r="K49" s="79">
        <f t="shared" si="13"/>
        <v>0</v>
      </c>
      <c r="L49" s="79">
        <f t="shared" si="13"/>
        <v>0</v>
      </c>
      <c r="M49" s="79">
        <f aca="true" t="shared" si="14" ref="M49:T49">SUM(M47:M48)</f>
        <v>0</v>
      </c>
      <c r="N49" s="79">
        <f t="shared" si="14"/>
        <v>0</v>
      </c>
      <c r="O49" s="79">
        <f t="shared" si="14"/>
        <v>0</v>
      </c>
      <c r="P49" s="79">
        <f>SUM(P47:P48)</f>
        <v>0</v>
      </c>
      <c r="Q49" s="79">
        <f t="shared" si="14"/>
        <v>0</v>
      </c>
      <c r="R49" s="79">
        <f t="shared" si="14"/>
        <v>0</v>
      </c>
      <c r="S49" s="79">
        <f t="shared" si="14"/>
        <v>0</v>
      </c>
      <c r="T49" s="79">
        <f t="shared" si="14"/>
        <v>0</v>
      </c>
    </row>
    <row r="50" spans="2:20" s="51" customFormat="1" ht="13.5" thickBot="1">
      <c r="B50" s="5" t="s">
        <v>8</v>
      </c>
      <c r="C50" s="48"/>
      <c r="D50" s="49"/>
      <c r="E50" s="50"/>
      <c r="F50" s="80" t="str">
        <f aca="true" t="shared" si="15" ref="F50:T50">IF(ISERROR(F47/F49),"%",F47/F49)</f>
        <v>%</v>
      </c>
      <c r="G50" s="80" t="str">
        <f t="shared" si="15"/>
        <v>%</v>
      </c>
      <c r="H50" s="80" t="str">
        <f t="shared" si="15"/>
        <v>%</v>
      </c>
      <c r="I50" s="80" t="str">
        <f t="shared" si="15"/>
        <v>%</v>
      </c>
      <c r="J50" s="80" t="str">
        <f t="shared" si="15"/>
        <v>%</v>
      </c>
      <c r="K50" s="80" t="str">
        <f t="shared" si="15"/>
        <v>%</v>
      </c>
      <c r="L50" s="80" t="str">
        <f t="shared" si="15"/>
        <v>%</v>
      </c>
      <c r="M50" s="80" t="str">
        <f t="shared" si="15"/>
        <v>%</v>
      </c>
      <c r="N50" s="80" t="str">
        <f t="shared" si="15"/>
        <v>%</v>
      </c>
      <c r="O50" s="80" t="str">
        <f>IF(ISERROR(O47/O49),"%",O47/O49)</f>
        <v>%</v>
      </c>
      <c r="P50" s="80" t="str">
        <f>IF(ISERROR(P47/P49),"%",P47/P49)</f>
        <v>%</v>
      </c>
      <c r="Q50" s="80" t="str">
        <f t="shared" si="15"/>
        <v>%</v>
      </c>
      <c r="R50" s="80" t="str">
        <f t="shared" si="15"/>
        <v>%</v>
      </c>
      <c r="S50" s="80" t="str">
        <f>IF(ISERROR(S48/S49),"%",S48/S49)</f>
        <v>%</v>
      </c>
      <c r="T50" s="80" t="str">
        <f t="shared" si="15"/>
        <v>%</v>
      </c>
    </row>
    <row r="51" spans="3:20" s="39" customFormat="1" ht="12.75">
      <c r="C51" s="52"/>
      <c r="F51" s="81"/>
      <c r="G51" s="81"/>
      <c r="H51" s="81"/>
      <c r="I51" s="81"/>
      <c r="J51" s="81"/>
      <c r="K51" s="81"/>
      <c r="L51" s="81"/>
      <c r="M51" s="81"/>
      <c r="N51" s="81"/>
      <c r="O51" s="81"/>
      <c r="P51" s="81"/>
      <c r="Q51" s="81"/>
      <c r="R51" s="81"/>
      <c r="S51" s="81"/>
      <c r="T51" s="81"/>
    </row>
    <row r="52" spans="3:20" s="39" customFormat="1" ht="13.5" thickBot="1">
      <c r="C52" s="52"/>
      <c r="F52" s="81"/>
      <c r="G52" s="81"/>
      <c r="H52" s="81"/>
      <c r="I52" s="81"/>
      <c r="J52" s="81"/>
      <c r="K52" s="81"/>
      <c r="L52" s="81"/>
      <c r="M52" s="81"/>
      <c r="N52" s="81"/>
      <c r="O52" s="81"/>
      <c r="P52" s="81"/>
      <c r="Q52" s="81"/>
      <c r="R52" s="81"/>
      <c r="S52" s="81"/>
      <c r="T52" s="81"/>
    </row>
    <row r="53" spans="2:20" s="39" customFormat="1" ht="13.5" thickBot="1">
      <c r="B53" s="3" t="s">
        <v>18</v>
      </c>
      <c r="C53" s="52"/>
      <c r="F53" s="79">
        <f aca="true" t="shared" si="16" ref="F53:O53">COUNTIF(F6:F46,"NA")</f>
        <v>0</v>
      </c>
      <c r="G53" s="79">
        <f t="shared" si="16"/>
        <v>0</v>
      </c>
      <c r="H53" s="79">
        <f t="shared" si="16"/>
        <v>0</v>
      </c>
      <c r="I53" s="79">
        <f t="shared" si="16"/>
        <v>0</v>
      </c>
      <c r="J53" s="79">
        <f t="shared" si="16"/>
        <v>0</v>
      </c>
      <c r="K53" s="79">
        <f t="shared" si="16"/>
        <v>0</v>
      </c>
      <c r="L53" s="79">
        <f t="shared" si="16"/>
        <v>0</v>
      </c>
      <c r="M53" s="79">
        <f t="shared" si="16"/>
        <v>0</v>
      </c>
      <c r="N53" s="79">
        <f t="shared" si="16"/>
        <v>0</v>
      </c>
      <c r="O53" s="79">
        <f t="shared" si="16"/>
        <v>0</v>
      </c>
      <c r="P53" s="79"/>
      <c r="Q53" s="79">
        <f>COUNTIF(Q6:Q46,"NA")</f>
        <v>0</v>
      </c>
      <c r="R53" s="79">
        <f>COUNTIF(R6:R46,"NA")</f>
        <v>0</v>
      </c>
      <c r="S53" s="79">
        <f>COUNTIF(S6:S46,"NA")</f>
        <v>0</v>
      </c>
      <c r="T53" s="79">
        <f>COUNTIF(T6:T46,"NA")</f>
        <v>0</v>
      </c>
    </row>
    <row r="54" spans="2:20" s="39" customFormat="1" ht="13.5" thickBot="1">
      <c r="B54" s="3" t="s">
        <v>21</v>
      </c>
      <c r="C54" s="52"/>
      <c r="F54" s="79">
        <f aca="true" t="shared" si="17" ref="F54:O54">COUNTIF(F6:F46,"*Exception*")</f>
        <v>0</v>
      </c>
      <c r="G54" s="79">
        <f t="shared" si="17"/>
        <v>0</v>
      </c>
      <c r="H54" s="79">
        <f t="shared" si="17"/>
        <v>0</v>
      </c>
      <c r="I54" s="79">
        <f t="shared" si="17"/>
        <v>0</v>
      </c>
      <c r="J54" s="79">
        <f t="shared" si="17"/>
        <v>0</v>
      </c>
      <c r="K54" s="79">
        <f t="shared" si="17"/>
        <v>0</v>
      </c>
      <c r="L54" s="79">
        <f t="shared" si="17"/>
        <v>0</v>
      </c>
      <c r="M54" s="79">
        <f t="shared" si="17"/>
        <v>0</v>
      </c>
      <c r="N54" s="79">
        <f t="shared" si="17"/>
        <v>0</v>
      </c>
      <c r="O54" s="79">
        <f t="shared" si="17"/>
        <v>0</v>
      </c>
      <c r="P54" s="79"/>
      <c r="Q54" s="79">
        <f>COUNTIF(Q6:Q46,"*Exception*")</f>
        <v>0</v>
      </c>
      <c r="R54" s="79">
        <f>COUNTIF(R6:R46,"*Exception*")</f>
        <v>0</v>
      </c>
      <c r="S54" s="79">
        <f>COUNTIF(S6:S46,"*Exception*")</f>
        <v>0</v>
      </c>
      <c r="T54" s="79">
        <f>COUNTIF(T6:T46,"*Exception*")</f>
        <v>0</v>
      </c>
    </row>
    <row r="57" spans="2:5" ht="15">
      <c r="B57" s="153" t="s">
        <v>78</v>
      </c>
      <c r="C57" s="141"/>
      <c r="D57" s="141"/>
      <c r="E57" s="141"/>
    </row>
    <row r="58" spans="2:5" ht="40.5" customHeight="1">
      <c r="B58" s="148" t="s">
        <v>130</v>
      </c>
      <c r="C58" s="149"/>
      <c r="D58" s="149"/>
      <c r="E58" s="149"/>
    </row>
    <row r="59" spans="2:5" ht="15">
      <c r="B59" s="150"/>
      <c r="C59" s="147"/>
      <c r="D59" s="147"/>
      <c r="E59" s="147"/>
    </row>
    <row r="60" spans="2:5" ht="15">
      <c r="B60" s="150"/>
      <c r="C60" s="147"/>
      <c r="D60" s="147"/>
      <c r="E60" s="147"/>
    </row>
    <row r="61" spans="2:5" ht="15">
      <c r="B61" s="150"/>
      <c r="C61" s="147"/>
      <c r="D61" s="147"/>
      <c r="E61" s="147"/>
    </row>
    <row r="62" spans="2:5" ht="15">
      <c r="B62" s="146"/>
      <c r="C62" s="147"/>
      <c r="D62" s="147"/>
      <c r="E62" s="147"/>
    </row>
    <row r="63" spans="2:5" ht="15">
      <c r="B63" s="146"/>
      <c r="C63" s="147"/>
      <c r="D63" s="147"/>
      <c r="E63" s="147"/>
    </row>
    <row r="64" spans="2:5" ht="15">
      <c r="B64" s="146"/>
      <c r="C64" s="147"/>
      <c r="D64" s="147"/>
      <c r="E64" s="147"/>
    </row>
    <row r="65" spans="2:5" ht="15">
      <c r="B65" s="146"/>
      <c r="C65" s="147"/>
      <c r="D65" s="147"/>
      <c r="E65" s="147"/>
    </row>
    <row r="79" ht="14.25" hidden="1">
      <c r="B79" s="39" t="s">
        <v>22</v>
      </c>
    </row>
    <row r="80" ht="14.25" hidden="1">
      <c r="B80" s="39" t="s">
        <v>23</v>
      </c>
    </row>
    <row r="81" ht="14.25" hidden="1">
      <c r="B81" s="39" t="s">
        <v>34</v>
      </c>
    </row>
    <row r="82" ht="14.25" hidden="1">
      <c r="B82" s="39" t="s">
        <v>30</v>
      </c>
    </row>
    <row r="83" ht="14.25" hidden="1">
      <c r="B83" s="39" t="s">
        <v>31</v>
      </c>
    </row>
    <row r="84" ht="14.25" hidden="1">
      <c r="B84" s="39" t="s">
        <v>24</v>
      </c>
    </row>
    <row r="85" ht="14.25" hidden="1">
      <c r="B85" s="39" t="s">
        <v>35</v>
      </c>
    </row>
    <row r="86" ht="14.25" hidden="1">
      <c r="B86" s="39" t="s">
        <v>25</v>
      </c>
    </row>
    <row r="87" ht="14.25" hidden="1">
      <c r="B87" s="39" t="s">
        <v>26</v>
      </c>
    </row>
    <row r="88" ht="14.25" hidden="1">
      <c r="B88" s="39" t="s">
        <v>27</v>
      </c>
    </row>
    <row r="89" ht="14.25" hidden="1">
      <c r="B89" s="39" t="s">
        <v>36</v>
      </c>
    </row>
    <row r="90" ht="14.25" hidden="1">
      <c r="B90" s="39" t="s">
        <v>32</v>
      </c>
    </row>
    <row r="91" ht="14.25" hidden="1">
      <c r="B91" s="39" t="s">
        <v>33</v>
      </c>
    </row>
    <row r="92" ht="14.25" hidden="1">
      <c r="B92" s="39" t="s">
        <v>37</v>
      </c>
    </row>
    <row r="93" ht="14.25" hidden="1">
      <c r="B93" s="39" t="s">
        <v>28</v>
      </c>
    </row>
    <row r="94" ht="14.25" hidden="1">
      <c r="B94" s="39" t="s">
        <v>38</v>
      </c>
    </row>
    <row r="95" ht="14.25" hidden="1">
      <c r="B95" s="39" t="s">
        <v>29</v>
      </c>
    </row>
  </sheetData>
  <sheetProtection/>
  <mergeCells count="11">
    <mergeCell ref="B60:E60"/>
    <mergeCell ref="B61:E61"/>
    <mergeCell ref="B62:E62"/>
    <mergeCell ref="B63:E63"/>
    <mergeCell ref="B64:E64"/>
    <mergeCell ref="B65:E65"/>
    <mergeCell ref="B1:R1"/>
    <mergeCell ref="B2:J2"/>
    <mergeCell ref="B57:E57"/>
    <mergeCell ref="B58:E58"/>
    <mergeCell ref="B59:E59"/>
  </mergeCells>
  <conditionalFormatting sqref="H6:H46">
    <cfRule type="expression" priority="7" dxfId="0" stopIfTrue="1">
      <formula>AND(F6="Ribavirin",G6=1)</formula>
    </cfRule>
    <cfRule type="expression" priority="10" dxfId="0" stopIfTrue="1">
      <formula>AND(F6="Ribavirin",G6=2)</formula>
    </cfRule>
    <cfRule type="expression" priority="21" dxfId="0" stopIfTrue="1">
      <formula>AND(F6="Peginterferon alfa and ribavirin",G6=1)</formula>
    </cfRule>
  </conditionalFormatting>
  <conditionalFormatting sqref="I6:I46">
    <cfRule type="expression" priority="4" dxfId="0" stopIfTrue="1">
      <formula>AND(F6="Ribavirin",G6=3)</formula>
    </cfRule>
    <cfRule type="expression" priority="6" dxfId="0" stopIfTrue="1">
      <formula>AND(F6="Ribavirin",G6=1)</formula>
    </cfRule>
    <cfRule type="expression" priority="12" dxfId="0" stopIfTrue="1">
      <formula>G6&gt;3</formula>
    </cfRule>
    <cfRule type="expression" priority="17" dxfId="0" stopIfTrue="1">
      <formula>AND(F6="Peginterferon alfa and ribavirin",G6=3,H6="Yes")</formula>
    </cfRule>
    <cfRule type="expression" priority="20" dxfId="0" stopIfTrue="1">
      <formula>AND(F6="Peginterferon alfa and ribavirin",G6=1)</formula>
    </cfRule>
  </conditionalFormatting>
  <conditionalFormatting sqref="J6:J46">
    <cfRule type="expression" priority="3" dxfId="0" stopIfTrue="1">
      <formula>AND(F6="Ribavirin",G6=3)</formula>
    </cfRule>
    <cfRule type="expression" priority="5" dxfId="0" stopIfTrue="1">
      <formula>AND(F6="Ribavirin",G6=1)</formula>
    </cfRule>
    <cfRule type="expression" priority="11" dxfId="0" stopIfTrue="1">
      <formula>G6&gt;3</formula>
    </cfRule>
    <cfRule type="expression" priority="14" dxfId="0" stopIfTrue="1">
      <formula>AND(F6="Peginterferon alfa and ribavirin",G6=3,H6="No",I6="Yes")</formula>
    </cfRule>
    <cfRule type="expression" priority="16" dxfId="0" stopIfTrue="1">
      <formula>AND(F6="Peginterferon alfa and ribavirin",G6=3,H6="Yes")</formula>
    </cfRule>
    <cfRule type="expression" priority="19" dxfId="0" stopIfTrue="1">
      <formula>AND(F6="Peginterferon alfa and ribavirin",G6=1)</formula>
    </cfRule>
  </conditionalFormatting>
  <conditionalFormatting sqref="K6:K46">
    <cfRule type="expression" priority="8" dxfId="0" stopIfTrue="1">
      <formula>AND(F6="Ribavirin",G6=2,I6="No",J6="Yes")</formula>
    </cfRule>
    <cfRule type="expression" priority="9" dxfId="0" stopIfTrue="1">
      <formula>AND(F6="Ribavirin",G6=2,I6="Yes")</formula>
    </cfRule>
    <cfRule type="expression" priority="13" dxfId="0" stopIfTrue="1">
      <formula>AND(F6="Peginterferon alfa and ribavirin",G6=3,H6="No",I6="Yes")</formula>
    </cfRule>
    <cfRule type="expression" priority="15" dxfId="0" stopIfTrue="1">
      <formula>AND(F6="Peginterferon alfa and ribavirin",G6=3,H6="Yes")</formula>
    </cfRule>
    <cfRule type="expression" priority="18" dxfId="0" stopIfTrue="1">
      <formula>AND(F6="Peginterferon alfa and ribavirin",G6=1)</formula>
    </cfRule>
  </conditionalFormatting>
  <conditionalFormatting sqref="J6:J46">
    <cfRule type="expression" priority="2" dxfId="0" stopIfTrue="1">
      <formula>AND(F6="Peginterferon alfa and ribavirin",G6=3)</formula>
    </cfRule>
  </conditionalFormatting>
  <conditionalFormatting sqref="H6:H46">
    <cfRule type="expression" priority="1" dxfId="0" stopIfTrue="1">
      <formula>AND(F6="Ribavirin",G6&gt;3)</formula>
    </cfRule>
  </conditionalFormatting>
  <dataValidations count="6">
    <dataValidation type="list" allowBlank="1" showInputMessage="1" showErrorMessage="1" sqref="K6:K46">
      <formula1>"Yes"</formula1>
    </dataValidation>
    <dataValidation type="list" allowBlank="1" showInputMessage="1" showErrorMessage="1" sqref="G6:G46">
      <formula1>"1,2,3,4,5,6"</formula1>
    </dataValidation>
    <dataValidation type="list" allowBlank="1" showInputMessage="1" showErrorMessage="1" sqref="F6:F46">
      <formula1>"Peginterferon alfa and ribavirin, Ribavirin"</formula1>
    </dataValidation>
    <dataValidation type="list" allowBlank="1" showInputMessage="1" showErrorMessage="1" sqref="H6:J46">
      <formula1>"Yes, No, NA, Exception"</formula1>
    </dataValidation>
    <dataValidation type="list" allowBlank="1" showInputMessage="1" showErrorMessage="1" sqref="E6:E46">
      <formula1>$B$79:$B$95</formula1>
    </dataValidation>
    <dataValidation type="list" allowBlank="1" showInputMessage="1" showErrorMessage="1" sqref="D6:D46">
      <formula1>"Male,Female"</formula1>
    </dataValidation>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NICE Audit Team</cp:lastModifiedBy>
  <cp:lastPrinted>2015-03-09T10:54:27Z</cp:lastPrinted>
  <dcterms:created xsi:type="dcterms:W3CDTF">2010-11-03T13:43:45Z</dcterms:created>
  <dcterms:modified xsi:type="dcterms:W3CDTF">2015-03-09T12:59:36Z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