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81" yWindow="65476" windowWidth="19320" windowHeight="4380" firstSheet="1" activeTab="1"/>
  </bookViews>
  <sheets>
    <sheet name="Hidden sheet" sheetId="1" state="hidden" r:id="rId1"/>
    <sheet name="Cover page" sheetId="2" r:id="rId2"/>
    <sheet name="Introduction" sheetId="3" r:id="rId3"/>
    <sheet name="Audit standards" sheetId="4" r:id="rId4"/>
    <sheet name="Data collection" sheetId="5" r:id="rId5"/>
    <sheet name="Clinical audit report" sheetId="6" r:id="rId6"/>
    <sheet name="Action plan" sheetId="7" r:id="rId7"/>
    <sheet name="Re-audit" sheetId="8" r:id="rId8"/>
    <sheet name="Appendix" sheetId="9" r:id="rId9"/>
  </sheets>
  <externalReferences>
    <externalReference r:id="rId12"/>
  </externalReferences>
  <definedNames>
    <definedName name="Age" localSheetId="1">'[1]Data collection'!$C$6:$C$45</definedName>
    <definedName name="Age">'Data collection'!$C$8:$C$47</definedName>
    <definedName name="Age1">#REF!</definedName>
    <definedName name="Ethnicity" localSheetId="1">'[1]Data collection'!$E$6:$E$45</definedName>
    <definedName name="Ethnicity">'Data collection'!$E$8:$E$47</definedName>
    <definedName name="Ethnicity1">#REF!</definedName>
    <definedName name="_xlnm.Print_Area" localSheetId="6">'Action plan'!$B$1:$G$20</definedName>
    <definedName name="_xlnm.Print_Area" localSheetId="8">'Appendix'!$B$1:$N$71</definedName>
    <definedName name="_xlnm.Print_Area" localSheetId="3">'Audit standards'!$B$1:$F$30</definedName>
    <definedName name="_xlnm.Print_Area" localSheetId="5">'Clinical audit report'!$B$1:$I$42</definedName>
    <definedName name="_xlnm.Print_Area" localSheetId="4">'Data collection'!$B$1:$BH$59</definedName>
    <definedName name="_xlnm.Print_Area" localSheetId="2">'Introduction'!$B$1:$C$33</definedName>
    <definedName name="Sex" localSheetId="1">'[1]Data collection'!$D$6:$D$45</definedName>
    <definedName name="Sex">'Data collection'!$D$8:$D$47</definedName>
    <definedName name="Sex1">#REF!</definedName>
  </definedNames>
  <calcPr fullCalcOnLoad="1"/>
</workbook>
</file>

<file path=xl/sharedStrings.xml><?xml version="1.0" encoding="utf-8"?>
<sst xmlns="http://schemas.openxmlformats.org/spreadsheetml/2006/main" count="520" uniqueCount="241">
  <si>
    <t>Exceptions</t>
  </si>
  <si>
    <t>Recommendation</t>
  </si>
  <si>
    <t xml:space="preserve">Age </t>
  </si>
  <si>
    <t>Sex</t>
  </si>
  <si>
    <t>Ethnicity</t>
  </si>
  <si>
    <t>Yes</t>
  </si>
  <si>
    <t>No</t>
  </si>
  <si>
    <t>Total</t>
  </si>
  <si>
    <t>Percentage</t>
  </si>
  <si>
    <t>Male</t>
  </si>
  <si>
    <t>Female</t>
  </si>
  <si>
    <t>Age range:</t>
  </si>
  <si>
    <t>Person responsible</t>
  </si>
  <si>
    <t>Audit sample</t>
  </si>
  <si>
    <r>
      <t>Actions required</t>
    </r>
    <r>
      <rPr>
        <sz val="11"/>
        <color indexed="8"/>
        <rFont val="Arial"/>
        <family val="2"/>
      </rPr>
      <t xml:space="preserve"> 
(specify 'None', if none required)</t>
    </r>
  </si>
  <si>
    <t>Audit ID</t>
  </si>
  <si>
    <t>Guidance reference</t>
  </si>
  <si>
    <t>Definitions</t>
  </si>
  <si>
    <t>NA</t>
  </si>
  <si>
    <t>Audit N=</t>
  </si>
  <si>
    <t>Re-audit N=</t>
  </si>
  <si>
    <t>Exception</t>
  </si>
  <si>
    <t>Local standard</t>
  </si>
  <si>
    <t>Details of exceptions</t>
  </si>
  <si>
    <t>Relevant definitions</t>
  </si>
  <si>
    <t>White British</t>
  </si>
  <si>
    <t>White Irish</t>
  </si>
  <si>
    <t>Mixed: White and Asian</t>
  </si>
  <si>
    <t>Asian or Asian British: Indian</t>
  </si>
  <si>
    <t>Asian or Asian British: Pakistani</t>
  </si>
  <si>
    <t>Asian or Asian British: Bangladeshi</t>
  </si>
  <si>
    <t>Chinese</t>
  </si>
  <si>
    <t>Not stated</t>
  </si>
  <si>
    <t>Mixed: White and black Caribbean</t>
  </si>
  <si>
    <t>Mixed: White and black African</t>
  </si>
  <si>
    <t>Black or black British: Caribbean</t>
  </si>
  <si>
    <t>Black or black British: African</t>
  </si>
  <si>
    <t>Any other white background</t>
  </si>
  <si>
    <t>Any other mixed background</t>
  </si>
  <si>
    <t>Any other Asian background</t>
  </si>
  <si>
    <t>Any other black background</t>
  </si>
  <si>
    <t>Any other ethnic group</t>
  </si>
  <si>
    <t>Adapting the audit tool</t>
  </si>
  <si>
    <t>Action plan lead</t>
  </si>
  <si>
    <t>Project title</t>
  </si>
  <si>
    <t>Aim</t>
  </si>
  <si>
    <t>Sample</t>
  </si>
  <si>
    <t>Demographics</t>
  </si>
  <si>
    <t>Recommendations</t>
  </si>
  <si>
    <t>Project aim</t>
  </si>
  <si>
    <t>Settings</t>
  </si>
  <si>
    <t>Stakeholders</t>
  </si>
  <si>
    <t>Results</t>
  </si>
  <si>
    <t>Audit results</t>
  </si>
  <si>
    <t>Re-audit results</t>
  </si>
  <si>
    <t>Guideline number</t>
  </si>
  <si>
    <t>Publication year</t>
  </si>
  <si>
    <t>All recommendations in the clinical audit report should be reflected in the action plan.</t>
  </si>
  <si>
    <t xml:space="preserve">Stakeholders </t>
  </si>
  <si>
    <t>Services</t>
  </si>
  <si>
    <t>Notes</t>
  </si>
  <si>
    <t>Information required</t>
  </si>
  <si>
    <t>Insert information in this column to populate the rest of the spreadsheet</t>
  </si>
  <si>
    <t>Question number</t>
  </si>
  <si>
    <t>Name:</t>
  </si>
  <si>
    <t>Title:</t>
  </si>
  <si>
    <t>Contact details:</t>
  </si>
  <si>
    <t>Questions in data collection sheet</t>
  </si>
  <si>
    <t>Audit standards</t>
  </si>
  <si>
    <t>The first letter should be lower case.  No full stop.</t>
  </si>
  <si>
    <t>No full stop.</t>
  </si>
  <si>
    <t>Audit standard</t>
  </si>
  <si>
    <t>(Years)</t>
  </si>
  <si>
    <t>(Yes, No, NA, Exception)</t>
  </si>
  <si>
    <t>(Ethnic group)</t>
  </si>
  <si>
    <t>How to use the clinical audit tool</t>
  </si>
  <si>
    <t>NICE would like to thank the following people who have contributed to the development of this clinical audit tool and have agreed to be acknowledged:</t>
  </si>
  <si>
    <t>Para re guideline recommendation selection</t>
  </si>
  <si>
    <t>Acknowledgements</t>
  </si>
  <si>
    <t>The first letter should be upper case.  No full stop.</t>
  </si>
  <si>
    <t>Hide this sheet</t>
  </si>
  <si>
    <t>Before the tool is published don't forget to:</t>
  </si>
  <si>
    <t>Check the question numbers in the audit standards sheet match the data collection sheet.</t>
  </si>
  <si>
    <t>Populate the re-audit data sheet and make sure the audit report is picking up the re-audit population.</t>
  </si>
  <si>
    <t>*Exception codes</t>
  </si>
  <si>
    <t>Age:</t>
  </si>
  <si>
    <t>Sex:</t>
  </si>
  <si>
    <t>White</t>
  </si>
  <si>
    <t>Mixed</t>
  </si>
  <si>
    <t>Asian or Asian British</t>
  </si>
  <si>
    <t>Black or black British</t>
  </si>
  <si>
    <t>Other</t>
  </si>
  <si>
    <t>British</t>
  </si>
  <si>
    <t>Irish</t>
  </si>
  <si>
    <t>White and black Caribbean</t>
  </si>
  <si>
    <t>White and black African</t>
  </si>
  <si>
    <t>White and Asian</t>
  </si>
  <si>
    <t>Indian</t>
  </si>
  <si>
    <t>Pakistani</t>
  </si>
  <si>
    <t>Bangladeshi</t>
  </si>
  <si>
    <t>African</t>
  </si>
  <si>
    <t>Question</t>
  </si>
  <si>
    <t>Audit ID:</t>
  </si>
  <si>
    <t>Add additional question for local standard</t>
  </si>
  <si>
    <t>(Male, Female)</t>
  </si>
  <si>
    <r>
      <t xml:space="preserve">NICE has adapted the action plan template produced by the Healthcare Quality Improvement Partnership (HQIP) in their </t>
    </r>
    <r>
      <rPr>
        <u val="single"/>
        <sz val="11"/>
        <color indexed="12"/>
        <rFont val="Arial"/>
        <family val="2"/>
      </rPr>
      <t>template clinical audit report</t>
    </r>
    <r>
      <rPr>
        <sz val="11"/>
        <color indexed="8"/>
        <rFont val="Arial"/>
        <family val="2"/>
      </rPr>
      <t>.</t>
    </r>
  </si>
  <si>
    <t>Short title of the guideline</t>
  </si>
  <si>
    <t>Full title of the guideline</t>
  </si>
  <si>
    <t>Information to help carry out the audit</t>
  </si>
  <si>
    <r>
      <t xml:space="preserve">To ask a question about this clinical audit tool, or to provide feedback to help inform the development of future tools, please email the </t>
    </r>
    <r>
      <rPr>
        <u val="single"/>
        <sz val="11"/>
        <color indexed="12"/>
        <rFont val="Arial"/>
        <family val="2"/>
      </rPr>
      <t>NICE audit team</t>
    </r>
    <r>
      <rPr>
        <sz val="11"/>
        <color indexed="8"/>
        <rFont val="Arial"/>
        <family val="2"/>
      </rPr>
      <t>.</t>
    </r>
  </si>
  <si>
    <t>Providing feedback</t>
  </si>
  <si>
    <t>Data collection sheet</t>
  </si>
  <si>
    <t xml:space="preserve">The clinical audit report provides basic information about the audit and automatically displays the audit results.  
</t>
  </si>
  <si>
    <t xml:space="preserve">If there is more than one audit tool start this paragraph as follows:
NICE has also developed an audit tool for [insert name of other audit tool].  When deciding on the areas of the guideline and recommendations to be included in the audit tools, </t>
  </si>
  <si>
    <t>Check the macro to add a row (Ctrl+Shift+R)</t>
  </si>
  <si>
    <t>Add new row</t>
  </si>
  <si>
    <t xml:space="preserve">Clinical audit report </t>
  </si>
  <si>
    <t>Action plan</t>
  </si>
  <si>
    <t>Re-audit</t>
  </si>
  <si>
    <t>The audit ID should be an anonymous code. Patient identifiable information should never be recorded.</t>
  </si>
  <si>
    <t>Caribbean</t>
  </si>
  <si>
    <r>
      <t xml:space="preserve">Progress
</t>
    </r>
    <r>
      <rPr>
        <sz val="11"/>
        <color indexed="8"/>
        <rFont val="Arial"/>
        <family val="2"/>
      </rPr>
      <t>(Provide examples of actions in progress, changes in practices etc.)</t>
    </r>
  </si>
  <si>
    <t xml:space="preserve">Recommendation number or other evidence base </t>
  </si>
  <si>
    <t xml:space="preserve">• a data collection sheet in which audit data can be entered
• a clinical audit report that provides basic information about the audit and automatically displays the audit results
• an action plan template
• an appendix containing a printable data collection form.
</t>
  </si>
  <si>
    <t>The audit standards include a reference to the recommendation numbers, and any associated NICE quality standard statements and exceptions. Exceptions not explicitly referred to in the recommendations can be added locally, for example patients declining treatment.</t>
  </si>
  <si>
    <t>In 'Actions required', specifically state what needs to be done to achieve the recommendations. Include all updates to the action plan in the 'Comments' section.</t>
  </si>
  <si>
    <t>Use this printable data collection form if you want to complete 1 paper-based data collection form per patient.</t>
  </si>
  <si>
    <t xml:space="preserve">A baseline assessment tool is also available that includes all the recommendations from the guideline. This can help to compare practice with the recommendations and prioritise implementation activity, including clinical audit.  </t>
  </si>
  <si>
    <t>Recommendations should be made and based on the clinical audit results and any other relevant findings identified during the clinical audit project.</t>
  </si>
  <si>
    <t>Implementation of the guidance is the responsibility of local commissioners and/or providers. Commissioners and providers are reminded that it is their responsibility to implement the guidance, in their local context, in light of their duties to have due regard to the need to eliminate unlawful discrimination, advance equality of opportunity and foster good relations. Nothing in the guidance should be interpreted in a way that would be inconsistent with compliance with those duties.</t>
  </si>
  <si>
    <r>
      <t xml:space="preserve">Deadline for action </t>
    </r>
    <r>
      <rPr>
        <sz val="11"/>
        <color indexed="8"/>
        <rFont val="Arial"/>
        <family val="2"/>
      </rPr>
      <t>(dd/mm/yyyy)</t>
    </r>
  </si>
  <si>
    <r>
      <t xml:space="preserve">Change stage 
</t>
    </r>
    <r>
      <rPr>
        <sz val="11"/>
        <color indexed="8"/>
        <rFont val="Arial"/>
        <family val="2"/>
      </rPr>
      <t>(Not yet actioned, action in progress, action completed, Never actioned)</t>
    </r>
  </si>
  <si>
    <t>When making improvements to practice, you may like to use the tools developed by NICE to help implement its guideline on</t>
  </si>
  <si>
    <t>Exceptions*/
NA/Notes</t>
  </si>
  <si>
    <t xml:space="preserve">Check the information and format of the introduction (which is all populated from this sheet).  </t>
  </si>
  <si>
    <r>
      <t xml:space="preserve">Enter the audit data directly in the yellow cells on the data collection sheet. </t>
    </r>
    <r>
      <rPr>
        <sz val="11"/>
        <color indexed="8"/>
        <rFont val="Arial"/>
        <family val="2"/>
      </rPr>
      <t xml:space="preserve">The results are automatically displayed in the clinical audit report.            
Enter demographic information if this information is essential to the project. A table on the right-hand side of the data collection sheet will automatically display the demographic data.
There are 40 rows for patient data which can be increased by enabling the macros within the spreadsheet and using the shortcut Ctrl + Shift + R.  </t>
    </r>
  </si>
  <si>
    <t xml:space="preserve">The action plan template can be used to develop and implement an action plan to take forward any recommendations made.  </t>
  </si>
  <si>
    <t>Re-audit is a key part of the clinical audit cycle, needed to demonstrate that improvement has been achieved and sustained. When re-audit data is entered into the re-audit sheet this will automatically fill in the clinical audit report.</t>
  </si>
  <si>
    <t xml:space="preserve">Changes to the clinical audit tool can be made locally where desired. The spreadsheet also includes fields for up to 5 local standards to be added to the audit. Once the audit data have been entered, the results for the local standards will be automatically displayed in the clinical audit report. </t>
  </si>
  <si>
    <t>Area of the guideline covered in the audit tool</t>
  </si>
  <si>
    <t>The first letter should be upper case. No full stop</t>
  </si>
  <si>
    <t>No.</t>
  </si>
  <si>
    <t>The first letter should be UPPER case.  No full stop</t>
  </si>
  <si>
    <r>
      <t xml:space="preserve">The first letter should be </t>
    </r>
    <r>
      <rPr>
        <b/>
        <sz val="11"/>
        <color indexed="8"/>
        <rFont val="Calibri"/>
        <family val="2"/>
      </rPr>
      <t>lower</t>
    </r>
    <r>
      <rPr>
        <sz val="11"/>
        <color theme="1"/>
        <rFont val="Calibri"/>
        <family val="2"/>
      </rPr>
      <t xml:space="preserve"> case.  No full stop</t>
    </r>
  </si>
  <si>
    <r>
      <rPr>
        <b/>
        <sz val="11"/>
        <color indexed="8"/>
        <rFont val="Arial"/>
        <family val="2"/>
      </rPr>
      <t>National Institute for Health and Care Excellence</t>
    </r>
    <r>
      <rPr>
        <sz val="11"/>
        <color indexed="8"/>
        <rFont val="Arial"/>
        <family val="2"/>
      </rPr>
      <t xml:space="preserve">
Level 1A, City Tower, Piccadilly Plaza, Manchester M1 4BT; www.nice.org.uk</t>
    </r>
  </si>
  <si>
    <t>When deciding on the areas of the NICE clinical guideline and recommendations to be included in the audit tool, we considered the clinical issues covered by the guideline, key priorities for implementation and potential challenges of collecting data for a retrospective audit of patient records. There may be other recommendations in the guideline suitable for developing audit standards or an audit project.</t>
  </si>
  <si>
    <t xml:space="preserve">NICE recommends a target of 100% for all standards. If this is not achievable an interim local target could be set, although 100% should remain the ultimate aim. </t>
  </si>
  <si>
    <t>Dyspepsia and gastro-oesophageal reflux disease: investigation and management of dyspepsia, symptoms suggestive of gastro-oesophageal reflux disease, or both</t>
  </si>
  <si>
    <t>Dyspepsia and GORD</t>
  </si>
  <si>
    <t>None</t>
  </si>
  <si>
    <t>First-line treatment</t>
  </si>
  <si>
    <t>Second-line treatment</t>
  </si>
  <si>
    <t>1. H pylori is tested for using a carbon-13 urea breath test or a stool antigen test or laboratory-based serology.</t>
  </si>
  <si>
    <t>2. Re-testing for H pylori is performed using a carbon-13 urea breath test.</t>
  </si>
  <si>
    <t>3. Office-based serological tests are not used.</t>
  </si>
  <si>
    <t>11. If eradication of H pylori is not successful with second-line treatment, advice is sought from a gastroenterologist.</t>
  </si>
  <si>
    <t>1.9.1 
(2004, amended 2014)</t>
  </si>
  <si>
    <t>1.9.2 (2004)</t>
  </si>
  <si>
    <t>1.9.3
(2004, amended 2014)</t>
  </si>
  <si>
    <t>1.9.4 (new 2014)</t>
  </si>
  <si>
    <t>1.9.5 (new 2014)</t>
  </si>
  <si>
    <t>1.9.6 (new 2014)</t>
  </si>
  <si>
    <t>1.9.8 (new 2014)</t>
  </si>
  <si>
    <t>1.9.9 (new 2014)</t>
  </si>
  <si>
    <t>1.9.10 (new 2014)</t>
  </si>
  <si>
    <t>1.9.11 (new 2014)</t>
  </si>
  <si>
    <t>1.9.12 (new 2014)</t>
  </si>
  <si>
    <t>Laboratory-based serology can be used where is performance has been locally validated.</t>
  </si>
  <si>
    <t>Was H pylori tested for using a carbon-13 urea breath test, a stool antigen test or laboratory-based serology?</t>
  </si>
  <si>
    <t>Was re-testing performed using a carbon-13 urea breath test?</t>
  </si>
  <si>
    <t>Were office-based serological tests used?</t>
  </si>
  <si>
    <t>(Esomeprazole, Lansoprazole, Omeprazole, Pantoprazole, Rabeprazole)</t>
  </si>
  <si>
    <t>(mg)</t>
  </si>
  <si>
    <r>
      <t>If yes to question 4</t>
    </r>
    <r>
      <rPr>
        <b/>
        <sz val="10"/>
        <color indexed="8"/>
        <rFont val="Arial"/>
        <family val="2"/>
      </rPr>
      <t>, which drug was used?</t>
    </r>
  </si>
  <si>
    <t>(Clarithromycin, Metronidazole, No, NA, Exception)</t>
  </si>
  <si>
    <t>Standard 4 met?</t>
  </si>
  <si>
    <t>Standard 5 met?</t>
  </si>
  <si>
    <t>Had the person had previous exposure to clarithromycin?</t>
  </si>
  <si>
    <t>If the person was allergic to penicillin, were they offered a 
7-day, twice daily course of treatment with tetracycline?</t>
  </si>
  <si>
    <t>Standard 6 met?</t>
  </si>
  <si>
    <t>Did the person have symptoms after first-line eradication treatment?</t>
  </si>
  <si>
    <t>Standard 7 met?</t>
  </si>
  <si>
    <t>Had the person had previous exposure to clarithromycin or metronidazole?</t>
  </si>
  <si>
    <t>(Quinolone, Tetracycline, No, NA, Exception)</t>
  </si>
  <si>
    <t>Standard 8 met?</t>
  </si>
  <si>
    <t>Was the person allergic to penicillin?</t>
  </si>
  <si>
    <t>Had the person had previous exposure to a quinolone?</t>
  </si>
  <si>
    <t>Standard 9 met?</t>
  </si>
  <si>
    <t>Standard 10 met?</t>
  </si>
  <si>
    <t>If eradication of H pylori was not successful with second-line treatment, was advice sought from a gastroenterologist?</t>
  </si>
  <si>
    <t>H pylori testing</t>
  </si>
  <si>
    <t>Some of the questions in the data collection sheet may not need to be answered, depending the answer to previous questions, for example questions about patients with exposure to clarithromycin do not need to be answered if the person had no previous exposure to the drug.  In these cases, answers are greyed out to indicate that they are not relevant to that particular person.</t>
  </si>
  <si>
    <r>
      <rPr>
        <b/>
        <sz val="11"/>
        <rFont val="Arial"/>
        <family val="2"/>
      </rPr>
      <t>A</t>
    </r>
    <r>
      <rPr>
        <sz val="11"/>
        <rFont val="Arial"/>
        <family val="2"/>
      </rPr>
      <t xml:space="preserve"> </t>
    </r>
    <r>
      <rPr>
        <sz val="11"/>
        <rFont val="Calibri"/>
        <family val="2"/>
      </rPr>
      <t>–</t>
    </r>
    <r>
      <rPr>
        <sz val="9.9"/>
        <rFont val="Arial"/>
        <family val="2"/>
      </rPr>
      <t xml:space="preserve"> penicillin allergy</t>
    </r>
  </si>
  <si>
    <t>A – penicllin allergy</t>
  </si>
  <si>
    <t>Magnus Hird, Pharmacist Practitioner, Bloomfield Medical Centre</t>
  </si>
  <si>
    <t>Helicobacter pylori testing and eradication</t>
  </si>
  <si>
    <t>to improve the testing and treatment of Helicobacter pylori (H pylori)</t>
  </si>
  <si>
    <r>
      <rPr>
        <sz val="11"/>
        <color indexed="8"/>
        <rFont val="Arial"/>
        <family val="2"/>
      </rPr>
      <t xml:space="preserve">Other relevant NICE guidance can be found through </t>
    </r>
    <r>
      <rPr>
        <u val="single"/>
        <sz val="11"/>
        <color indexed="12"/>
        <rFont val="Arial"/>
        <family val="2"/>
      </rPr>
      <t>NICE Pathways</t>
    </r>
    <r>
      <rPr>
        <sz val="11"/>
        <color indexed="8"/>
        <rFont val="Arial"/>
        <family val="2"/>
      </rPr>
      <t>.</t>
    </r>
  </si>
  <si>
    <t>all settings in which care is delivered for NHS patients</t>
  </si>
  <si>
    <t>clinicians treating people with dyspepsia, symptoms suggestive of GORD, or both; clinical audit professionals; and people with dyspepsia and/or symptoms suggestive of GORD</t>
  </si>
  <si>
    <r>
      <t xml:space="preserve">adults (18 years and older) with symptoms of dyspepsia and/or symptoms suggestive of GORD, who have been tested for </t>
    </r>
    <r>
      <rPr>
        <i/>
        <sz val="11"/>
        <rFont val="Calibri"/>
        <family val="2"/>
      </rPr>
      <t>H pylori</t>
    </r>
    <r>
      <rPr>
        <sz val="11"/>
        <rFont val="Calibri"/>
        <family val="2"/>
      </rPr>
      <t>.
The following ICD 10 codes may be helpful for identifying your sample:
K20   Oesophagitis
K21   GORD
K25   Gastric ulcer
K26   Duodenal ulcer
K27   Peptic ulcer (site unspecified)
K30   Dyspepsia
B98.0   Helicobacter pylori as cause of diseases classified to other chapters.
The following Read codes may be helpful for identifying your sample:
J10..    GORD
J11..    Gastric ulcer
J12..    Duodenal ulcer
J13z.   Peptic ulcer
J15..    Gastritis
J151    Chronic gastritis
J1544  Helicobater gastritis
J16y4  Dyspepsia</t>
    </r>
  </si>
  <si>
    <r>
      <t xml:space="preserve">4. People who test positive for H pylori are offered a 7-day, twice-daily course of treatment with:
</t>
    </r>
    <r>
      <rPr>
        <sz val="11"/>
        <rFont val="Calibri"/>
        <family val="2"/>
      </rPr>
      <t>•</t>
    </r>
    <r>
      <rPr>
        <sz val="11"/>
        <rFont val="Arial"/>
        <family val="2"/>
      </rPr>
      <t xml:space="preserve"> a PPI </t>
    </r>
    <r>
      <rPr>
        <b/>
        <sz val="11"/>
        <rFont val="Arial"/>
        <family val="2"/>
      </rPr>
      <t>and</t>
    </r>
    <r>
      <rPr>
        <sz val="11"/>
        <rFont val="Arial"/>
        <family val="2"/>
      </rPr>
      <t xml:space="preserve">
</t>
    </r>
    <r>
      <rPr>
        <sz val="11"/>
        <rFont val="Calibri"/>
        <family val="2"/>
      </rPr>
      <t>•</t>
    </r>
    <r>
      <rPr>
        <sz val="11"/>
        <rFont val="Arial"/>
        <family val="2"/>
      </rPr>
      <t xml:space="preserve"> amoxicillin </t>
    </r>
    <r>
      <rPr>
        <b/>
        <sz val="11"/>
        <rFont val="Arial"/>
        <family val="2"/>
      </rPr>
      <t>and</t>
    </r>
    <r>
      <rPr>
        <sz val="11"/>
        <rFont val="Arial"/>
        <family val="2"/>
      </rPr>
      <t xml:space="preserve">
</t>
    </r>
    <r>
      <rPr>
        <sz val="11"/>
        <rFont val="Calibri"/>
        <family val="2"/>
      </rPr>
      <t>•</t>
    </r>
    <r>
      <rPr>
        <sz val="11"/>
        <rFont val="Arial"/>
        <family val="2"/>
      </rPr>
      <t xml:space="preserve"> either clarithromycin or metronidazole.</t>
    </r>
  </si>
  <si>
    <r>
      <t xml:space="preserve">5. People who are allergic to penicillin are offered a 7-day, twice-daily course of treatment with:
</t>
    </r>
    <r>
      <rPr>
        <sz val="11"/>
        <rFont val="Calibri"/>
        <family val="2"/>
      </rPr>
      <t>•</t>
    </r>
    <r>
      <rPr>
        <sz val="11"/>
        <rFont val="Arial"/>
        <family val="2"/>
      </rPr>
      <t xml:space="preserve"> a PPI </t>
    </r>
    <r>
      <rPr>
        <b/>
        <sz val="11"/>
        <rFont val="Arial"/>
        <family val="2"/>
      </rPr>
      <t>and</t>
    </r>
    <r>
      <rPr>
        <sz val="11"/>
        <rFont val="Arial"/>
        <family val="2"/>
      </rPr>
      <t xml:space="preserve">
</t>
    </r>
    <r>
      <rPr>
        <sz val="11"/>
        <rFont val="Calibri"/>
        <family val="2"/>
      </rPr>
      <t>•</t>
    </r>
    <r>
      <rPr>
        <sz val="11"/>
        <rFont val="Arial"/>
        <family val="2"/>
      </rPr>
      <t xml:space="preserve"> clarithromycin </t>
    </r>
    <r>
      <rPr>
        <b/>
        <sz val="11"/>
        <rFont val="Arial"/>
        <family val="2"/>
      </rPr>
      <t>and</t>
    </r>
    <r>
      <rPr>
        <sz val="11"/>
        <rFont val="Arial"/>
        <family val="2"/>
      </rPr>
      <t xml:space="preserve">
</t>
    </r>
    <r>
      <rPr>
        <sz val="11"/>
        <rFont val="Calibri"/>
        <family val="2"/>
      </rPr>
      <t>•</t>
    </r>
    <r>
      <rPr>
        <sz val="11"/>
        <rFont val="Arial"/>
        <family val="2"/>
      </rPr>
      <t xml:space="preserve"> metronidazole.</t>
    </r>
  </si>
  <si>
    <r>
      <t xml:space="preserve">6. People who are allergic to penicillin and who have had previous exposure to clarithromycin are offered a 7-day, twice-daily course of treatment with:
</t>
    </r>
    <r>
      <rPr>
        <sz val="11"/>
        <rFont val="Calibri"/>
        <family val="2"/>
      </rPr>
      <t>•</t>
    </r>
    <r>
      <rPr>
        <sz val="11"/>
        <rFont val="Arial"/>
        <family val="2"/>
      </rPr>
      <t xml:space="preserve"> a PPI </t>
    </r>
    <r>
      <rPr>
        <b/>
        <sz val="11"/>
        <rFont val="Arial"/>
        <family val="2"/>
      </rPr>
      <t>and</t>
    </r>
    <r>
      <rPr>
        <sz val="11"/>
        <rFont val="Arial"/>
        <family val="2"/>
      </rPr>
      <t xml:space="preserve">
</t>
    </r>
    <r>
      <rPr>
        <sz val="11"/>
        <rFont val="Calibri"/>
        <family val="2"/>
      </rPr>
      <t>•</t>
    </r>
    <r>
      <rPr>
        <sz val="11"/>
        <rFont val="Arial"/>
        <family val="2"/>
      </rPr>
      <t xml:space="preserve"> bismuth </t>
    </r>
    <r>
      <rPr>
        <b/>
        <sz val="11"/>
        <rFont val="Arial"/>
        <family val="2"/>
      </rPr>
      <t>and</t>
    </r>
    <r>
      <rPr>
        <sz val="11"/>
        <rFont val="Arial"/>
        <family val="2"/>
      </rPr>
      <t xml:space="preserve">
</t>
    </r>
    <r>
      <rPr>
        <sz val="11"/>
        <rFont val="Calibri"/>
        <family val="2"/>
      </rPr>
      <t>•</t>
    </r>
    <r>
      <rPr>
        <sz val="11"/>
        <rFont val="Arial"/>
        <family val="2"/>
      </rPr>
      <t xml:space="preserve"> metronidazole </t>
    </r>
    <r>
      <rPr>
        <b/>
        <sz val="11"/>
        <rFont val="Arial"/>
        <family val="2"/>
      </rPr>
      <t>and</t>
    </r>
    <r>
      <rPr>
        <sz val="11"/>
        <rFont val="Arial"/>
        <family val="2"/>
      </rPr>
      <t xml:space="preserve">
</t>
    </r>
    <r>
      <rPr>
        <sz val="11"/>
        <rFont val="Calibri"/>
        <family val="2"/>
      </rPr>
      <t>•</t>
    </r>
    <r>
      <rPr>
        <sz val="11"/>
        <rFont val="Arial"/>
        <family val="2"/>
      </rPr>
      <t xml:space="preserve"> tetracycline.</t>
    </r>
  </si>
  <si>
    <t>PPI full doses:
Esomeprazole     20 mg once a day
Lansoprazole      30 mg once a day
Omeprazole        20–40 mg once a day
Pantoprazole       40 mg once a day
Rabeprazole        20 mg once a day</t>
  </si>
  <si>
    <t>4 – 8</t>
  </si>
  <si>
    <t>9 – 12, 14 – 16</t>
  </si>
  <si>
    <r>
      <t xml:space="preserve">7. People who still have symptoms after first-line eradication treatment are offered a 7-day, twice-daily course of treatment with:
</t>
    </r>
    <r>
      <rPr>
        <sz val="11"/>
        <rFont val="Calibri"/>
        <family val="2"/>
      </rPr>
      <t>•</t>
    </r>
    <r>
      <rPr>
        <sz val="11"/>
        <rFont val="Arial"/>
        <family val="2"/>
      </rPr>
      <t xml:space="preserve"> a PPI </t>
    </r>
    <r>
      <rPr>
        <b/>
        <sz val="11"/>
        <rFont val="Arial"/>
        <family val="2"/>
      </rPr>
      <t>and</t>
    </r>
    <r>
      <rPr>
        <sz val="11"/>
        <rFont val="Arial"/>
        <family val="2"/>
      </rPr>
      <t xml:space="preserve">
</t>
    </r>
    <r>
      <rPr>
        <sz val="11"/>
        <rFont val="Calibri"/>
        <family val="2"/>
      </rPr>
      <t>•</t>
    </r>
    <r>
      <rPr>
        <sz val="11"/>
        <rFont val="Arial"/>
        <family val="2"/>
      </rPr>
      <t xml:space="preserve"> amoxicillin </t>
    </r>
    <r>
      <rPr>
        <b/>
        <sz val="11"/>
        <rFont val="Arial"/>
        <family val="2"/>
      </rPr>
      <t>and</t>
    </r>
    <r>
      <rPr>
        <sz val="11"/>
        <rFont val="Arial"/>
        <family val="2"/>
      </rPr>
      <t xml:space="preserve">
</t>
    </r>
    <r>
      <rPr>
        <sz val="11"/>
        <rFont val="Calibri"/>
        <family val="2"/>
      </rPr>
      <t>•</t>
    </r>
    <r>
      <rPr>
        <sz val="11"/>
        <rFont val="Arial"/>
        <family val="2"/>
      </rPr>
      <t xml:space="preserve"> either clarithromycin or metronidazole (whichever was not used first-line).</t>
    </r>
  </si>
  <si>
    <r>
      <t xml:space="preserve">8. People who have had previous exposure to clarithromycin and metronidazole are offered a 7-day, twice-daily course of treatment with:
</t>
    </r>
    <r>
      <rPr>
        <sz val="11"/>
        <rFont val="Calibri"/>
        <family val="2"/>
      </rPr>
      <t>•</t>
    </r>
    <r>
      <rPr>
        <sz val="11"/>
        <rFont val="Arial"/>
        <family val="2"/>
      </rPr>
      <t xml:space="preserve"> a PPI </t>
    </r>
    <r>
      <rPr>
        <b/>
        <sz val="11"/>
        <rFont val="Arial"/>
        <family val="2"/>
      </rPr>
      <t>and</t>
    </r>
    <r>
      <rPr>
        <sz val="11"/>
        <rFont val="Arial"/>
        <family val="2"/>
      </rPr>
      <t xml:space="preserve">
</t>
    </r>
    <r>
      <rPr>
        <sz val="11"/>
        <rFont val="Calibri"/>
        <family val="2"/>
      </rPr>
      <t>•</t>
    </r>
    <r>
      <rPr>
        <sz val="11"/>
        <rFont val="Arial"/>
        <family val="2"/>
      </rPr>
      <t xml:space="preserve"> amoxicillin </t>
    </r>
    <r>
      <rPr>
        <b/>
        <sz val="11"/>
        <rFont val="Arial"/>
        <family val="2"/>
      </rPr>
      <t>and</t>
    </r>
    <r>
      <rPr>
        <sz val="11"/>
        <rFont val="Arial"/>
        <family val="2"/>
      </rPr>
      <t xml:space="preserve">
</t>
    </r>
    <r>
      <rPr>
        <sz val="11"/>
        <rFont val="Calibri"/>
        <family val="2"/>
      </rPr>
      <t>•</t>
    </r>
    <r>
      <rPr>
        <sz val="11"/>
        <rFont val="Arial"/>
        <family val="2"/>
      </rPr>
      <t xml:space="preserve"> a quinolone or tetracycline.</t>
    </r>
  </si>
  <si>
    <r>
      <t xml:space="preserve">10. People who are allergic to penicillin and who have had previous exposure to a quinolone are offered:
</t>
    </r>
    <r>
      <rPr>
        <sz val="11"/>
        <rFont val="Calibri"/>
        <family val="2"/>
      </rPr>
      <t>•</t>
    </r>
    <r>
      <rPr>
        <sz val="11"/>
        <rFont val="Arial"/>
        <family val="2"/>
      </rPr>
      <t xml:space="preserve"> a PPI </t>
    </r>
    <r>
      <rPr>
        <b/>
        <sz val="11"/>
        <rFont val="Arial"/>
        <family val="2"/>
      </rPr>
      <t>and</t>
    </r>
    <r>
      <rPr>
        <sz val="11"/>
        <rFont val="Arial"/>
        <family val="2"/>
      </rPr>
      <t xml:space="preserve">
</t>
    </r>
    <r>
      <rPr>
        <sz val="11"/>
        <rFont val="Calibri"/>
        <family val="2"/>
      </rPr>
      <t>•</t>
    </r>
    <r>
      <rPr>
        <sz val="11"/>
        <rFont val="Arial"/>
        <family val="2"/>
      </rPr>
      <t xml:space="preserve"> bismuth </t>
    </r>
    <r>
      <rPr>
        <b/>
        <sz val="11"/>
        <rFont val="Arial"/>
        <family val="2"/>
      </rPr>
      <t>and</t>
    </r>
    <r>
      <rPr>
        <sz val="11"/>
        <rFont val="Arial"/>
        <family val="2"/>
      </rPr>
      <t xml:space="preserve">
</t>
    </r>
    <r>
      <rPr>
        <sz val="11"/>
        <rFont val="Calibri"/>
        <family val="2"/>
      </rPr>
      <t>•</t>
    </r>
    <r>
      <rPr>
        <sz val="11"/>
        <rFont val="Arial"/>
        <family val="2"/>
      </rPr>
      <t xml:space="preserve"> metronidazole </t>
    </r>
    <r>
      <rPr>
        <b/>
        <sz val="11"/>
        <rFont val="Arial"/>
        <family val="2"/>
      </rPr>
      <t>and</t>
    </r>
    <r>
      <rPr>
        <sz val="11"/>
        <rFont val="Arial"/>
        <family val="2"/>
      </rPr>
      <t xml:space="preserve">
</t>
    </r>
    <r>
      <rPr>
        <sz val="11"/>
        <rFont val="Calibri"/>
        <family val="2"/>
      </rPr>
      <t>•</t>
    </r>
    <r>
      <rPr>
        <sz val="9.9"/>
        <rFont val="Arial"/>
        <family val="2"/>
      </rPr>
      <t xml:space="preserve"> tetracycline</t>
    </r>
    <r>
      <rPr>
        <sz val="11"/>
        <rFont val="Arial"/>
        <family val="2"/>
      </rPr>
      <t>.</t>
    </r>
  </si>
  <si>
    <t>17 – 22</t>
  </si>
  <si>
    <t>23 – 28</t>
  </si>
  <si>
    <t>29 – 35</t>
  </si>
  <si>
    <t>If the person tested positive for H pylori, were they offered a 7-day, twice-daily course of treatment with a PPI?</t>
  </si>
  <si>
    <t>If the person tested positive for H pylori, were they offered a 7-day, twice-daily course of treatment with clarithromycin or metronidazole?</t>
  </si>
  <si>
    <t>If the person was allergic to penicillin, were they offered a 
7-day, twice-daily course of treatment with a PPI?</t>
  </si>
  <si>
    <t>If the person was allergic to penicillin, were they offered a 
7-day, twice-daily course of treatment with clarithromycin?</t>
  </si>
  <si>
    <t>If the person was allergic to penicillin, were they offered a 
7-day, twice-daily course of treatment with metronidazole?</t>
  </si>
  <si>
    <t>If the person was allergic to penicillin, were they offered a 
7-day, twice-daily course of treatment with bismuth?</t>
  </si>
  <si>
    <t>If the person tested positive for H pylori, were they offered a 7-day, twice daily course of treatment with amoxicillin?</t>
  </si>
  <si>
    <t>If yes to question 23, was the person offered a 7-day, twice-daily course of treatment with a PPI?</t>
  </si>
  <si>
    <t>Was the person offered a 7-day, twice-daily course of treatment with amoxicillin?</t>
  </si>
  <si>
    <t>Was the person offered a 7-day, twice-daily course of treatment with a quinolone or tetracycline?</t>
  </si>
  <si>
    <t>Was the person offered a 7-day, twice-daily course of treatment with clarithromycin or metronidazole?</t>
  </si>
  <si>
    <r>
      <t xml:space="preserve">9. People who are allergic to penicillin (and who have not had previous exposure to a quinolone) are offered a 7-day, twice-daily course of treatment with:
• a PPI </t>
    </r>
    <r>
      <rPr>
        <b/>
        <sz val="11"/>
        <rFont val="Arial"/>
        <family val="2"/>
      </rPr>
      <t>and</t>
    </r>
    <r>
      <rPr>
        <sz val="11"/>
        <rFont val="Arial"/>
        <family val="2"/>
      </rPr>
      <t xml:space="preserve">
• metronidazole </t>
    </r>
    <r>
      <rPr>
        <b/>
        <sz val="11"/>
        <rFont val="Arial"/>
        <family val="2"/>
      </rPr>
      <t>and</t>
    </r>
    <r>
      <rPr>
        <sz val="11"/>
        <rFont val="Arial"/>
        <family val="2"/>
      </rPr>
      <t xml:space="preserve">
• levofloxacin.</t>
    </r>
  </si>
  <si>
    <t>Was the person offered a 
7-day, twice-daily course of treatment with a PPI?</t>
  </si>
  <si>
    <r>
      <t>If yes to question 32</t>
    </r>
    <r>
      <rPr>
        <b/>
        <sz val="10"/>
        <color indexed="8"/>
        <rFont val="Arial"/>
        <family val="2"/>
      </rPr>
      <t>, which drug was used?</t>
    </r>
  </si>
  <si>
    <t>Was the person offered a 
7-day, twice-daily course of treatment with metronidazole?</t>
  </si>
  <si>
    <t>Was the person offered a 
7-day, twice-daily course of treatment with levofloxacin?</t>
  </si>
  <si>
    <t>Was the person offered a 
7-day, twice-daily course of treatment with bismuth?</t>
  </si>
  <si>
    <t>Was the person offered a 
7-day, twice-daily course of treatment with tetracycline?</t>
  </si>
  <si>
    <t>29 – 34, 36, 37</t>
  </si>
  <si>
    <t>9 – 11, 13</t>
  </si>
  <si>
    <t>What dose was used?</t>
  </si>
  <si>
    <t>Was an appropriate PPI dose used?</t>
  </si>
  <si>
    <t>If yes to question 17, were they offered a 
7-day, twice-daily course of treatment with a PPI?</t>
  </si>
  <si>
    <r>
      <t>If yes to question 18</t>
    </r>
    <r>
      <rPr>
        <b/>
        <sz val="10"/>
        <color indexed="8"/>
        <rFont val="Arial"/>
        <family val="2"/>
      </rPr>
      <t>, which drug was used?</t>
    </r>
  </si>
  <si>
    <r>
      <t>If yes to question 24,</t>
    </r>
    <r>
      <rPr>
        <b/>
        <sz val="10"/>
        <color indexed="8"/>
        <rFont val="Arial"/>
        <family val="2"/>
      </rPr>
      <t xml:space="preserve"> which drug was used?</t>
    </r>
  </si>
  <si>
    <t>(Yes, No, NA, Exception A, Exception)</t>
  </si>
  <si>
    <t>(Carbon-13 urea breath test, Stool antigen test, Laboratory-based serology, No, NA, Exception)</t>
  </si>
  <si>
    <t>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</si>
</sst>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809]dd\ mmmm\ yyyy;@"/>
    <numFmt numFmtId="166" formatCode="[$-809]dd\ mmmm\ yyyy"/>
    <numFmt numFmtId="167" formatCode="&quot;Yes&quot;;&quot;Yes&quot;;&quot;No&quot;"/>
    <numFmt numFmtId="168" formatCode="&quot;True&quot;;&quot;True&quot;;&quot;False&quot;"/>
    <numFmt numFmtId="169" formatCode="&quot;On&quot;;&quot;On&quot;;&quot;Off&quot;"/>
    <numFmt numFmtId="170" formatCode="[$€-2]\ #,##0.00_);[Red]\([$€-2]\ #,##0.00\)"/>
    <numFmt numFmtId="171" formatCode="dd/mm/yyyy;@"/>
  </numFmts>
  <fonts count="72">
    <font>
      <sz val="11"/>
      <color theme="1"/>
      <name val="Calibri"/>
      <family val="2"/>
    </font>
    <font>
      <sz val="11"/>
      <color indexed="8"/>
      <name val="Calibri"/>
      <family val="2"/>
    </font>
    <font>
      <b/>
      <sz val="18"/>
      <color indexed="8"/>
      <name val="Arial"/>
      <family val="2"/>
    </font>
    <font>
      <sz val="11"/>
      <color indexed="8"/>
      <name val="Arial"/>
      <family val="2"/>
    </font>
    <font>
      <sz val="11"/>
      <name val="Arial"/>
      <family val="2"/>
    </font>
    <font>
      <u val="single"/>
      <sz val="11"/>
      <color indexed="12"/>
      <name val="Arial"/>
      <family val="2"/>
    </font>
    <font>
      <b/>
      <sz val="11"/>
      <name val="Arial"/>
      <family val="2"/>
    </font>
    <font>
      <b/>
      <sz val="10"/>
      <name val="Arial"/>
      <family val="2"/>
    </font>
    <font>
      <b/>
      <sz val="11"/>
      <color indexed="8"/>
      <name val="Arial"/>
      <family val="2"/>
    </font>
    <font>
      <b/>
      <sz val="11"/>
      <color indexed="8"/>
      <name val="Calibri"/>
      <family val="2"/>
    </font>
    <font>
      <sz val="11"/>
      <name val="Calibri"/>
      <family val="2"/>
    </font>
    <font>
      <sz val="9.9"/>
      <name val="Arial"/>
      <family val="2"/>
    </font>
    <font>
      <b/>
      <sz val="10"/>
      <color indexed="8"/>
      <name val="Arial"/>
      <family val="2"/>
    </font>
    <font>
      <sz val="10"/>
      <color indexed="8"/>
      <name val="Arial"/>
      <family val="2"/>
    </font>
    <font>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Arial"/>
      <family val="2"/>
    </font>
    <font>
      <sz val="11"/>
      <color indexed="10"/>
      <name val="Arial"/>
      <family val="2"/>
    </font>
    <font>
      <sz val="14"/>
      <color indexed="8"/>
      <name val="Arial"/>
      <family val="2"/>
    </font>
    <font>
      <b/>
      <sz val="11"/>
      <name val="Calibri"/>
      <family val="2"/>
    </font>
    <font>
      <sz val="12"/>
      <color indexed="8"/>
      <name val="Arial"/>
      <family val="2"/>
    </font>
    <font>
      <b/>
      <sz val="16"/>
      <color indexed="8"/>
      <name val="Arial"/>
      <family val="2"/>
    </font>
    <font>
      <b/>
      <sz val="12"/>
      <color indexed="8"/>
      <name val="Arial"/>
      <family val="2"/>
    </font>
    <font>
      <sz val="12"/>
      <color indexed="8"/>
      <name val="Calibri"/>
      <family val="2"/>
    </font>
    <font>
      <sz val="18"/>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0"/>
      <color theme="1"/>
      <name val="Arial"/>
      <family val="2"/>
    </font>
    <font>
      <b/>
      <sz val="14"/>
      <color theme="1"/>
      <name val="Arial"/>
      <family val="2"/>
    </font>
    <font>
      <sz val="11"/>
      <color rgb="FFFF0000"/>
      <name val="Arial"/>
      <family val="2"/>
    </font>
    <font>
      <b/>
      <sz val="11"/>
      <color theme="1"/>
      <name val="Arial"/>
      <family val="2"/>
    </font>
    <font>
      <sz val="14"/>
      <color theme="1"/>
      <name val="Arial"/>
      <family val="2"/>
    </font>
    <font>
      <sz val="10"/>
      <color theme="1"/>
      <name val="Arial"/>
      <family val="2"/>
    </font>
    <font>
      <sz val="12"/>
      <color theme="1"/>
      <name val="Arial"/>
      <family val="2"/>
    </font>
    <font>
      <b/>
      <sz val="18"/>
      <color theme="1"/>
      <name val="Arial"/>
      <family val="2"/>
    </font>
    <font>
      <b/>
      <sz val="16"/>
      <color theme="1"/>
      <name val="Arial"/>
      <family val="2"/>
    </font>
    <font>
      <b/>
      <sz val="12"/>
      <color theme="1"/>
      <name val="Arial"/>
      <family val="2"/>
    </font>
    <font>
      <sz val="12"/>
      <color theme="1"/>
      <name val="Calibri"/>
      <family val="2"/>
    </font>
    <font>
      <sz val="18"/>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
      <patternFill patternType="solid">
        <fgColor rgb="FFFFFF99"/>
        <bgColor indexed="64"/>
      </patternFill>
    </fill>
    <fill>
      <patternFill patternType="solid">
        <fgColor rgb="FFCCC0DA"/>
        <bgColor indexed="64"/>
      </patternFill>
    </fill>
    <fill>
      <patternFill patternType="solid">
        <fgColor theme="7" tint="0.599960029125213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rgb="FF00B0F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style="medium">
        <color theme="1"/>
      </left>
      <right style="medium">
        <color theme="1"/>
      </right>
      <top style="medium">
        <color theme="1"/>
      </top>
      <bottom style="medium">
        <color theme="1"/>
      </bottom>
    </border>
    <border>
      <left style="medium"/>
      <right style="medium"/>
      <top style="medium"/>
      <bottom>
        <color indexed="63"/>
      </bottom>
    </border>
    <border>
      <left style="medium"/>
      <right style="medium"/>
      <top>
        <color indexed="63"/>
      </top>
      <bottom style="mediu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right style="medium"/>
      <top/>
      <bottom/>
    </border>
    <border>
      <left/>
      <right style="medium">
        <color theme="1"/>
      </right>
      <top>
        <color indexed="63"/>
      </top>
      <bottom/>
    </border>
    <border>
      <left style="medium"/>
      <right>
        <color indexed="63"/>
      </right>
      <top>
        <color indexed="63"/>
      </top>
      <bottom style="medium"/>
    </border>
    <border>
      <left style="medium"/>
      <right style="medium"/>
      <top>
        <color indexed="63"/>
      </top>
      <bottom>
        <color indexed="63"/>
      </bottom>
    </border>
    <border>
      <left/>
      <right/>
      <top style="medium"/>
      <bottom style="medium"/>
    </border>
    <border>
      <left/>
      <right style="medium"/>
      <top style="medium"/>
      <bottom style="medium"/>
    </border>
    <border>
      <left style="medium">
        <color theme="1"/>
      </left>
      <right style="medium">
        <color theme="1"/>
      </right>
      <top style="medium">
        <color theme="1"/>
      </top>
      <bottom/>
    </border>
    <border>
      <left style="medium"/>
      <right style="medium">
        <color theme="1"/>
      </right>
      <top style="medium"/>
      <bottom>
        <color indexed="63"/>
      </bottom>
    </border>
    <border>
      <left>
        <color indexed="63"/>
      </left>
      <right>
        <color indexed="63"/>
      </right>
      <top>
        <color indexed="63"/>
      </top>
      <bottom style="medium"/>
    </border>
    <border>
      <left style="medium">
        <color theme="1"/>
      </left>
      <right>
        <color indexed="63"/>
      </right>
      <top style="medium">
        <color theme="1"/>
      </top>
      <bottom style="medium">
        <color theme="1"/>
      </bottom>
    </border>
    <border>
      <left>
        <color indexed="63"/>
      </left>
      <right>
        <color indexed="63"/>
      </right>
      <top style="medium">
        <color theme="1"/>
      </top>
      <bottom style="medium">
        <color theme="1"/>
      </bottom>
    </border>
    <border>
      <left>
        <color indexed="63"/>
      </left>
      <right style="medium">
        <color theme="1"/>
      </right>
      <top style="medium">
        <color theme="1"/>
      </top>
      <bottom style="medium">
        <color theme="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37">
    <xf numFmtId="0" fontId="0" fillId="0" borderId="0" xfId="0" applyFont="1" applyAlignment="1">
      <alignment/>
    </xf>
    <xf numFmtId="0" fontId="59" fillId="0" borderId="0" xfId="0" applyFont="1" applyFill="1" applyAlignment="1" applyProtection="1">
      <alignment/>
      <protection locked="0"/>
    </xf>
    <xf numFmtId="0" fontId="59" fillId="0" borderId="0" xfId="0" applyFont="1" applyAlignment="1" applyProtection="1">
      <alignment/>
      <protection locked="0"/>
    </xf>
    <xf numFmtId="0" fontId="60" fillId="0" borderId="10" xfId="0" applyFont="1" applyBorder="1" applyAlignment="1" applyProtection="1">
      <alignment/>
      <protection locked="0"/>
    </xf>
    <xf numFmtId="0" fontId="59" fillId="0" borderId="0" xfId="0" applyFont="1" applyBorder="1" applyAlignment="1" applyProtection="1">
      <alignment/>
      <protection locked="0"/>
    </xf>
    <xf numFmtId="9" fontId="60" fillId="0" borderId="10" xfId="0" applyNumberFormat="1"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wrapText="1"/>
      <protection locked="0"/>
    </xf>
    <xf numFmtId="0" fontId="59" fillId="0" borderId="0" xfId="0" applyFont="1" applyBorder="1" applyAlignment="1" applyProtection="1">
      <alignment wrapText="1"/>
      <protection locked="0"/>
    </xf>
    <xf numFmtId="0" fontId="61" fillId="0" borderId="0" xfId="0" applyFont="1" applyBorder="1" applyAlignment="1" applyProtection="1">
      <alignment/>
      <protection locked="0"/>
    </xf>
    <xf numFmtId="0" fontId="59" fillId="0" borderId="0" xfId="0" applyFont="1" applyBorder="1" applyAlignment="1" applyProtection="1">
      <alignment vertical="top"/>
      <protection locked="0"/>
    </xf>
    <xf numFmtId="0" fontId="62" fillId="0" borderId="0" xfId="0" applyFont="1" applyBorder="1" applyAlignment="1" applyProtection="1">
      <alignment vertical="top" wrapText="1"/>
      <protection locked="0"/>
    </xf>
    <xf numFmtId="0" fontId="59" fillId="0" borderId="0" xfId="0" applyFont="1" applyBorder="1" applyAlignment="1" applyProtection="1">
      <alignment vertical="top" wrapText="1"/>
      <protection locked="0"/>
    </xf>
    <xf numFmtId="0" fontId="59" fillId="0" borderId="0" xfId="0" applyFont="1" applyAlignment="1" applyProtection="1">
      <alignment horizontal="right"/>
      <protection locked="0"/>
    </xf>
    <xf numFmtId="0" fontId="63" fillId="33" borderId="10" xfId="0" applyFont="1" applyFill="1" applyBorder="1" applyAlignment="1" applyProtection="1">
      <alignment vertical="top" wrapText="1"/>
      <protection locked="0"/>
    </xf>
    <xf numFmtId="0" fontId="63" fillId="33" borderId="11" xfId="0" applyFont="1" applyFill="1" applyBorder="1" applyAlignment="1" applyProtection="1">
      <alignment vertical="top"/>
      <protection locked="0"/>
    </xf>
    <xf numFmtId="0" fontId="63" fillId="33" borderId="12" xfId="0" applyFont="1" applyFill="1" applyBorder="1" applyAlignment="1" applyProtection="1">
      <alignment vertical="top" wrapText="1"/>
      <protection locked="0"/>
    </xf>
    <xf numFmtId="0" fontId="63" fillId="33" borderId="11" xfId="0" applyFont="1" applyFill="1" applyBorder="1" applyAlignment="1" applyProtection="1">
      <alignment vertical="top" wrapText="1"/>
      <protection locked="0"/>
    </xf>
    <xf numFmtId="0" fontId="59" fillId="0" borderId="10" xfId="0" applyFont="1" applyBorder="1" applyAlignment="1" applyProtection="1">
      <alignment vertical="top" wrapText="1"/>
      <protection/>
    </xf>
    <xf numFmtId="0" fontId="59" fillId="34" borderId="10" xfId="0" applyFont="1" applyFill="1" applyBorder="1" applyAlignment="1" applyProtection="1">
      <alignment vertical="top" wrapText="1"/>
      <protection locked="0"/>
    </xf>
    <xf numFmtId="0" fontId="59" fillId="0" borderId="13" xfId="0" applyFont="1" applyBorder="1" applyAlignment="1" applyProtection="1">
      <alignment vertical="top" wrapText="1"/>
      <protection/>
    </xf>
    <xf numFmtId="0" fontId="59" fillId="0" borderId="14" xfId="0" applyFont="1" applyBorder="1" applyAlignment="1" applyProtection="1">
      <alignment vertical="top" wrapText="1"/>
      <protection/>
    </xf>
    <xf numFmtId="0" fontId="4" fillId="0" borderId="10" xfId="0" applyFont="1" applyBorder="1" applyAlignment="1" applyProtection="1">
      <alignment vertical="top" wrapText="1"/>
      <protection/>
    </xf>
    <xf numFmtId="0" fontId="63" fillId="33" borderId="10" xfId="0" applyFont="1" applyFill="1" applyBorder="1" applyAlignment="1" applyProtection="1">
      <alignment horizontal="left" vertical="top" wrapText="1"/>
      <protection/>
    </xf>
    <xf numFmtId="0" fontId="63" fillId="33" borderId="13" xfId="0" applyFont="1" applyFill="1" applyBorder="1" applyAlignment="1" applyProtection="1">
      <alignment horizontal="left" vertical="top" wrapText="1"/>
      <protection/>
    </xf>
    <xf numFmtId="0" fontId="64" fillId="0" borderId="0" xfId="0" applyFont="1" applyBorder="1" applyAlignment="1" applyProtection="1">
      <alignment/>
      <protection locked="0"/>
    </xf>
    <xf numFmtId="0" fontId="59" fillId="34" borderId="10" xfId="0" applyFont="1" applyFill="1" applyBorder="1" applyAlignment="1" applyProtection="1">
      <alignment horizontal="left" vertical="top" wrapText="1"/>
      <protection locked="0"/>
    </xf>
    <xf numFmtId="0" fontId="59" fillId="34" borderId="10" xfId="0" applyFont="1" applyFill="1" applyBorder="1" applyAlignment="1" applyProtection="1">
      <alignment horizontal="center" vertical="top" wrapText="1"/>
      <protection locked="0"/>
    </xf>
    <xf numFmtId="14" fontId="59" fillId="34" borderId="10" xfId="0" applyNumberFormat="1" applyFont="1" applyFill="1" applyBorder="1" applyAlignment="1" applyProtection="1">
      <alignment horizontal="center" vertical="top" wrapText="1"/>
      <protection locked="0"/>
    </xf>
    <xf numFmtId="0" fontId="0" fillId="0" borderId="0" xfId="0" applyAlignment="1">
      <alignment/>
    </xf>
    <xf numFmtId="0" fontId="59" fillId="0" borderId="0" xfId="0" applyFont="1" applyAlignment="1">
      <alignment/>
    </xf>
    <xf numFmtId="0" fontId="58" fillId="0" borderId="0" xfId="0" applyFont="1" applyAlignment="1">
      <alignment wrapText="1"/>
    </xf>
    <xf numFmtId="0" fontId="63" fillId="0" borderId="0" xfId="0" applyFont="1" applyAlignment="1" applyProtection="1">
      <alignment horizontal="right"/>
      <protection locked="0"/>
    </xf>
    <xf numFmtId="0" fontId="63" fillId="0" borderId="0" xfId="0" applyFont="1" applyAlignment="1" applyProtection="1">
      <alignment horizontal="left"/>
      <protection/>
    </xf>
    <xf numFmtId="0" fontId="4" fillId="0" borderId="10" xfId="0" applyFont="1" applyBorder="1" applyAlignment="1" applyProtection="1">
      <alignment horizontal="left" vertical="top" wrapText="1"/>
      <protection/>
    </xf>
    <xf numFmtId="0" fontId="4" fillId="0" borderId="10" xfId="0" applyFont="1" applyBorder="1" applyAlignment="1" applyProtection="1">
      <alignment vertical="top" wrapText="1"/>
      <protection locked="0"/>
    </xf>
    <xf numFmtId="0" fontId="6" fillId="0" borderId="0" xfId="0" applyFont="1" applyAlignment="1" applyProtection="1">
      <alignment horizontal="left"/>
      <protection/>
    </xf>
    <xf numFmtId="9" fontId="4" fillId="0" borderId="10" xfId="0" applyNumberFormat="1" applyFont="1" applyBorder="1" applyAlignment="1" applyProtection="1" quotePrefix="1">
      <alignment horizontal="center" vertical="center" wrapText="1"/>
      <protection/>
    </xf>
    <xf numFmtId="9" fontId="4" fillId="0" borderId="10" xfId="0" applyNumberFormat="1" applyFont="1" applyBorder="1" applyAlignment="1" applyProtection="1">
      <alignment horizontal="center" vertical="center" wrapText="1"/>
      <protection/>
    </xf>
    <xf numFmtId="0" fontId="10" fillId="0" borderId="0" xfId="0" applyFont="1" applyAlignment="1">
      <alignment wrapText="1"/>
    </xf>
    <xf numFmtId="0" fontId="65" fillId="0" borderId="0" xfId="0" applyFont="1" applyBorder="1" applyAlignment="1" applyProtection="1">
      <alignment/>
      <protection locked="0"/>
    </xf>
    <xf numFmtId="0" fontId="60" fillId="2" borderId="12" xfId="0" applyFont="1" applyFill="1" applyBorder="1" applyAlignment="1" applyProtection="1">
      <alignment horizontal="center"/>
      <protection locked="0"/>
    </xf>
    <xf numFmtId="0" fontId="60" fillId="34" borderId="12" xfId="0" applyFont="1" applyFill="1" applyBorder="1" applyAlignment="1" applyProtection="1">
      <alignment horizontal="center"/>
      <protection locked="0"/>
    </xf>
    <xf numFmtId="0" fontId="65" fillId="0" borderId="0" xfId="0" applyFont="1" applyAlignment="1" applyProtection="1">
      <alignment/>
      <protection locked="0"/>
    </xf>
    <xf numFmtId="0" fontId="65" fillId="34" borderId="10" xfId="0" applyFont="1" applyFill="1" applyBorder="1" applyAlignment="1" applyProtection="1">
      <alignment/>
      <protection locked="0"/>
    </xf>
    <xf numFmtId="0" fontId="60" fillId="0" borderId="0" xfId="0" applyFont="1" applyAlignment="1" applyProtection="1">
      <alignment/>
      <protection locked="0"/>
    </xf>
    <xf numFmtId="0" fontId="60" fillId="0" borderId="0" xfId="0" applyFont="1" applyAlignment="1" applyProtection="1">
      <alignment horizontal="center"/>
      <protection locked="0"/>
    </xf>
    <xf numFmtId="0" fontId="65" fillId="0" borderId="0" xfId="0" applyFont="1" applyAlignment="1" applyProtection="1">
      <alignment horizontal="center"/>
      <protection locked="0"/>
    </xf>
    <xf numFmtId="0" fontId="65" fillId="0" borderId="15" xfId="0" applyFont="1" applyBorder="1" applyAlignment="1" applyProtection="1">
      <alignment horizontal="right"/>
      <protection locked="0"/>
    </xf>
    <xf numFmtId="0" fontId="65" fillId="0" borderId="16" xfId="0" applyFont="1" applyBorder="1" applyAlignment="1" applyProtection="1">
      <alignment/>
      <protection locked="0"/>
    </xf>
    <xf numFmtId="0" fontId="65" fillId="0" borderId="17" xfId="0" applyFont="1" applyBorder="1" applyAlignment="1" applyProtection="1">
      <alignment/>
      <protection locked="0"/>
    </xf>
    <xf numFmtId="0" fontId="65" fillId="0" borderId="18" xfId="0" applyFont="1" applyBorder="1" applyAlignment="1" applyProtection="1">
      <alignment horizontal="right"/>
      <protection locked="0"/>
    </xf>
    <xf numFmtId="0" fontId="65" fillId="0" borderId="19" xfId="0" applyFont="1" applyBorder="1" applyAlignment="1" applyProtection="1">
      <alignment/>
      <protection locked="0"/>
    </xf>
    <xf numFmtId="9" fontId="65" fillId="0" borderId="18" xfId="0" applyNumberFormat="1" applyFont="1" applyBorder="1" applyAlignment="1" applyProtection="1">
      <alignment horizontal="right"/>
      <protection locked="0"/>
    </xf>
    <xf numFmtId="9" fontId="65" fillId="0" borderId="0" xfId="0" applyNumberFormat="1" applyFont="1" applyBorder="1" applyAlignment="1" applyProtection="1">
      <alignment/>
      <protection locked="0"/>
    </xf>
    <xf numFmtId="9" fontId="65" fillId="0" borderId="19" xfId="0" applyNumberFormat="1" applyFont="1" applyBorder="1" applyAlignment="1" applyProtection="1">
      <alignment/>
      <protection locked="0"/>
    </xf>
    <xf numFmtId="9" fontId="65" fillId="0" borderId="0" xfId="0" applyNumberFormat="1" applyFont="1" applyAlignment="1" applyProtection="1">
      <alignment/>
      <protection locked="0"/>
    </xf>
    <xf numFmtId="0" fontId="65" fillId="0" borderId="0" xfId="0" applyFont="1" applyAlignment="1" applyProtection="1">
      <alignment horizontal="right"/>
      <protection locked="0"/>
    </xf>
    <xf numFmtId="0" fontId="60" fillId="0" borderId="0" xfId="0" applyFont="1" applyBorder="1" applyAlignment="1" applyProtection="1">
      <alignment/>
      <protection locked="0"/>
    </xf>
    <xf numFmtId="0" fontId="60" fillId="0" borderId="0" xfId="0" applyFont="1" applyBorder="1" applyAlignment="1" applyProtection="1">
      <alignment horizontal="right"/>
      <protection locked="0"/>
    </xf>
    <xf numFmtId="0" fontId="60" fillId="0" borderId="20" xfId="0" applyFont="1" applyBorder="1" applyAlignment="1" applyProtection="1">
      <alignment/>
      <protection locked="0"/>
    </xf>
    <xf numFmtId="0" fontId="59" fillId="0" borderId="0" xfId="0" applyFont="1" applyAlignment="1">
      <alignment wrapText="1"/>
    </xf>
    <xf numFmtId="0" fontId="0" fillId="0" borderId="0" xfId="0" applyAlignment="1">
      <alignment/>
    </xf>
    <xf numFmtId="0" fontId="60" fillId="35" borderId="14" xfId="0" applyFont="1" applyFill="1" applyBorder="1" applyAlignment="1" applyProtection="1">
      <alignment horizontal="left"/>
      <protection locked="0"/>
    </xf>
    <xf numFmtId="0" fontId="60" fillId="35" borderId="21" xfId="0" applyFont="1" applyFill="1" applyBorder="1" applyAlignment="1" applyProtection="1">
      <alignment horizontal="left"/>
      <protection locked="0"/>
    </xf>
    <xf numFmtId="0" fontId="0" fillId="0" borderId="0" xfId="0" applyAlignment="1">
      <alignment horizontal="left" vertical="top" wrapText="1"/>
    </xf>
    <xf numFmtId="0" fontId="0" fillId="0" borderId="0" xfId="0" applyAlignment="1">
      <alignment/>
    </xf>
    <xf numFmtId="0" fontId="59" fillId="0" borderId="0" xfId="0" applyFont="1" applyAlignment="1">
      <alignment/>
    </xf>
    <xf numFmtId="0" fontId="60" fillId="2" borderId="14" xfId="0" applyFont="1" applyFill="1" applyBorder="1" applyAlignment="1" applyProtection="1">
      <alignment wrapText="1"/>
      <protection locked="0"/>
    </xf>
    <xf numFmtId="0" fontId="57" fillId="0" borderId="0" xfId="0" applyFont="1" applyAlignment="1">
      <alignment horizontal="left" vertical="top"/>
    </xf>
    <xf numFmtId="0" fontId="0" fillId="0" borderId="0" xfId="0" applyAlignment="1">
      <alignment horizontal="left" vertical="top"/>
    </xf>
    <xf numFmtId="0" fontId="10" fillId="0" borderId="0" xfId="0" applyFont="1" applyAlignment="1">
      <alignment horizontal="left" vertical="top" wrapText="1"/>
    </xf>
    <xf numFmtId="0" fontId="34" fillId="0" borderId="13" xfId="0" applyFont="1" applyBorder="1" applyAlignment="1">
      <alignment wrapText="1"/>
    </xf>
    <xf numFmtId="0" fontId="10" fillId="0" borderId="22" xfId="0" applyFont="1" applyBorder="1" applyAlignment="1">
      <alignment wrapText="1"/>
    </xf>
    <xf numFmtId="0" fontId="10" fillId="0" borderId="14" xfId="0" applyFont="1" applyBorder="1" applyAlignment="1">
      <alignment wrapText="1"/>
    </xf>
    <xf numFmtId="0" fontId="0" fillId="0" borderId="0" xfId="0" applyAlignment="1">
      <alignment/>
    </xf>
    <xf numFmtId="0" fontId="59" fillId="0" borderId="10" xfId="0" applyFont="1" applyBorder="1" applyAlignment="1">
      <alignment wrapText="1"/>
    </xf>
    <xf numFmtId="0" fontId="59" fillId="0" borderId="0" xfId="0" applyFont="1" applyBorder="1" applyAlignment="1">
      <alignment wrapText="1"/>
    </xf>
    <xf numFmtId="0" fontId="59" fillId="0" borderId="0" xfId="0" applyFont="1" applyAlignment="1">
      <alignment wrapText="1"/>
    </xf>
    <xf numFmtId="0" fontId="0" fillId="0" borderId="0" xfId="0" applyAlignment="1">
      <alignment horizontal="left" vertical="top" wrapText="1"/>
    </xf>
    <xf numFmtId="0" fontId="0" fillId="0" borderId="0" xfId="0" applyAlignment="1">
      <alignment/>
    </xf>
    <xf numFmtId="0" fontId="59" fillId="0" borderId="0" xfId="0" applyFont="1" applyAlignment="1">
      <alignment/>
    </xf>
    <xf numFmtId="0" fontId="59" fillId="34" borderId="11" xfId="0" applyFont="1" applyFill="1" applyBorder="1" applyAlignment="1" applyProtection="1">
      <alignment horizontal="left" vertical="top" wrapText="1"/>
      <protection locked="0"/>
    </xf>
    <xf numFmtId="0" fontId="59" fillId="0" borderId="10" xfId="0" applyFont="1" applyBorder="1" applyAlignment="1">
      <alignment horizontal="left" vertical="top" wrapText="1"/>
    </xf>
    <xf numFmtId="0" fontId="65" fillId="34" borderId="10" xfId="0" applyFont="1" applyFill="1" applyBorder="1" applyAlignment="1" applyProtection="1">
      <alignment horizontal="left" vertical="center"/>
      <protection locked="0"/>
    </xf>
    <xf numFmtId="0" fontId="65" fillId="34" borderId="11" xfId="0" applyFont="1" applyFill="1" applyBorder="1" applyAlignment="1" applyProtection="1">
      <alignment horizontal="left" vertical="center"/>
      <protection locked="0"/>
    </xf>
    <xf numFmtId="0" fontId="65" fillId="11" borderId="10" xfId="0" applyFont="1" applyFill="1" applyBorder="1" applyAlignment="1" applyProtection="1">
      <alignment vertical="center"/>
      <protection locked="0"/>
    </xf>
    <xf numFmtId="0" fontId="65" fillId="35" borderId="10" xfId="0" applyFont="1" applyFill="1" applyBorder="1" applyAlignment="1" applyProtection="1">
      <alignment vertical="center"/>
      <protection locked="0"/>
    </xf>
    <xf numFmtId="0" fontId="65" fillId="0" borderId="10" xfId="0" applyFont="1" applyBorder="1" applyAlignment="1" applyProtection="1">
      <alignment horizontal="center" vertical="center"/>
      <protection locked="0"/>
    </xf>
    <xf numFmtId="9" fontId="65" fillId="0" borderId="10" xfId="0" applyNumberFormat="1" applyFont="1" applyBorder="1" applyAlignment="1" applyProtection="1">
      <alignment horizontal="center" vertical="center"/>
      <protection locked="0"/>
    </xf>
    <xf numFmtId="0" fontId="65" fillId="0" borderId="0" xfId="0" applyFont="1" applyAlignment="1" applyProtection="1">
      <alignment horizontal="center" vertical="center"/>
      <protection locked="0"/>
    </xf>
    <xf numFmtId="0" fontId="65" fillId="2" borderId="11" xfId="0" applyFont="1" applyFill="1" applyBorder="1" applyAlignment="1" applyProtection="1">
      <alignment horizontal="left" vertical="center"/>
      <protection locked="0"/>
    </xf>
    <xf numFmtId="0" fontId="60" fillId="0" borderId="0" xfId="0" applyFont="1" applyAlignment="1" applyProtection="1">
      <alignment horizontal="left" vertical="center"/>
      <protection locked="0"/>
    </xf>
    <xf numFmtId="0" fontId="65" fillId="33" borderId="10" xfId="0" applyFont="1" applyFill="1" applyBorder="1" applyAlignment="1" applyProtection="1">
      <alignment horizontal="left" vertical="center"/>
      <protection locked="0"/>
    </xf>
    <xf numFmtId="0" fontId="65" fillId="2" borderId="10" xfId="0" applyFont="1" applyFill="1" applyBorder="1" applyAlignment="1" applyProtection="1">
      <alignment horizontal="left" vertical="center"/>
      <protection locked="0"/>
    </xf>
    <xf numFmtId="0" fontId="65" fillId="0" borderId="23" xfId="0" applyFont="1" applyBorder="1" applyAlignment="1" applyProtection="1">
      <alignment horizontal="left" vertical="center"/>
      <protection locked="0"/>
    </xf>
    <xf numFmtId="0" fontId="65" fillId="0" borderId="10" xfId="0" applyFont="1" applyBorder="1" applyAlignment="1" applyProtection="1">
      <alignment horizontal="center" vertical="center"/>
      <protection/>
    </xf>
    <xf numFmtId="0" fontId="66" fillId="0" borderId="0" xfId="0" applyFont="1" applyAlignment="1" applyProtection="1">
      <alignment/>
      <protection locked="0"/>
    </xf>
    <xf numFmtId="0" fontId="63" fillId="0" borderId="10" xfId="0" applyFont="1" applyBorder="1" applyAlignment="1">
      <alignment horizontal="center"/>
    </xf>
    <xf numFmtId="0" fontId="59" fillId="0" borderId="10" xfId="0" applyFont="1" applyBorder="1" applyAlignment="1">
      <alignment horizontal="left" vertical="top"/>
    </xf>
    <xf numFmtId="0" fontId="0" fillId="0" borderId="0" xfId="0" applyFont="1" applyAlignment="1">
      <alignment/>
    </xf>
    <xf numFmtId="0" fontId="0" fillId="0" borderId="0" xfId="0" applyFont="1" applyAlignment="1" applyProtection="1">
      <alignment/>
      <protection locked="0"/>
    </xf>
    <xf numFmtId="0" fontId="63" fillId="0" borderId="0" xfId="0" applyFont="1" applyFill="1" applyBorder="1" applyAlignment="1">
      <alignment horizontal="left"/>
    </xf>
    <xf numFmtId="0" fontId="0" fillId="0" borderId="0" xfId="0" applyAlignment="1">
      <alignment/>
    </xf>
    <xf numFmtId="0" fontId="59" fillId="0" borderId="0" xfId="0" applyFont="1" applyAlignment="1">
      <alignment/>
    </xf>
    <xf numFmtId="0" fontId="59" fillId="0" borderId="0" xfId="0" applyFont="1" applyAlignment="1">
      <alignment/>
    </xf>
    <xf numFmtId="0" fontId="59" fillId="0" borderId="0" xfId="0" applyFont="1" applyAlignment="1" applyProtection="1">
      <alignment vertical="top" wrapText="1"/>
      <protection/>
    </xf>
    <xf numFmtId="0" fontId="0" fillId="0" borderId="0" xfId="0" applyAlignment="1" applyProtection="1">
      <alignment vertical="top" wrapText="1"/>
      <protection/>
    </xf>
    <xf numFmtId="0" fontId="60" fillId="36" borderId="14" xfId="0" applyFont="1" applyFill="1" applyBorder="1" applyAlignment="1" applyProtection="1">
      <alignment/>
      <protection locked="0"/>
    </xf>
    <xf numFmtId="0" fontId="60" fillId="0" borderId="0" xfId="0" applyFont="1" applyAlignment="1" applyProtection="1">
      <alignment/>
      <protection locked="0"/>
    </xf>
    <xf numFmtId="0" fontId="60" fillId="34" borderId="14" xfId="0" applyFont="1" applyFill="1" applyBorder="1" applyAlignment="1" applyProtection="1">
      <alignment wrapText="1"/>
      <protection locked="0"/>
    </xf>
    <xf numFmtId="0" fontId="0" fillId="0" borderId="0" xfId="0" applyAlignment="1">
      <alignment/>
    </xf>
    <xf numFmtId="0" fontId="67" fillId="0" borderId="0" xfId="0" applyFont="1" applyFill="1" applyBorder="1" applyAlignment="1" applyProtection="1">
      <alignment/>
      <protection locked="0"/>
    </xf>
    <xf numFmtId="0" fontId="68" fillId="0" borderId="0" xfId="0" applyFont="1" applyFill="1" applyBorder="1" applyAlignment="1" applyProtection="1">
      <alignment/>
      <protection locked="0"/>
    </xf>
    <xf numFmtId="0" fontId="0" fillId="0" borderId="0" xfId="0" applyAlignment="1">
      <alignment/>
    </xf>
    <xf numFmtId="0" fontId="68" fillId="0" borderId="0" xfId="0" applyFont="1" applyFill="1" applyBorder="1" applyAlignment="1" applyProtection="1">
      <alignment/>
      <protection locked="0"/>
    </xf>
    <xf numFmtId="0" fontId="60" fillId="37" borderId="12" xfId="0" applyFont="1" applyFill="1" applyBorder="1" applyAlignment="1" applyProtection="1">
      <alignment horizontal="center"/>
      <protection locked="0"/>
    </xf>
    <xf numFmtId="0" fontId="60" fillId="37" borderId="14" xfId="0" applyFont="1" applyFill="1" applyBorder="1" applyAlignment="1" applyProtection="1">
      <alignment wrapText="1"/>
      <protection locked="0"/>
    </xf>
    <xf numFmtId="0" fontId="65" fillId="0" borderId="10" xfId="0" applyFont="1" applyFill="1" applyBorder="1" applyAlignment="1" applyProtection="1">
      <alignment horizontal="left" vertical="center"/>
      <protection locked="0"/>
    </xf>
    <xf numFmtId="0" fontId="63" fillId="0" borderId="11" xfId="0" applyFont="1" applyBorder="1" applyAlignment="1">
      <alignment horizontal="center"/>
    </xf>
    <xf numFmtId="0" fontId="0" fillId="0" borderId="24" xfId="0" applyFont="1" applyBorder="1" applyAlignment="1">
      <alignment horizontal="center"/>
    </xf>
    <xf numFmtId="0" fontId="63" fillId="0" borderId="23" xfId="0" applyFont="1" applyBorder="1" applyAlignment="1">
      <alignment horizontal="center"/>
    </xf>
    <xf numFmtId="0" fontId="57" fillId="0" borderId="24" xfId="0" applyFont="1" applyBorder="1" applyAlignment="1">
      <alignment horizontal="center"/>
    </xf>
    <xf numFmtId="0" fontId="60" fillId="34" borderId="25" xfId="0" applyFont="1" applyFill="1" applyBorder="1" applyAlignment="1" applyProtection="1">
      <alignment horizontal="center"/>
      <protection locked="0"/>
    </xf>
    <xf numFmtId="0" fontId="65" fillId="0" borderId="10" xfId="0" applyFont="1" applyBorder="1" applyAlignment="1" applyProtection="1">
      <alignment horizontal="left" vertical="center"/>
      <protection locked="0"/>
    </xf>
    <xf numFmtId="9" fontId="4" fillId="2" borderId="10" xfId="0" applyNumberFormat="1" applyFont="1" applyFill="1" applyBorder="1" applyAlignment="1" applyProtection="1" quotePrefix="1">
      <alignment horizontal="center" vertical="center" wrapText="1"/>
      <protection/>
    </xf>
    <xf numFmtId="0" fontId="4" fillId="2" borderId="10" xfId="0" applyFont="1" applyFill="1" applyBorder="1" applyAlignment="1" applyProtection="1">
      <alignment horizontal="center" vertical="center" wrapText="1"/>
      <protection/>
    </xf>
    <xf numFmtId="9" fontId="4" fillId="2" borderId="10"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Font="1" applyAlignment="1">
      <alignment/>
    </xf>
    <xf numFmtId="0" fontId="60" fillId="0" borderId="0" xfId="0" applyFont="1" applyAlignment="1" applyProtection="1">
      <alignment/>
      <protection locked="0"/>
    </xf>
    <xf numFmtId="0" fontId="4" fillId="0" borderId="10" xfId="0" applyFont="1" applyFill="1" applyBorder="1" applyAlignment="1" applyProtection="1">
      <alignment vertical="top" wrapText="1"/>
      <protection/>
    </xf>
    <xf numFmtId="0" fontId="63" fillId="33" borderId="10" xfId="0" applyFont="1" applyFill="1" applyBorder="1" applyAlignment="1" applyProtection="1">
      <alignment horizontal="left" vertical="top"/>
      <protection/>
    </xf>
    <xf numFmtId="0" fontId="59" fillId="0" borderId="0" xfId="0" applyFont="1" applyAlignment="1" applyProtection="1">
      <alignment vertical="top"/>
      <protection locked="0"/>
    </xf>
    <xf numFmtId="0" fontId="60" fillId="36" borderId="13" xfId="0" applyFont="1" applyFill="1" applyBorder="1" applyAlignment="1" applyProtection="1">
      <alignment vertical="top"/>
      <protection locked="0"/>
    </xf>
    <xf numFmtId="0" fontId="60" fillId="36" borderId="13" xfId="0" applyFont="1" applyFill="1" applyBorder="1" applyAlignment="1" applyProtection="1">
      <alignment horizontal="left" vertical="top" wrapText="1"/>
      <protection locked="0"/>
    </xf>
    <xf numFmtId="0" fontId="7" fillId="36" borderId="13" xfId="0" applyFont="1" applyFill="1" applyBorder="1" applyAlignment="1" applyProtection="1">
      <alignment horizontal="left" vertical="top"/>
      <protection locked="0"/>
    </xf>
    <xf numFmtId="0" fontId="60" fillId="36" borderId="26" xfId="0" applyFont="1" applyFill="1" applyBorder="1" applyAlignment="1" applyProtection="1">
      <alignment horizontal="left" vertical="top"/>
      <protection locked="0"/>
    </xf>
    <xf numFmtId="0" fontId="60" fillId="2" borderId="25" xfId="0" applyFont="1" applyFill="1" applyBorder="1" applyAlignment="1" applyProtection="1">
      <alignment vertical="top" wrapText="1"/>
      <protection locked="0"/>
    </xf>
    <xf numFmtId="0" fontId="60" fillId="37" borderId="25" xfId="0" applyFont="1" applyFill="1" applyBorder="1" applyAlignment="1" applyProtection="1">
      <alignment vertical="top" wrapText="1"/>
      <protection locked="0"/>
    </xf>
    <xf numFmtId="0" fontId="60" fillId="34" borderId="25" xfId="0" applyFont="1" applyFill="1" applyBorder="1" applyAlignment="1" applyProtection="1">
      <alignment vertical="top" wrapText="1"/>
      <protection locked="0"/>
    </xf>
    <xf numFmtId="0" fontId="60" fillId="0" borderId="0" xfId="0" applyFont="1" applyAlignment="1" applyProtection="1">
      <alignment vertical="top"/>
      <protection locked="0"/>
    </xf>
    <xf numFmtId="0" fontId="51" fillId="0" borderId="10" xfId="53" applyBorder="1" applyAlignment="1" applyProtection="1">
      <alignment horizontal="left" vertical="top" wrapText="1"/>
      <protection/>
    </xf>
    <xf numFmtId="0" fontId="60" fillId="37" borderId="25" xfId="0" applyFont="1" applyFill="1" applyBorder="1" applyAlignment="1" applyProtection="1">
      <alignment vertical="center" wrapText="1"/>
      <protection locked="0"/>
    </xf>
    <xf numFmtId="0" fontId="60" fillId="2" borderId="25" xfId="0" applyFont="1" applyFill="1" applyBorder="1" applyAlignment="1" applyProtection="1">
      <alignment vertical="center" wrapText="1"/>
      <protection locked="0"/>
    </xf>
    <xf numFmtId="0" fontId="0" fillId="0" borderId="0" xfId="0" applyAlignment="1">
      <alignment/>
    </xf>
    <xf numFmtId="0" fontId="0" fillId="0" borderId="0" xfId="0" applyFont="1" applyAlignment="1">
      <alignment/>
    </xf>
    <xf numFmtId="0" fontId="68" fillId="0" borderId="0" xfId="0" applyFont="1" applyFill="1" applyBorder="1" applyAlignment="1" applyProtection="1">
      <alignment/>
      <protection locked="0"/>
    </xf>
    <xf numFmtId="0" fontId="2" fillId="0" borderId="0" xfId="0" applyFont="1" applyFill="1" applyBorder="1" applyAlignment="1" applyProtection="1">
      <alignment wrapText="1"/>
      <protection/>
    </xf>
    <xf numFmtId="0" fontId="0" fillId="0" borderId="0" xfId="0" applyFill="1" applyBorder="1" applyAlignment="1" applyProtection="1">
      <alignment wrapText="1"/>
      <protection/>
    </xf>
    <xf numFmtId="0" fontId="61" fillId="0" borderId="0" xfId="0" applyFont="1" applyBorder="1" applyAlignment="1" applyProtection="1">
      <alignment/>
      <protection/>
    </xf>
    <xf numFmtId="0" fontId="3" fillId="0" borderId="0" xfId="0" applyFont="1" applyAlignment="1" applyProtection="1">
      <alignment vertical="top" wrapText="1"/>
      <protection/>
    </xf>
    <xf numFmtId="0" fontId="0" fillId="0" borderId="0" xfId="0" applyAlignment="1" applyProtection="1">
      <alignment vertical="top" wrapText="1"/>
      <protection/>
    </xf>
    <xf numFmtId="0" fontId="59" fillId="0" borderId="0" xfId="0" applyFont="1" applyBorder="1" applyAlignment="1" applyProtection="1">
      <alignment vertical="top" wrapText="1"/>
      <protection locked="0"/>
    </xf>
    <xf numFmtId="0" fontId="0" fillId="0" borderId="0" xfId="0" applyAlignment="1">
      <alignment vertical="top" wrapText="1"/>
    </xf>
    <xf numFmtId="0" fontId="59" fillId="0" borderId="0" xfId="0" applyNumberFormat="1" applyFont="1" applyAlignment="1" applyProtection="1">
      <alignment wrapText="1"/>
      <protection/>
    </xf>
    <xf numFmtId="0" fontId="0" fillId="0" borderId="0" xfId="0" applyAlignment="1" applyProtection="1">
      <alignment wrapText="1"/>
      <protection/>
    </xf>
    <xf numFmtId="0" fontId="59" fillId="0" borderId="0" xfId="0" applyFont="1" applyBorder="1" applyAlignment="1" applyProtection="1">
      <alignment vertical="top" wrapText="1"/>
      <protection/>
    </xf>
    <xf numFmtId="0" fontId="59"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1" fillId="0" borderId="0" xfId="53" applyBorder="1" applyAlignment="1" applyProtection="1">
      <alignment horizontal="left" wrapText="1"/>
      <protection/>
    </xf>
    <xf numFmtId="0" fontId="67" fillId="0" borderId="0" xfId="0" applyFont="1" applyFill="1" applyBorder="1" applyAlignment="1" applyProtection="1">
      <alignment wrapText="1"/>
      <protection/>
    </xf>
    <xf numFmtId="0" fontId="0" fillId="0" borderId="0" xfId="0" applyAlignment="1">
      <alignment wrapText="1"/>
    </xf>
    <xf numFmtId="0" fontId="59" fillId="0" borderId="0" xfId="0" applyFont="1" applyFill="1" applyBorder="1" applyAlignment="1" applyProtection="1">
      <alignment wrapText="1"/>
      <protection/>
    </xf>
    <xf numFmtId="0" fontId="0" fillId="0" borderId="0" xfId="0" applyAlignment="1">
      <alignment/>
    </xf>
    <xf numFmtId="0" fontId="59" fillId="0" borderId="0" xfId="0" applyNumberFormat="1" applyFont="1" applyFill="1" applyBorder="1" applyAlignment="1" applyProtection="1">
      <alignment wrapText="1"/>
      <protection/>
    </xf>
    <xf numFmtId="0" fontId="59" fillId="0" borderId="0" xfId="0" applyFont="1" applyBorder="1" applyAlignment="1" applyProtection="1">
      <alignment/>
      <protection locked="0"/>
    </xf>
    <xf numFmtId="0" fontId="59" fillId="0" borderId="0" xfId="0" applyFont="1" applyBorder="1" applyAlignment="1" applyProtection="1">
      <alignment wrapText="1"/>
      <protection/>
    </xf>
    <xf numFmtId="0" fontId="63" fillId="33" borderId="11" xfId="0" applyFont="1" applyFill="1" applyBorder="1" applyAlignment="1" applyProtection="1">
      <alignment horizontal="left"/>
      <protection/>
    </xf>
    <xf numFmtId="0" fontId="0" fillId="0" borderId="23" xfId="0" applyBorder="1" applyAlignment="1">
      <alignment horizontal="left"/>
    </xf>
    <xf numFmtId="0" fontId="0" fillId="0" borderId="24" xfId="0" applyBorder="1" applyAlignment="1">
      <alignment horizontal="left"/>
    </xf>
    <xf numFmtId="0" fontId="65" fillId="0" borderId="27" xfId="0" applyNumberFormat="1" applyFont="1" applyFill="1" applyBorder="1" applyAlignment="1" applyProtection="1">
      <alignment wrapText="1"/>
      <protection locked="0"/>
    </xf>
    <xf numFmtId="0" fontId="0" fillId="0" borderId="27" xfId="0" applyBorder="1" applyAlignment="1">
      <alignment/>
    </xf>
    <xf numFmtId="0" fontId="13" fillId="0" borderId="0" xfId="0" applyFont="1" applyAlignment="1" applyProtection="1">
      <alignment/>
      <protection locked="0"/>
    </xf>
    <xf numFmtId="0" fontId="0" fillId="0" borderId="0" xfId="0" applyFont="1" applyAlignment="1">
      <alignment/>
    </xf>
    <xf numFmtId="0" fontId="63" fillId="38" borderId="28" xfId="0" applyFont="1" applyFill="1" applyBorder="1" applyAlignment="1" applyProtection="1">
      <alignment horizontal="left"/>
      <protection locked="0"/>
    </xf>
    <xf numFmtId="0" fontId="63" fillId="38" borderId="29" xfId="0" applyFont="1" applyFill="1" applyBorder="1" applyAlignment="1" applyProtection="1">
      <alignment horizontal="left"/>
      <protection locked="0"/>
    </xf>
    <xf numFmtId="0" fontId="63" fillId="38" borderId="30" xfId="0" applyFont="1" applyFill="1" applyBorder="1" applyAlignment="1" applyProtection="1">
      <alignment horizontal="left"/>
      <protection locked="0"/>
    </xf>
    <xf numFmtId="0" fontId="63" fillId="39" borderId="28" xfId="0" applyFont="1" applyFill="1" applyBorder="1" applyAlignment="1" applyProtection="1">
      <alignment horizontal="left"/>
      <protection locked="0"/>
    </xf>
    <xf numFmtId="0" fontId="63" fillId="39" borderId="29" xfId="0" applyFont="1" applyFill="1" applyBorder="1" applyAlignment="1" applyProtection="1">
      <alignment horizontal="left"/>
      <protection locked="0"/>
    </xf>
    <xf numFmtId="0" fontId="63" fillId="39" borderId="30" xfId="0" applyFont="1" applyFill="1" applyBorder="1" applyAlignment="1" applyProtection="1">
      <alignment horizontal="left"/>
      <protection locked="0"/>
    </xf>
    <xf numFmtId="0" fontId="68" fillId="0" borderId="0" xfId="0" applyFont="1" applyFill="1" applyBorder="1" applyAlignment="1" applyProtection="1">
      <alignment/>
      <protection locked="0"/>
    </xf>
    <xf numFmtId="0" fontId="65" fillId="0" borderId="0" xfId="0" applyFont="1" applyFill="1" applyBorder="1" applyAlignment="1" applyProtection="1">
      <alignment wrapText="1"/>
      <protection locked="0"/>
    </xf>
    <xf numFmtId="0" fontId="59" fillId="0" borderId="0" xfId="0" applyFont="1" applyFill="1" applyBorder="1" applyAlignment="1">
      <alignment horizontal="left" vertical="top" wrapText="1"/>
    </xf>
    <xf numFmtId="0" fontId="59" fillId="0" borderId="11" xfId="0" applyFont="1" applyBorder="1" applyAlignment="1" applyProtection="1">
      <alignment vertical="top" wrapText="1"/>
      <protection/>
    </xf>
    <xf numFmtId="0" fontId="0" fillId="0" borderId="23" xfId="0" applyBorder="1" applyAlignment="1">
      <alignment vertical="top" wrapText="1"/>
    </xf>
    <xf numFmtId="0" fontId="0" fillId="0" borderId="24" xfId="0" applyBorder="1" applyAlignment="1">
      <alignment vertical="top" wrapText="1"/>
    </xf>
    <xf numFmtId="0" fontId="59" fillId="0" borderId="0" xfId="0" applyFont="1" applyAlignment="1">
      <alignment wrapText="1"/>
    </xf>
    <xf numFmtId="0" fontId="69"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xf>
    <xf numFmtId="0" fontId="70" fillId="0" borderId="0" xfId="0" applyFont="1" applyAlignment="1">
      <alignment horizontal="left"/>
    </xf>
    <xf numFmtId="0" fontId="63" fillId="33" borderId="11" xfId="0" applyFont="1" applyFill="1" applyBorder="1" applyAlignment="1" applyProtection="1">
      <alignment/>
      <protection locked="0"/>
    </xf>
    <xf numFmtId="0" fontId="0" fillId="0" borderId="23" xfId="0" applyBorder="1" applyAlignment="1">
      <alignment/>
    </xf>
    <xf numFmtId="0" fontId="0" fillId="0" borderId="24" xfId="0" applyBorder="1" applyAlignment="1">
      <alignment/>
    </xf>
    <xf numFmtId="0" fontId="63" fillId="2" borderId="11" xfId="0" applyFont="1" applyFill="1" applyBorder="1" applyAlignment="1" applyProtection="1">
      <alignment vertical="top" wrapText="1"/>
      <protection/>
    </xf>
    <xf numFmtId="0" fontId="57" fillId="2" borderId="23" xfId="0" applyFont="1" applyFill="1" applyBorder="1" applyAlignment="1">
      <alignment vertical="top" wrapText="1"/>
    </xf>
    <xf numFmtId="0" fontId="57" fillId="2" borderId="24" xfId="0" applyFont="1" applyFill="1" applyBorder="1" applyAlignment="1">
      <alignment vertical="top" wrapText="1"/>
    </xf>
    <xf numFmtId="0" fontId="67" fillId="0" borderId="0" xfId="0" applyFont="1" applyAlignment="1">
      <alignment horizontal="left" wrapText="1"/>
    </xf>
    <xf numFmtId="0" fontId="0" fillId="0" borderId="0" xfId="0" applyAlignment="1">
      <alignment horizontal="left" wrapText="1"/>
    </xf>
    <xf numFmtId="0" fontId="59" fillId="0" borderId="0" xfId="0" applyFont="1" applyAlignment="1">
      <alignment/>
    </xf>
    <xf numFmtId="0" fontId="70" fillId="0" borderId="0" xfId="0" applyFont="1" applyAlignment="1">
      <alignment horizontal="left" vertical="top" wrapText="1"/>
    </xf>
    <xf numFmtId="0" fontId="59" fillId="0" borderId="27" xfId="0" applyFont="1" applyBorder="1" applyAlignment="1" applyProtection="1">
      <alignment/>
      <protection locked="0"/>
    </xf>
    <xf numFmtId="0" fontId="0" fillId="0" borderId="27" xfId="0" applyFont="1" applyBorder="1" applyAlignment="1">
      <alignment/>
    </xf>
    <xf numFmtId="0" fontId="59" fillId="0" borderId="0" xfId="0" applyFont="1" applyAlignment="1" applyProtection="1">
      <alignment/>
      <protection locked="0"/>
    </xf>
    <xf numFmtId="0" fontId="59" fillId="0" borderId="0" xfId="0" applyFont="1" applyBorder="1" applyAlignment="1" applyProtection="1">
      <alignment wrapText="1"/>
      <protection locked="0"/>
    </xf>
    <xf numFmtId="0" fontId="0" fillId="0" borderId="0" xfId="0" applyFont="1" applyAlignment="1" applyProtection="1">
      <alignment/>
      <protection locked="0"/>
    </xf>
    <xf numFmtId="0" fontId="67" fillId="0" borderId="0" xfId="0" applyFont="1" applyFill="1" applyBorder="1" applyAlignment="1" applyProtection="1">
      <alignment/>
      <protection/>
    </xf>
    <xf numFmtId="0" fontId="71" fillId="0" borderId="0" xfId="0" applyFont="1" applyFill="1" applyAlignment="1" applyProtection="1">
      <alignment/>
      <protection/>
    </xf>
    <xf numFmtId="0" fontId="59" fillId="34" borderId="11" xfId="0" applyFont="1" applyFill="1" applyBorder="1" applyAlignment="1" applyProtection="1">
      <alignment horizontal="left" vertical="top" wrapText="1"/>
      <protection locked="0"/>
    </xf>
    <xf numFmtId="0" fontId="59" fillId="34" borderId="24" xfId="0" applyFont="1" applyFill="1" applyBorder="1" applyAlignment="1" applyProtection="1">
      <alignment horizontal="left" vertical="top" wrapText="1"/>
      <protection locked="0"/>
    </xf>
    <xf numFmtId="0" fontId="0" fillId="0" borderId="0" xfId="0" applyFont="1" applyAlignment="1" applyProtection="1">
      <alignment/>
      <protection/>
    </xf>
    <xf numFmtId="0" fontId="51" fillId="0" borderId="0" xfId="53" applyAlignment="1" applyProtection="1">
      <alignment/>
      <protection/>
    </xf>
    <xf numFmtId="0" fontId="59" fillId="0" borderId="11" xfId="0" applyFont="1" applyBorder="1" applyAlignment="1">
      <alignment horizontal="left" vertical="top" wrapText="1"/>
    </xf>
    <xf numFmtId="0" fontId="59" fillId="0" borderId="23" xfId="0" applyFont="1" applyBorder="1" applyAlignment="1">
      <alignment horizontal="left" vertical="top" wrapText="1"/>
    </xf>
    <xf numFmtId="0" fontId="0" fillId="0" borderId="24" xfId="0" applyFont="1" applyBorder="1" applyAlignment="1">
      <alignment horizontal="left" vertical="top" wrapText="1"/>
    </xf>
    <xf numFmtId="0" fontId="63" fillId="0" borderId="11" xfId="0" applyFont="1" applyBorder="1" applyAlignment="1">
      <alignment horizontal="center"/>
    </xf>
    <xf numFmtId="0" fontId="0" fillId="0" borderId="24" xfId="0" applyFont="1" applyBorder="1" applyAlignment="1">
      <alignment horizontal="center"/>
    </xf>
    <xf numFmtId="0" fontId="63" fillId="0" borderId="23" xfId="0" applyFont="1" applyBorder="1" applyAlignment="1">
      <alignment horizontal="center"/>
    </xf>
    <xf numFmtId="0" fontId="57" fillId="0" borderId="24" xfId="0" applyFont="1" applyBorder="1" applyAlignment="1">
      <alignment horizontal="center"/>
    </xf>
    <xf numFmtId="0" fontId="59" fillId="0" borderId="0" xfId="0" applyFont="1" applyAlignment="1">
      <alignment vertical="top" wrapText="1"/>
    </xf>
    <xf numFmtId="0" fontId="63" fillId="0" borderId="11" xfId="0" applyFont="1" applyBorder="1" applyAlignment="1">
      <alignment horizontal="left" vertical="top"/>
    </xf>
    <xf numFmtId="0" fontId="63" fillId="0" borderId="23" xfId="0" applyFont="1" applyBorder="1" applyAlignment="1">
      <alignment horizontal="left" vertical="top"/>
    </xf>
    <xf numFmtId="0" fontId="63" fillId="0" borderId="24" xfId="0" applyFont="1" applyBorder="1" applyAlignment="1">
      <alignment horizontal="left" vertical="top"/>
    </xf>
    <xf numFmtId="0" fontId="63" fillId="0" borderId="11" xfId="0" applyFont="1" applyBorder="1" applyAlignment="1">
      <alignment horizontal="center" wrapText="1"/>
    </xf>
    <xf numFmtId="0" fontId="0" fillId="0" borderId="24" xfId="0" applyFont="1" applyBorder="1" applyAlignment="1">
      <alignment wrapText="1"/>
    </xf>
    <xf numFmtId="0" fontId="59" fillId="0" borderId="23" xfId="0" applyFont="1" applyBorder="1" applyAlignment="1">
      <alignment horizontal="center"/>
    </xf>
    <xf numFmtId="0" fontId="59" fillId="0" borderId="24" xfId="0" applyFont="1" applyBorder="1" applyAlignment="1">
      <alignment horizontal="left" vertical="top" wrapText="1"/>
    </xf>
    <xf numFmtId="0" fontId="63" fillId="0" borderId="11" xfId="0" applyFont="1" applyFill="1" applyBorder="1" applyAlignment="1">
      <alignment/>
    </xf>
    <xf numFmtId="0" fontId="63" fillId="0" borderId="24" xfId="0" applyFont="1" applyFill="1" applyBorder="1" applyAlignment="1">
      <alignment/>
    </xf>
    <xf numFmtId="0" fontId="59" fillId="0" borderId="10" xfId="0" applyFont="1" applyBorder="1" applyAlignment="1">
      <alignment horizontal="left" vertical="top" wrapText="1"/>
    </xf>
    <xf numFmtId="0" fontId="63" fillId="0" borderId="11" xfId="0" applyFont="1" applyBorder="1" applyAlignment="1">
      <alignment/>
    </xf>
    <xf numFmtId="0" fontId="63" fillId="0" borderId="23" xfId="0" applyFont="1" applyBorder="1" applyAlignment="1">
      <alignment/>
    </xf>
    <xf numFmtId="0" fontId="63" fillId="0" borderId="24" xfId="0" applyFont="1" applyBorder="1" applyAlignment="1">
      <alignment/>
    </xf>
    <xf numFmtId="0" fontId="59" fillId="0" borderId="0" xfId="0" applyFont="1" applyBorder="1" applyAlignment="1">
      <alignment/>
    </xf>
    <xf numFmtId="0" fontId="59" fillId="0" borderId="23" xfId="0" applyFont="1" applyBorder="1" applyAlignment="1">
      <alignment/>
    </xf>
    <xf numFmtId="0" fontId="59" fillId="0" borderId="24"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6">
    <dxf>
      <fill>
        <patternFill patternType="darkDown"/>
      </fill>
    </dxf>
    <dxf>
      <fill>
        <patternFill patternType="darkDown"/>
      </fill>
    </dxf>
    <dxf>
      <fill>
        <patternFill patternType="darkDown"/>
      </fill>
    </dxf>
    <dxf>
      <fill>
        <patternFill patternType="darkDown"/>
      </fill>
    </dxf>
    <dxf>
      <fill>
        <patternFill patternType="darkDown">
          <bgColor theme="0"/>
        </patternFill>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bgColor theme="0"/>
        </patternFill>
      </fill>
    </dxf>
    <dxf>
      <fill>
        <patternFill patternType="darkDown"/>
      </fill>
    </dxf>
    <dxf>
      <fill>
        <patternFill patternType="darkDown"/>
      </fill>
    </dxf>
    <dxf>
      <fill>
        <patternFill patternType="darkDown"/>
      </fill>
    </dxf>
    <dxf>
      <fill>
        <patternFill patternType="darkDown"/>
      </fill>
    </dxf>
    <dxf>
      <fill>
        <patternFill patternType="darkDown">
          <bgColor theme="0"/>
        </patternFill>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G%20audit%20tool%20template%20April%202013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uditsupport@nice.org.uk" TargetMode="External" /><Relationship Id="rId2" Type="http://schemas.openxmlformats.org/officeDocument/2006/relationships/hyperlink" Target="http://pathways.nice.org.uk/pathways/dyspepsia-and-gastro-oesophageal-reflux-disease"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qip.org.uk/template-clinical-audit-report/" TargetMode="External" /><Relationship Id="rId2" Type="http://schemas.openxmlformats.org/officeDocument/2006/relationships/hyperlink" Target="http://www.nice.org.uk/guidance/CG184"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B4" sqref="B4"/>
    </sheetView>
  </sheetViews>
  <sheetFormatPr defaultColWidth="9.140625" defaultRowHeight="15"/>
  <cols>
    <col min="1" max="1" width="24.421875" style="0" bestFit="1" customWidth="1"/>
    <col min="2" max="2" width="66.140625" style="31" customWidth="1"/>
    <col min="3" max="3" width="64.421875" style="0" bestFit="1" customWidth="1"/>
    <col min="5" max="5" width="67.57421875" style="0" customWidth="1"/>
  </cols>
  <sheetData>
    <row r="1" spans="1:3" s="29" customFormat="1" ht="15">
      <c r="A1" s="69" t="s">
        <v>61</v>
      </c>
      <c r="B1" s="69" t="s">
        <v>62</v>
      </c>
      <c r="C1" s="69" t="s">
        <v>60</v>
      </c>
    </row>
    <row r="2" spans="1:3" s="103" customFormat="1" ht="45">
      <c r="A2" s="70" t="s">
        <v>107</v>
      </c>
      <c r="B2" s="71" t="s">
        <v>147</v>
      </c>
      <c r="C2" s="70" t="s">
        <v>142</v>
      </c>
    </row>
    <row r="3" spans="1:3" s="62" customFormat="1" ht="15">
      <c r="A3" s="70" t="s">
        <v>106</v>
      </c>
      <c r="B3" s="71" t="s">
        <v>148</v>
      </c>
      <c r="C3" s="70" t="s">
        <v>140</v>
      </c>
    </row>
    <row r="4" spans="1:3" s="103" customFormat="1" ht="30">
      <c r="A4" s="79" t="s">
        <v>139</v>
      </c>
      <c r="B4" s="71" t="s">
        <v>195</v>
      </c>
      <c r="C4" s="70" t="s">
        <v>143</v>
      </c>
    </row>
    <row r="5" spans="1:3" s="29" customFormat="1" ht="15">
      <c r="A5" s="70" t="s">
        <v>55</v>
      </c>
      <c r="B5" s="71">
        <v>184</v>
      </c>
      <c r="C5" s="70" t="s">
        <v>70</v>
      </c>
    </row>
    <row r="6" spans="1:3" s="29" customFormat="1" ht="15">
      <c r="A6" s="70" t="s">
        <v>56</v>
      </c>
      <c r="B6" s="71">
        <v>2014</v>
      </c>
      <c r="C6" s="70" t="s">
        <v>70</v>
      </c>
    </row>
    <row r="7" spans="1:3" ht="15">
      <c r="A7" s="70" t="s">
        <v>49</v>
      </c>
      <c r="B7" s="71" t="s">
        <v>196</v>
      </c>
      <c r="C7" s="70" t="s">
        <v>69</v>
      </c>
    </row>
    <row r="8" spans="1:3" s="62" customFormat="1" ht="90.75" customHeight="1">
      <c r="A8" s="65" t="s">
        <v>77</v>
      </c>
      <c r="B8" s="71" t="s">
        <v>145</v>
      </c>
      <c r="C8" s="79" t="s">
        <v>113</v>
      </c>
    </row>
    <row r="9" spans="1:3" ht="48" customHeight="1">
      <c r="A9" s="70" t="s">
        <v>50</v>
      </c>
      <c r="B9" s="71" t="s">
        <v>198</v>
      </c>
      <c r="C9" s="70" t="s">
        <v>69</v>
      </c>
    </row>
    <row r="10" spans="1:3" ht="45">
      <c r="A10" s="70" t="s">
        <v>51</v>
      </c>
      <c r="B10" s="71" t="s">
        <v>199</v>
      </c>
      <c r="C10" s="70" t="s">
        <v>69</v>
      </c>
    </row>
    <row r="11" spans="1:3" ht="338.25" customHeight="1">
      <c r="A11" s="70" t="s">
        <v>46</v>
      </c>
      <c r="B11" s="71" t="s">
        <v>200</v>
      </c>
      <c r="C11" s="70" t="s">
        <v>69</v>
      </c>
    </row>
    <row r="12" spans="1:3" ht="15">
      <c r="A12" s="70" t="s">
        <v>78</v>
      </c>
      <c r="B12" s="39" t="s">
        <v>194</v>
      </c>
      <c r="C12" s="70" t="s">
        <v>79</v>
      </c>
    </row>
    <row r="13" ht="15.75" thickBot="1"/>
    <row r="14" ht="15">
      <c r="B14" s="72" t="s">
        <v>81</v>
      </c>
    </row>
    <row r="15" s="62" customFormat="1" ht="30">
      <c r="B15" s="73" t="s">
        <v>134</v>
      </c>
    </row>
    <row r="16" ht="30">
      <c r="B16" s="73" t="s">
        <v>82</v>
      </c>
    </row>
    <row r="17" ht="30">
      <c r="B17" s="73" t="s">
        <v>83</v>
      </c>
    </row>
    <row r="18" s="62" customFormat="1" ht="15">
      <c r="B18" s="73" t="s">
        <v>114</v>
      </c>
    </row>
    <row r="19" ht="15.75" thickBot="1">
      <c r="B19" s="74" t="s">
        <v>80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A1"/>
  <sheetViews>
    <sheetView showGridLines="0" tabSelected="1" zoomScale="80" zoomScaleNormal="80" zoomScalePageLayoutView="0" workbookViewId="0" topLeftCell="A1">
      <selection activeCell="M36" sqref="M36"/>
    </sheetView>
  </sheetViews>
  <sheetFormatPr defaultColWidth="9.140625" defaultRowHeight="15"/>
  <cols>
    <col min="1" max="16384" width="9.140625" style="103"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6" r:id="rId3"/>
  <legacyDrawing r:id="rId2"/>
  <oleObjects>
    <oleObject progId="Document" shapeId="95850542" r:id="rId1"/>
  </oleObjects>
</worksheet>
</file>

<file path=xl/worksheets/sheet3.xml><?xml version="1.0" encoding="utf-8"?>
<worksheet xmlns="http://schemas.openxmlformats.org/spreadsheetml/2006/main" xmlns:r="http://schemas.openxmlformats.org/officeDocument/2006/relationships">
  <sheetPr codeName="Sheet11">
    <pageSetUpPr fitToPage="1"/>
  </sheetPr>
  <dimension ref="B1:E33"/>
  <sheetViews>
    <sheetView showGridLines="0" zoomScale="90" zoomScaleNormal="90" zoomScalePageLayoutView="0" workbookViewId="0" topLeftCell="A1">
      <selection activeCell="B1" sqref="B1:C1"/>
    </sheetView>
  </sheetViews>
  <sheetFormatPr defaultColWidth="9.140625" defaultRowHeight="15"/>
  <cols>
    <col min="1" max="1" width="9.140625" style="6" customWidth="1"/>
    <col min="2" max="2" width="23.7109375" style="6" bestFit="1" customWidth="1"/>
    <col min="3" max="3" width="72.28125" style="7" customWidth="1"/>
    <col min="4" max="16384" width="9.140625" style="6" customWidth="1"/>
  </cols>
  <sheetData>
    <row r="1" spans="2:3" s="2" customFormat="1" ht="52.5" customHeight="1">
      <c r="B1" s="148" t="str">
        <f>'Hidden sheet'!B3&amp;": "&amp;'Hidden sheet'!B4&amp;" clinical audit"</f>
        <v>Dyspepsia and GORD: Helicobacter pylori testing and eradication clinical audit</v>
      </c>
      <c r="C1" s="149"/>
    </row>
    <row r="3" spans="2:3" s="4" customFormat="1" ht="38.25" customHeight="1">
      <c r="B3" s="157" t="str">
        <f>"This clinical audit tool can be used to carry out a clinical audit project that aims "&amp;('Hidden sheet'!B7)&amp;"."</f>
        <v>This clinical audit tool can be used to carry out a clinical audit project that aims to improve the testing and treatment of Helicobacter pylori (H pylori).</v>
      </c>
      <c r="C3" s="157"/>
    </row>
    <row r="4" spans="2:3" s="4" customFormat="1" ht="14.25">
      <c r="B4" s="10"/>
      <c r="C4" s="12"/>
    </row>
    <row r="5" spans="2:3" s="4" customFormat="1" ht="30" customHeight="1">
      <c r="B5" s="157" t="str">
        <f>"The tool includes:
• clinical audit standards based on the NICE guideline for "&amp;'Hidden sheet'!B3</f>
        <v>The tool includes:
• clinical audit standards based on the NICE guideline for Dyspepsia and GORD</v>
      </c>
      <c r="C5" s="157"/>
    </row>
    <row r="6" spans="2:3" s="4" customFormat="1" ht="73.5" customHeight="1">
      <c r="B6" s="158" t="s">
        <v>123</v>
      </c>
      <c r="C6" s="158"/>
    </row>
    <row r="7" spans="2:3" s="4" customFormat="1" ht="15" customHeight="1">
      <c r="B7" s="158"/>
      <c r="C7" s="158"/>
    </row>
    <row r="8" spans="2:3" s="4" customFormat="1" ht="45" customHeight="1">
      <c r="B8" s="159" t="s">
        <v>127</v>
      </c>
      <c r="C8" s="159"/>
    </row>
    <row r="9" spans="2:3" s="4" customFormat="1" ht="28.5" customHeight="1">
      <c r="B9" s="160" t="s">
        <v>197</v>
      </c>
      <c r="C9" s="160"/>
    </row>
    <row r="10" spans="2:3" s="4" customFormat="1" ht="15" customHeight="1">
      <c r="B10" s="158"/>
      <c r="C10" s="158"/>
    </row>
    <row r="11" spans="2:5" s="9" customFormat="1" ht="18">
      <c r="B11" s="150" t="s">
        <v>108</v>
      </c>
      <c r="C11" s="150"/>
      <c r="E11" s="25"/>
    </row>
    <row r="12" s="4" customFormat="1" ht="15" thickBot="1">
      <c r="C12" s="8"/>
    </row>
    <row r="13" spans="2:3" s="4" customFormat="1" ht="60" customHeight="1" thickBot="1">
      <c r="B13" s="23" t="s">
        <v>59</v>
      </c>
      <c r="C13" s="22" t="str">
        <f>"The audit could be carried out in the following services: "&amp;'Hidden sheet'!B9&amp;"."</f>
        <v>The audit could be carried out in the following services: all settings in which care is delivered for NHS patients.</v>
      </c>
    </row>
    <row r="14" spans="2:3" s="4" customFormat="1" ht="60" customHeight="1" thickBot="1">
      <c r="B14" s="23" t="s">
        <v>58</v>
      </c>
      <c r="C14" s="22" t="str">
        <f>"The audit should involve clinical and non-clinical stakeholders, who may include "&amp;'Hidden sheet'!B10&amp;"."</f>
        <v>The audit should involve clinical and non-clinical stakeholders, who may include clinicians treating people with dyspepsia, symptoms suggestive of GORD, or both; clinical audit professionals; and people with dyspepsia and/or symptoms suggestive of GORD.</v>
      </c>
    </row>
    <row r="15" spans="2:3" s="4" customFormat="1" ht="328.5" thickBot="1">
      <c r="B15" s="23" t="s">
        <v>13</v>
      </c>
      <c r="C15" s="18" t="str">
        <f>"The audit sample should include "&amp;'Hidden sheet'!B11&amp;"."</f>
        <v>The audit sample should include adults (18 years and older) with symptoms of dyspepsia and/or symptoms suggestive of GORD, who have been tested for H pylori.
The following ICD 10 codes may be helpful for identifying your sample:
K20   Oesophagitis
K21   GORD
K25   Gastric ulcer
K26   Duodenal ulcer
K27   Peptic ulcer (site unspecified)
K30   Dyspepsia
B98.0   Helicobacter pylori as cause of diseases classified to other chapters.
The following Read codes may be helpful for identifying your sample:
J10..    GORD
J11..    Gastric ulcer
J12..    Duodenal ulcer
J13z.   Peptic ulcer
J15..    Gastritis
J151    Chronic gastritis
J1544  Helicobater gastritis
J16y4  Dyspepsia.</v>
      </c>
    </row>
    <row r="16" spans="2:3" s="4" customFormat="1" ht="14.25">
      <c r="B16" s="10"/>
      <c r="C16" s="11"/>
    </row>
    <row r="17" spans="2:3" s="4" customFormat="1" ht="18">
      <c r="B17" s="150" t="s">
        <v>75</v>
      </c>
      <c r="C17" s="150"/>
    </row>
    <row r="18" s="4" customFormat="1" ht="15" thickBot="1"/>
    <row r="19" spans="2:3" s="4" customFormat="1" ht="100.5" thickBot="1">
      <c r="B19" s="23" t="s">
        <v>111</v>
      </c>
      <c r="C19" s="18" t="s">
        <v>135</v>
      </c>
    </row>
    <row r="20" spans="2:3" s="4" customFormat="1" ht="30" customHeight="1" thickBot="1">
      <c r="B20" s="24" t="s">
        <v>116</v>
      </c>
      <c r="C20" s="20" t="s">
        <v>112</v>
      </c>
    </row>
    <row r="21" spans="2:3" s="4" customFormat="1" ht="30" customHeight="1" thickBot="1">
      <c r="B21" s="24" t="s">
        <v>117</v>
      </c>
      <c r="C21" s="20" t="s">
        <v>136</v>
      </c>
    </row>
    <row r="22" spans="2:3" s="4" customFormat="1" ht="57.75" thickBot="1">
      <c r="B22" s="24" t="s">
        <v>118</v>
      </c>
      <c r="C22" s="20" t="s">
        <v>137</v>
      </c>
    </row>
    <row r="23" spans="2:3" s="4" customFormat="1" ht="57.75" thickBot="1">
      <c r="B23" s="24" t="s">
        <v>42</v>
      </c>
      <c r="C23" s="18" t="s">
        <v>138</v>
      </c>
    </row>
    <row r="24" spans="2:3" s="4" customFormat="1" ht="30" customHeight="1" thickBot="1">
      <c r="B24" s="23" t="s">
        <v>110</v>
      </c>
      <c r="C24" s="21" t="s">
        <v>109</v>
      </c>
    </row>
    <row r="25" spans="2:3" s="4" customFormat="1" ht="14.25">
      <c r="B25" s="10"/>
      <c r="C25" s="12"/>
    </row>
    <row r="26" spans="2:3" s="4" customFormat="1" ht="30" customHeight="1">
      <c r="B26" s="153" t="s">
        <v>76</v>
      </c>
      <c r="C26" s="154"/>
    </row>
    <row r="27" spans="2:3" s="4" customFormat="1" ht="15" customHeight="1">
      <c r="B27" s="153" t="str">
        <f>'Hidden sheet'!B12</f>
        <v>Magnus Hird, Pharmacist Practitioner, Bloomfield Medical Centre</v>
      </c>
      <c r="C27" s="154"/>
    </row>
    <row r="28" spans="2:3" s="4" customFormat="1" ht="14.25">
      <c r="B28" s="10"/>
      <c r="C28" s="12"/>
    </row>
    <row r="29" spans="2:3" ht="30" customHeight="1">
      <c r="B29" s="151" t="s">
        <v>144</v>
      </c>
      <c r="C29" s="152"/>
    </row>
    <row r="30" spans="2:3" ht="15" customHeight="1">
      <c r="B30" s="106"/>
      <c r="C30" s="107"/>
    </row>
    <row r="31" spans="2:3" ht="72" customHeight="1">
      <c r="B31" s="155" t="s">
        <v>129</v>
      </c>
      <c r="C31" s="156"/>
    </row>
    <row r="32" ht="15">
      <c r="B32" s="2"/>
    </row>
    <row r="33" spans="2:3" ht="45" customHeight="1">
      <c r="B33" s="155" t="str">
        <f>"© National Institute for Health and Care Excellence, "&amp;'Hidden sheet'!B6&amp;". All rights reserved. This material may be freely reproduced for educational and not-for-profit purposes. No reproduction by or for commercial organisations, or for commercial purposes, is allowed without the express written permission of NICE."</f>
        <v>© National Institute for Health and Care Excellence, 2014. All rights reserved. This material may be freely reproduced for educational and not-for-profit purposes. No reproduction by or for commercial organisations, or for commercial purposes, is allowed without the express written permission of NICE.</v>
      </c>
      <c r="C33" s="156"/>
    </row>
  </sheetData>
  <sheetProtection formatCells="0" formatRows="0" insertRows="0" deleteRows="0"/>
  <mergeCells count="15">
    <mergeCell ref="B8:C8"/>
    <mergeCell ref="B10:C10"/>
    <mergeCell ref="B5:C5"/>
    <mergeCell ref="B31:C31"/>
    <mergeCell ref="B9:C9"/>
    <mergeCell ref="B1:C1"/>
    <mergeCell ref="B17:C17"/>
    <mergeCell ref="B29:C29"/>
    <mergeCell ref="B26:C26"/>
    <mergeCell ref="B27:C27"/>
    <mergeCell ref="B33:C33"/>
    <mergeCell ref="B3:C3"/>
    <mergeCell ref="B6:C6"/>
    <mergeCell ref="B11:C11"/>
    <mergeCell ref="B7:C7"/>
  </mergeCells>
  <hyperlinks>
    <hyperlink ref="C24" r:id="rId1" display="To ask a question about this clinical audit tool, or to provide feedback to help inform the development of future tools, please email auditsupport@nice.org.uk."/>
    <hyperlink ref="B9:C9" r:id="rId2" display="Other relevant NICE guidance can be found through NICE Pathways."/>
  </hyperlinks>
  <printOptions/>
  <pageMargins left="0.7086614173228347" right="0.7086614173228347" top="0.7480314960629921" bottom="0.7480314960629921" header="0.31496062992125984" footer="0.31496062992125984"/>
  <pageSetup fitToHeight="2" fitToWidth="1" horizontalDpi="600" verticalDpi="600" orientation="portrait" paperSize="9" scale="90" r:id="rId3"/>
</worksheet>
</file>

<file path=xl/worksheets/sheet4.xml><?xml version="1.0" encoding="utf-8"?>
<worksheet xmlns="http://schemas.openxmlformats.org/spreadsheetml/2006/main" xmlns:r="http://schemas.openxmlformats.org/officeDocument/2006/relationships">
  <sheetPr codeName="Sheet3">
    <pageSetUpPr fitToPage="1"/>
  </sheetPr>
  <dimension ref="B1:F30"/>
  <sheetViews>
    <sheetView showGridLines="0" zoomScale="90" zoomScaleNormal="90" zoomScalePageLayoutView="0" workbookViewId="0" topLeftCell="A1">
      <selection activeCell="A1" sqref="A1"/>
    </sheetView>
  </sheetViews>
  <sheetFormatPr defaultColWidth="9.140625" defaultRowHeight="15"/>
  <cols>
    <col min="1" max="1" width="9.140625" style="2" customWidth="1"/>
    <col min="2" max="2" width="52.57421875" style="2" customWidth="1"/>
    <col min="3" max="3" width="22.140625" style="2" customWidth="1"/>
    <col min="4" max="4" width="35.7109375" style="2" customWidth="1"/>
    <col min="5" max="5" width="40.7109375" style="2" customWidth="1"/>
    <col min="6" max="6" width="18.8515625" style="2" customWidth="1"/>
    <col min="7" max="16384" width="9.140625" style="2" customWidth="1"/>
  </cols>
  <sheetData>
    <row r="1" spans="2:6" ht="46.5" customHeight="1">
      <c r="B1" s="161" t="str">
        <f>"Standards for "&amp;Introduction!B1</f>
        <v>Standards for Dyspepsia and GORD: Helicobacter pylori testing and eradication clinical audit</v>
      </c>
      <c r="C1" s="162"/>
      <c r="D1" s="162"/>
      <c r="E1" s="162"/>
      <c r="F1" s="162"/>
    </row>
    <row r="2" s="4" customFormat="1" ht="14.25"/>
    <row r="3" spans="2:6" s="4" customFormat="1" ht="15" customHeight="1">
      <c r="B3" s="163" t="str">
        <f>"The audit standards are based on the NICE guideline for "&amp;'Hidden sheet'!B3&amp;"."</f>
        <v>The audit standards are based on the NICE guideline for Dyspepsia and GORD.</v>
      </c>
      <c r="C3" s="163"/>
      <c r="D3" s="163"/>
      <c r="E3" s="163"/>
      <c r="F3" s="164"/>
    </row>
    <row r="4" spans="2:6" s="4" customFormat="1" ht="15">
      <c r="B4" s="166"/>
      <c r="C4" s="164"/>
      <c r="D4" s="164"/>
      <c r="E4" s="164"/>
      <c r="F4" s="164"/>
    </row>
    <row r="5" spans="2:6" s="4" customFormat="1" ht="45" customHeight="1">
      <c r="B5" s="167" t="str">
        <f>'Hidden sheet'!B8</f>
        <v>When deciding on the areas of the NICE clinical guideline and recommendations to be included in the audit tool, we considered the clinical issues covered by the guideline, key priorities for implementation and potential challenges of collecting data for a retrospective audit of patient records. There may be other recommendations in the guideline suitable for developing audit standards or an audit project.</v>
      </c>
      <c r="C5" s="156"/>
      <c r="D5" s="156"/>
      <c r="E5" s="156"/>
      <c r="F5" s="156"/>
    </row>
    <row r="6" spans="2:6" s="4" customFormat="1" ht="15">
      <c r="B6" s="166"/>
      <c r="C6" s="164"/>
      <c r="D6" s="164"/>
      <c r="E6" s="164"/>
      <c r="F6" s="164"/>
    </row>
    <row r="7" spans="2:6" s="4" customFormat="1" ht="27.75" customHeight="1">
      <c r="B7" s="163" t="s">
        <v>124</v>
      </c>
      <c r="C7" s="163"/>
      <c r="D7" s="163"/>
      <c r="E7" s="163"/>
      <c r="F7" s="164"/>
    </row>
    <row r="8" spans="2:6" s="4" customFormat="1" ht="15">
      <c r="B8" s="166"/>
      <c r="C8" s="164"/>
      <c r="D8" s="164"/>
      <c r="E8" s="164"/>
      <c r="F8" s="164"/>
    </row>
    <row r="9" spans="2:6" s="4" customFormat="1" ht="15" customHeight="1">
      <c r="B9" s="165" t="s">
        <v>146</v>
      </c>
      <c r="C9" s="165"/>
      <c r="D9" s="165"/>
      <c r="E9" s="165"/>
      <c r="F9" s="164"/>
    </row>
    <row r="10" spans="2:6" s="4" customFormat="1" ht="15.75" thickBot="1">
      <c r="B10" s="171"/>
      <c r="C10" s="172"/>
      <c r="D10" s="172"/>
      <c r="E10" s="172"/>
      <c r="F10" s="172"/>
    </row>
    <row r="11" spans="2:6" s="133" customFormat="1" ht="38.25" customHeight="1" thickBot="1">
      <c r="B11" s="132" t="s">
        <v>71</v>
      </c>
      <c r="C11" s="23" t="s">
        <v>16</v>
      </c>
      <c r="D11" s="132" t="s">
        <v>0</v>
      </c>
      <c r="E11" s="132" t="s">
        <v>17</v>
      </c>
      <c r="F11" s="23" t="s">
        <v>67</v>
      </c>
    </row>
    <row r="12" spans="2:6" ht="15.75" thickBot="1">
      <c r="B12" s="168" t="s">
        <v>190</v>
      </c>
      <c r="C12" s="169"/>
      <c r="D12" s="169"/>
      <c r="E12" s="169"/>
      <c r="F12" s="170"/>
    </row>
    <row r="13" spans="2:6" ht="44.25" customHeight="1" thickBot="1">
      <c r="B13" s="22" t="s">
        <v>152</v>
      </c>
      <c r="C13" s="34" t="s">
        <v>156</v>
      </c>
      <c r="D13" s="35" t="s">
        <v>149</v>
      </c>
      <c r="E13" s="22" t="s">
        <v>167</v>
      </c>
      <c r="F13" s="142">
        <v>1</v>
      </c>
    </row>
    <row r="14" spans="2:6" ht="29.25" thickBot="1">
      <c r="B14" s="22" t="s">
        <v>153</v>
      </c>
      <c r="C14" s="34" t="s">
        <v>157</v>
      </c>
      <c r="D14" s="35" t="s">
        <v>149</v>
      </c>
      <c r="E14" s="22" t="s">
        <v>149</v>
      </c>
      <c r="F14" s="142">
        <v>2</v>
      </c>
    </row>
    <row r="15" spans="2:6" ht="36.75" customHeight="1" thickBot="1">
      <c r="B15" s="22" t="s">
        <v>154</v>
      </c>
      <c r="C15" s="34" t="s">
        <v>158</v>
      </c>
      <c r="D15" s="35" t="s">
        <v>149</v>
      </c>
      <c r="E15" s="22" t="s">
        <v>149</v>
      </c>
      <c r="F15" s="142">
        <v>3</v>
      </c>
    </row>
    <row r="16" spans="2:6" ht="15.75" thickBot="1">
      <c r="B16" s="168" t="s">
        <v>150</v>
      </c>
      <c r="C16" s="169"/>
      <c r="D16" s="169"/>
      <c r="E16" s="169"/>
      <c r="F16" s="170"/>
    </row>
    <row r="17" spans="2:6" ht="86.25" thickBot="1">
      <c r="B17" s="22" t="s">
        <v>201</v>
      </c>
      <c r="C17" s="34" t="s">
        <v>159</v>
      </c>
      <c r="D17" s="35" t="s">
        <v>192</v>
      </c>
      <c r="E17" s="22" t="s">
        <v>204</v>
      </c>
      <c r="F17" s="142" t="s">
        <v>205</v>
      </c>
    </row>
    <row r="18" spans="2:6" ht="90" customHeight="1" thickBot="1">
      <c r="B18" s="22" t="s">
        <v>202</v>
      </c>
      <c r="C18" s="34" t="s">
        <v>160</v>
      </c>
      <c r="D18" s="35" t="s">
        <v>149</v>
      </c>
      <c r="E18" s="22" t="s">
        <v>204</v>
      </c>
      <c r="F18" s="142" t="s">
        <v>232</v>
      </c>
    </row>
    <row r="19" spans="2:6" ht="111.75" customHeight="1" thickBot="1">
      <c r="B19" s="22" t="s">
        <v>203</v>
      </c>
      <c r="C19" s="34" t="s">
        <v>161</v>
      </c>
      <c r="D19" s="35" t="s">
        <v>149</v>
      </c>
      <c r="E19" s="22" t="s">
        <v>204</v>
      </c>
      <c r="F19" s="142" t="s">
        <v>206</v>
      </c>
    </row>
    <row r="20" spans="2:6" ht="15.75" thickBot="1">
      <c r="B20" s="168" t="s">
        <v>151</v>
      </c>
      <c r="C20" s="169"/>
      <c r="D20" s="169"/>
      <c r="E20" s="169"/>
      <c r="F20" s="170"/>
    </row>
    <row r="21" spans="2:6" ht="102.75" thickBot="1">
      <c r="B21" s="22" t="s">
        <v>207</v>
      </c>
      <c r="C21" s="34" t="s">
        <v>162</v>
      </c>
      <c r="D21" s="35" t="s">
        <v>149</v>
      </c>
      <c r="E21" s="22" t="s">
        <v>204</v>
      </c>
      <c r="F21" s="142" t="s">
        <v>210</v>
      </c>
    </row>
    <row r="22" spans="2:6" ht="88.5" thickBot="1">
      <c r="B22" s="22" t="s">
        <v>208</v>
      </c>
      <c r="C22" s="34" t="s">
        <v>163</v>
      </c>
      <c r="D22" s="35" t="s">
        <v>149</v>
      </c>
      <c r="E22" s="22" t="s">
        <v>204</v>
      </c>
      <c r="F22" s="142" t="s">
        <v>211</v>
      </c>
    </row>
    <row r="23" spans="2:6" ht="94.5" customHeight="1" thickBot="1">
      <c r="B23" s="131" t="s">
        <v>224</v>
      </c>
      <c r="C23" s="34" t="s">
        <v>164</v>
      </c>
      <c r="D23" s="35" t="s">
        <v>149</v>
      </c>
      <c r="E23" s="22" t="s">
        <v>204</v>
      </c>
      <c r="F23" s="142" t="s">
        <v>212</v>
      </c>
    </row>
    <row r="24" spans="2:6" ht="89.25" thickBot="1">
      <c r="B24" s="131" t="s">
        <v>209</v>
      </c>
      <c r="C24" s="34" t="s">
        <v>165</v>
      </c>
      <c r="D24" s="35" t="s">
        <v>149</v>
      </c>
      <c r="E24" s="22" t="s">
        <v>204</v>
      </c>
      <c r="F24" s="142" t="s">
        <v>231</v>
      </c>
    </row>
    <row r="25" spans="2:6" ht="43.5" thickBot="1">
      <c r="B25" s="22" t="s">
        <v>155</v>
      </c>
      <c r="C25" s="34" t="s">
        <v>166</v>
      </c>
      <c r="D25" s="35" t="s">
        <v>149</v>
      </c>
      <c r="E25" s="22" t="s">
        <v>149</v>
      </c>
      <c r="F25" s="142">
        <v>38</v>
      </c>
    </row>
    <row r="26" spans="2:6" ht="43.5" thickBot="1">
      <c r="B26" s="19" t="s">
        <v>22</v>
      </c>
      <c r="C26" s="26" t="s">
        <v>122</v>
      </c>
      <c r="D26" s="19" t="s">
        <v>23</v>
      </c>
      <c r="E26" s="19" t="s">
        <v>24</v>
      </c>
      <c r="F26" s="26" t="s">
        <v>63</v>
      </c>
    </row>
    <row r="27" spans="2:6" ht="43.5" thickBot="1">
      <c r="B27" s="19" t="s">
        <v>22</v>
      </c>
      <c r="C27" s="26" t="s">
        <v>122</v>
      </c>
      <c r="D27" s="19" t="s">
        <v>23</v>
      </c>
      <c r="E27" s="19" t="s">
        <v>24</v>
      </c>
      <c r="F27" s="26" t="s">
        <v>63</v>
      </c>
    </row>
    <row r="28" spans="2:6" ht="43.5" thickBot="1">
      <c r="B28" s="19" t="s">
        <v>22</v>
      </c>
      <c r="C28" s="26" t="s">
        <v>122</v>
      </c>
      <c r="D28" s="19" t="s">
        <v>23</v>
      </c>
      <c r="E28" s="19" t="s">
        <v>24</v>
      </c>
      <c r="F28" s="26" t="s">
        <v>63</v>
      </c>
    </row>
    <row r="29" spans="2:6" ht="43.5" thickBot="1">
      <c r="B29" s="19" t="s">
        <v>22</v>
      </c>
      <c r="C29" s="26" t="s">
        <v>122</v>
      </c>
      <c r="D29" s="19" t="s">
        <v>23</v>
      </c>
      <c r="E29" s="19" t="s">
        <v>24</v>
      </c>
      <c r="F29" s="26" t="s">
        <v>63</v>
      </c>
    </row>
    <row r="30" spans="2:6" ht="43.5" thickBot="1">
      <c r="B30" s="19" t="s">
        <v>22</v>
      </c>
      <c r="C30" s="26" t="s">
        <v>122</v>
      </c>
      <c r="D30" s="19" t="s">
        <v>23</v>
      </c>
      <c r="E30" s="19" t="s">
        <v>24</v>
      </c>
      <c r="F30" s="26" t="s">
        <v>63</v>
      </c>
    </row>
  </sheetData>
  <sheetProtection formatCells="0" formatColumns="0" formatRows="0" insertColumns="0" insertRows="0" deleteColumns="0" deleteRows="0" sort="0" autoFilter="0"/>
  <mergeCells count="12">
    <mergeCell ref="B12:F12"/>
    <mergeCell ref="B16:F16"/>
    <mergeCell ref="B20:F20"/>
    <mergeCell ref="B10:F10"/>
    <mergeCell ref="B8:F8"/>
    <mergeCell ref="B1:F1"/>
    <mergeCell ref="B3:F3"/>
    <mergeCell ref="B7:F7"/>
    <mergeCell ref="B9:F9"/>
    <mergeCell ref="B4:F4"/>
    <mergeCell ref="B5:F5"/>
    <mergeCell ref="B6:F6"/>
  </mergeCells>
  <hyperlinks>
    <hyperlink ref="F13" location="'Data collection'!F6" display="'Data collection'!F6"/>
    <hyperlink ref="F14" location="'Data collection'!G6" display="'Data collection'!G6"/>
    <hyperlink ref="F15" location="'Data collection'!H6" display="'Data collection'!H6"/>
    <hyperlink ref="F17" location="'Data collection'!I5" display="4 – 8"/>
    <hyperlink ref="F18" location="'Data collection'!P5" display="9 – 11, 13"/>
    <hyperlink ref="F19" location="'Data collection'!P5" display="9 – 12, 14 – 16"/>
    <hyperlink ref="F21" location="'Data collection'!AA5" display="17 – 22"/>
    <hyperlink ref="F22" location="'Data collection'!AI5" display="23 – 28"/>
    <hyperlink ref="F23" location="'Data collection'!AQ5" display="29 – 35"/>
    <hyperlink ref="F25" location="'Data collection'!BC5" display="'Data collection'!BC5"/>
    <hyperlink ref="F24" location="'Data collection'!AQ5" display="29 – 34, 36, 37"/>
  </hyperlinks>
  <printOptions/>
  <pageMargins left="0.7086614173228347" right="0.7086614173228347" top="0.7480314960629921" bottom="0.7480314960629921" header="0.31496062992125984" footer="0.31496062992125984"/>
  <pageSetup fitToHeight="4"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codeName="Sheet4">
    <pageSetUpPr fitToPage="1"/>
  </sheetPr>
  <dimension ref="B1:BK89"/>
  <sheetViews>
    <sheetView showGridLines="0" view="pageBreakPreview" zoomScale="80" zoomScaleNormal="80" zoomScaleSheetLayoutView="80" zoomScalePageLayoutView="0" workbookViewId="0" topLeftCell="A1">
      <pane xSplit="5" ySplit="7" topLeftCell="F8" activePane="bottomRight" state="frozen"/>
      <selection pane="topLeft" activeCell="A1" sqref="A1"/>
      <selection pane="topRight" activeCell="E1" sqref="E1"/>
      <selection pane="bottomLeft" activeCell="A6" sqref="A6"/>
      <selection pane="bottomRight" activeCell="A8" sqref="A8"/>
    </sheetView>
  </sheetViews>
  <sheetFormatPr defaultColWidth="9.140625" defaultRowHeight="15"/>
  <cols>
    <col min="1" max="1" width="9.140625" style="2" customWidth="1"/>
    <col min="2" max="2" width="13.421875" style="43" customWidth="1"/>
    <col min="3" max="3" width="9.140625" style="13" customWidth="1"/>
    <col min="4" max="4" width="15.00390625" style="2" customWidth="1"/>
    <col min="5" max="5" width="29.7109375" style="2" customWidth="1"/>
    <col min="6" max="6" width="25.7109375" style="2" customWidth="1"/>
    <col min="7" max="13" width="22.7109375" style="2" customWidth="1"/>
    <col min="14" max="14" width="25.57421875" style="2" customWidth="1"/>
    <col min="15" max="18" width="22.7109375" style="2" customWidth="1"/>
    <col min="19" max="19" width="17.00390625" style="2" customWidth="1"/>
    <col min="20" max="21" width="22.7109375" style="2" customWidth="1"/>
    <col min="22" max="24" width="21.8515625" style="2" customWidth="1"/>
    <col min="25" max="25" width="17.57421875" style="2" customWidth="1"/>
    <col min="26" max="26" width="18.57421875" style="2" customWidth="1"/>
    <col min="27" max="30" width="22.7109375" style="2" customWidth="1"/>
    <col min="31" max="31" width="17.00390625" style="2" customWidth="1"/>
    <col min="32" max="32" width="22.7109375" style="2" customWidth="1"/>
    <col min="33" max="33" width="24.00390625" style="2" customWidth="1"/>
    <col min="34" max="38" width="22.7109375" style="2" customWidth="1"/>
    <col min="39" max="39" width="17.00390625" style="2" customWidth="1"/>
    <col min="40" max="47" width="22.7109375" style="2" customWidth="1"/>
    <col min="48" max="48" width="17.00390625" style="2" customWidth="1"/>
    <col min="49" max="49" width="21.8515625" style="2" customWidth="1"/>
    <col min="50" max="50" width="22.7109375" style="2" customWidth="1"/>
    <col min="51" max="52" width="21.8515625" style="2" customWidth="1"/>
    <col min="53" max="53" width="17.57421875" style="2" customWidth="1"/>
    <col min="54" max="54" width="18.57421875" style="2" customWidth="1"/>
    <col min="55" max="55" width="25.00390625" style="2" customWidth="1"/>
    <col min="56" max="60" width="22.7109375" style="2" customWidth="1"/>
    <col min="61" max="61" width="9.140625" style="2" customWidth="1"/>
    <col min="62" max="62" width="31.00390625" style="2" bestFit="1" customWidth="1"/>
    <col min="63" max="16384" width="9.140625" style="2" customWidth="1"/>
  </cols>
  <sheetData>
    <row r="1" spans="2:54" s="1" customFormat="1" ht="30" customHeight="1">
      <c r="B1" s="112" t="str">
        <f>"Data collection for "&amp;Introduction!B1</f>
        <v>Data collection for Dyspepsia and GORD: Helicobacter pylori testing and eradication clinical audit</v>
      </c>
      <c r="C1" s="112"/>
      <c r="D1" s="112"/>
      <c r="E1" s="112"/>
      <c r="F1" s="112"/>
      <c r="G1" s="112"/>
      <c r="H1" s="112"/>
      <c r="I1" s="112"/>
      <c r="J1" s="112"/>
      <c r="K1" s="112"/>
      <c r="L1" s="112"/>
      <c r="M1" s="111"/>
      <c r="N1" s="111"/>
      <c r="O1" s="112"/>
      <c r="P1" s="112"/>
      <c r="Q1" s="112"/>
      <c r="R1" s="112"/>
      <c r="S1" s="112"/>
      <c r="T1" s="114"/>
      <c r="U1" s="114"/>
      <c r="V1" s="114"/>
      <c r="W1" s="114"/>
      <c r="X1" s="114"/>
      <c r="Y1" s="112"/>
      <c r="Z1" s="112"/>
      <c r="AA1" s="111"/>
      <c r="AB1" s="111"/>
      <c r="AC1" s="112"/>
      <c r="AD1" s="112"/>
      <c r="AE1" s="112"/>
      <c r="AF1" s="114"/>
      <c r="AG1" s="114"/>
      <c r="AH1" s="112"/>
      <c r="AI1" s="114"/>
      <c r="AJ1" s="114"/>
      <c r="AK1" s="112"/>
      <c r="AL1" s="112"/>
      <c r="AM1" s="112"/>
      <c r="AN1" s="111"/>
      <c r="AO1" s="111"/>
      <c r="AP1" s="112"/>
      <c r="AS1" s="112"/>
      <c r="AT1" s="112"/>
      <c r="AU1" s="112"/>
      <c r="AV1" s="112"/>
      <c r="AW1" s="114"/>
      <c r="AX1" s="114"/>
      <c r="AY1" s="114"/>
      <c r="AZ1" s="114"/>
      <c r="BA1" s="112"/>
      <c r="BB1" s="112"/>
    </row>
    <row r="2" spans="2:11" s="1" customFormat="1" ht="35.25" customHeight="1">
      <c r="B2" s="182" t="s">
        <v>191</v>
      </c>
      <c r="C2" s="182"/>
      <c r="D2" s="182"/>
      <c r="E2" s="182"/>
      <c r="F2" s="182"/>
      <c r="G2" s="182"/>
      <c r="H2" s="182"/>
      <c r="I2" s="182"/>
      <c r="J2" s="182"/>
      <c r="K2" s="182"/>
    </row>
    <row r="3" spans="2:54" s="1" customFormat="1" ht="15" customHeight="1" thickBot="1">
      <c r="B3" s="181"/>
      <c r="C3" s="181"/>
      <c r="D3" s="181"/>
      <c r="E3" s="181"/>
      <c r="F3" s="181"/>
      <c r="G3" s="181"/>
      <c r="H3" s="181"/>
      <c r="I3" s="181"/>
      <c r="J3" s="113"/>
      <c r="K3" s="113"/>
      <c r="L3" s="113"/>
      <c r="O3" s="113"/>
      <c r="P3" s="115"/>
      <c r="Q3" s="115"/>
      <c r="R3" s="115"/>
      <c r="S3" s="115"/>
      <c r="Y3" s="115"/>
      <c r="Z3" s="115"/>
      <c r="AC3" s="115"/>
      <c r="AD3" s="115"/>
      <c r="AE3" s="115"/>
      <c r="AH3" s="115"/>
      <c r="AK3" s="115"/>
      <c r="AL3" s="115"/>
      <c r="AM3" s="115"/>
      <c r="AP3" s="115"/>
      <c r="AS3" s="115"/>
      <c r="AT3" s="115"/>
      <c r="AU3" s="115"/>
      <c r="AV3" s="115"/>
      <c r="BA3" s="115"/>
      <c r="BB3" s="115"/>
    </row>
    <row r="4" spans="2:60" s="45" customFormat="1" ht="15.75" customHeight="1" thickBot="1">
      <c r="B4" s="58"/>
      <c r="C4" s="59"/>
      <c r="D4" s="58"/>
      <c r="E4" s="60"/>
      <c r="F4" s="175" t="s">
        <v>190</v>
      </c>
      <c r="G4" s="176"/>
      <c r="H4" s="177"/>
      <c r="I4" s="178" t="s">
        <v>150</v>
      </c>
      <c r="J4" s="179"/>
      <c r="K4" s="179"/>
      <c r="L4" s="179"/>
      <c r="M4" s="179"/>
      <c r="N4" s="179"/>
      <c r="O4" s="179"/>
      <c r="P4" s="179"/>
      <c r="Q4" s="179"/>
      <c r="R4" s="179"/>
      <c r="S4" s="179"/>
      <c r="T4" s="179"/>
      <c r="U4" s="179"/>
      <c r="V4" s="179"/>
      <c r="W4" s="179"/>
      <c r="X4" s="179"/>
      <c r="Y4" s="179"/>
      <c r="Z4" s="180"/>
      <c r="AA4" s="175" t="s">
        <v>151</v>
      </c>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7"/>
      <c r="BD4" s="123"/>
      <c r="BE4" s="123"/>
      <c r="BF4" s="123"/>
      <c r="BG4" s="123"/>
      <c r="BH4" s="123"/>
    </row>
    <row r="5" spans="2:60" s="45" customFormat="1" ht="13.5" thickBot="1">
      <c r="B5" s="58"/>
      <c r="C5" s="59"/>
      <c r="D5" s="58"/>
      <c r="E5" s="60"/>
      <c r="F5" s="41">
        <v>1</v>
      </c>
      <c r="G5" s="116">
        <v>2</v>
      </c>
      <c r="H5" s="41">
        <v>3</v>
      </c>
      <c r="I5" s="116">
        <v>4</v>
      </c>
      <c r="J5" s="116">
        <v>5</v>
      </c>
      <c r="K5" s="116">
        <v>6</v>
      </c>
      <c r="L5" s="116"/>
      <c r="M5" s="116">
        <v>7</v>
      </c>
      <c r="N5" s="116">
        <v>8</v>
      </c>
      <c r="O5" s="116"/>
      <c r="P5" s="41">
        <v>9</v>
      </c>
      <c r="Q5" s="41">
        <v>10</v>
      </c>
      <c r="R5" s="41">
        <v>11</v>
      </c>
      <c r="S5" s="41"/>
      <c r="T5" s="41">
        <v>12</v>
      </c>
      <c r="U5" s="41">
        <v>13</v>
      </c>
      <c r="V5" s="41">
        <v>14</v>
      </c>
      <c r="W5" s="41">
        <v>15</v>
      </c>
      <c r="X5" s="41">
        <v>16</v>
      </c>
      <c r="Y5" s="41"/>
      <c r="Z5" s="41"/>
      <c r="AA5" s="116">
        <v>17</v>
      </c>
      <c r="AB5" s="116">
        <v>18</v>
      </c>
      <c r="AC5" s="116">
        <v>19</v>
      </c>
      <c r="AD5" s="116">
        <v>20</v>
      </c>
      <c r="AE5" s="116"/>
      <c r="AF5" s="116">
        <v>21</v>
      </c>
      <c r="AG5" s="116">
        <v>22</v>
      </c>
      <c r="AH5" s="116"/>
      <c r="AI5" s="41">
        <v>23</v>
      </c>
      <c r="AJ5" s="41">
        <v>24</v>
      </c>
      <c r="AK5" s="41">
        <v>25</v>
      </c>
      <c r="AL5" s="41">
        <v>26</v>
      </c>
      <c r="AM5" s="41"/>
      <c r="AN5" s="41">
        <v>27</v>
      </c>
      <c r="AO5" s="41">
        <v>28</v>
      </c>
      <c r="AP5" s="41"/>
      <c r="AQ5" s="116">
        <v>29</v>
      </c>
      <c r="AR5" s="116">
        <v>30</v>
      </c>
      <c r="AS5" s="116">
        <v>31</v>
      </c>
      <c r="AT5" s="116">
        <v>32</v>
      </c>
      <c r="AU5" s="116">
        <v>33</v>
      </c>
      <c r="AV5" s="116"/>
      <c r="AW5" s="116">
        <v>34</v>
      </c>
      <c r="AX5" s="116">
        <v>35</v>
      </c>
      <c r="AY5" s="116">
        <v>36</v>
      </c>
      <c r="AZ5" s="116">
        <v>37</v>
      </c>
      <c r="BA5" s="116"/>
      <c r="BB5" s="116"/>
      <c r="BC5" s="41">
        <v>38</v>
      </c>
      <c r="BD5" s="42">
        <v>39</v>
      </c>
      <c r="BE5" s="42">
        <v>40</v>
      </c>
      <c r="BF5" s="42">
        <v>41</v>
      </c>
      <c r="BG5" s="42">
        <v>42</v>
      </c>
      <c r="BH5" s="42">
        <v>43</v>
      </c>
    </row>
    <row r="6" spans="2:60" s="141" customFormat="1" ht="123" customHeight="1">
      <c r="B6" s="134" t="s">
        <v>15</v>
      </c>
      <c r="C6" s="135" t="s">
        <v>2</v>
      </c>
      <c r="D6" s="136" t="s">
        <v>3</v>
      </c>
      <c r="E6" s="137" t="s">
        <v>4</v>
      </c>
      <c r="F6" s="138" t="s">
        <v>168</v>
      </c>
      <c r="G6" s="139" t="s">
        <v>169</v>
      </c>
      <c r="H6" s="138" t="s">
        <v>170</v>
      </c>
      <c r="I6" s="139" t="s">
        <v>213</v>
      </c>
      <c r="J6" s="139" t="s">
        <v>173</v>
      </c>
      <c r="K6" s="139" t="s">
        <v>233</v>
      </c>
      <c r="L6" s="139" t="s">
        <v>234</v>
      </c>
      <c r="M6" s="139" t="s">
        <v>219</v>
      </c>
      <c r="N6" s="139" t="s">
        <v>214</v>
      </c>
      <c r="O6" s="143" t="s">
        <v>175</v>
      </c>
      <c r="P6" s="138" t="s">
        <v>215</v>
      </c>
      <c r="Q6" s="138" t="s">
        <v>173</v>
      </c>
      <c r="R6" s="138" t="s">
        <v>233</v>
      </c>
      <c r="S6" s="138" t="s">
        <v>234</v>
      </c>
      <c r="T6" s="138" t="s">
        <v>177</v>
      </c>
      <c r="U6" s="138" t="s">
        <v>216</v>
      </c>
      <c r="V6" s="138" t="s">
        <v>217</v>
      </c>
      <c r="W6" s="138" t="s">
        <v>218</v>
      </c>
      <c r="X6" s="138" t="s">
        <v>178</v>
      </c>
      <c r="Y6" s="144" t="s">
        <v>176</v>
      </c>
      <c r="Z6" s="144" t="s">
        <v>179</v>
      </c>
      <c r="AA6" s="139" t="s">
        <v>180</v>
      </c>
      <c r="AB6" s="139" t="s">
        <v>235</v>
      </c>
      <c r="AC6" s="139" t="s">
        <v>236</v>
      </c>
      <c r="AD6" s="139" t="s">
        <v>233</v>
      </c>
      <c r="AE6" s="139" t="s">
        <v>234</v>
      </c>
      <c r="AF6" s="139" t="s">
        <v>221</v>
      </c>
      <c r="AG6" s="139" t="s">
        <v>223</v>
      </c>
      <c r="AH6" s="143" t="s">
        <v>181</v>
      </c>
      <c r="AI6" s="138" t="s">
        <v>182</v>
      </c>
      <c r="AJ6" s="138" t="s">
        <v>220</v>
      </c>
      <c r="AK6" s="138" t="s">
        <v>237</v>
      </c>
      <c r="AL6" s="138" t="s">
        <v>233</v>
      </c>
      <c r="AM6" s="138" t="s">
        <v>234</v>
      </c>
      <c r="AN6" s="138" t="s">
        <v>221</v>
      </c>
      <c r="AO6" s="138" t="s">
        <v>222</v>
      </c>
      <c r="AP6" s="144" t="s">
        <v>184</v>
      </c>
      <c r="AQ6" s="139" t="s">
        <v>185</v>
      </c>
      <c r="AR6" s="139" t="s">
        <v>186</v>
      </c>
      <c r="AS6" s="139" t="s">
        <v>225</v>
      </c>
      <c r="AT6" s="139" t="s">
        <v>226</v>
      </c>
      <c r="AU6" s="139" t="s">
        <v>233</v>
      </c>
      <c r="AV6" s="139" t="s">
        <v>234</v>
      </c>
      <c r="AW6" s="139" t="s">
        <v>227</v>
      </c>
      <c r="AX6" s="139" t="s">
        <v>228</v>
      </c>
      <c r="AY6" s="139" t="s">
        <v>229</v>
      </c>
      <c r="AZ6" s="139" t="s">
        <v>230</v>
      </c>
      <c r="BA6" s="143" t="s">
        <v>187</v>
      </c>
      <c r="BB6" s="143" t="s">
        <v>188</v>
      </c>
      <c r="BC6" s="138" t="s">
        <v>189</v>
      </c>
      <c r="BD6" s="140" t="s">
        <v>103</v>
      </c>
      <c r="BE6" s="140" t="s">
        <v>103</v>
      </c>
      <c r="BF6" s="140" t="s">
        <v>103</v>
      </c>
      <c r="BG6" s="140" t="s">
        <v>103</v>
      </c>
      <c r="BH6" s="140" t="s">
        <v>103</v>
      </c>
    </row>
    <row r="7" spans="2:60" s="109" customFormat="1" ht="71.25" customHeight="1" thickBot="1">
      <c r="B7" s="108"/>
      <c r="C7" s="63" t="s">
        <v>72</v>
      </c>
      <c r="D7" s="63" t="s">
        <v>104</v>
      </c>
      <c r="E7" s="64" t="s">
        <v>74</v>
      </c>
      <c r="F7" s="68" t="s">
        <v>239</v>
      </c>
      <c r="G7" s="117" t="s">
        <v>73</v>
      </c>
      <c r="H7" s="68" t="s">
        <v>73</v>
      </c>
      <c r="I7" s="117" t="s">
        <v>73</v>
      </c>
      <c r="J7" s="117" t="s">
        <v>171</v>
      </c>
      <c r="K7" s="117" t="s">
        <v>172</v>
      </c>
      <c r="L7" s="117"/>
      <c r="M7" s="117" t="s">
        <v>238</v>
      </c>
      <c r="N7" s="117" t="s">
        <v>174</v>
      </c>
      <c r="O7" s="117"/>
      <c r="P7" s="68" t="s">
        <v>73</v>
      </c>
      <c r="Q7" s="68" t="s">
        <v>171</v>
      </c>
      <c r="R7" s="68" t="s">
        <v>172</v>
      </c>
      <c r="S7" s="68"/>
      <c r="T7" s="68" t="s">
        <v>73</v>
      </c>
      <c r="U7" s="68" t="s">
        <v>73</v>
      </c>
      <c r="V7" s="68" t="s">
        <v>73</v>
      </c>
      <c r="W7" s="68" t="s">
        <v>73</v>
      </c>
      <c r="X7" s="68" t="s">
        <v>73</v>
      </c>
      <c r="Y7" s="68"/>
      <c r="Z7" s="68"/>
      <c r="AA7" s="117" t="s">
        <v>73</v>
      </c>
      <c r="AB7" s="117" t="s">
        <v>73</v>
      </c>
      <c r="AC7" s="117" t="s">
        <v>171</v>
      </c>
      <c r="AD7" s="117" t="s">
        <v>172</v>
      </c>
      <c r="AE7" s="117"/>
      <c r="AF7" s="117" t="s">
        <v>73</v>
      </c>
      <c r="AG7" s="117" t="s">
        <v>174</v>
      </c>
      <c r="AH7" s="117"/>
      <c r="AI7" s="68" t="s">
        <v>174</v>
      </c>
      <c r="AJ7" s="68" t="s">
        <v>73</v>
      </c>
      <c r="AK7" s="68" t="s">
        <v>171</v>
      </c>
      <c r="AL7" s="68" t="s">
        <v>172</v>
      </c>
      <c r="AM7" s="68"/>
      <c r="AN7" s="68" t="s">
        <v>238</v>
      </c>
      <c r="AO7" s="68" t="s">
        <v>183</v>
      </c>
      <c r="AP7" s="68"/>
      <c r="AQ7" s="117" t="s">
        <v>73</v>
      </c>
      <c r="AR7" s="117" t="s">
        <v>73</v>
      </c>
      <c r="AS7" s="117" t="s">
        <v>73</v>
      </c>
      <c r="AT7" s="117" t="s">
        <v>171</v>
      </c>
      <c r="AU7" s="117" t="s">
        <v>172</v>
      </c>
      <c r="AV7" s="117"/>
      <c r="AW7" s="117" t="s">
        <v>73</v>
      </c>
      <c r="AX7" s="117" t="s">
        <v>73</v>
      </c>
      <c r="AY7" s="117" t="s">
        <v>73</v>
      </c>
      <c r="AZ7" s="117" t="s">
        <v>73</v>
      </c>
      <c r="BA7" s="117"/>
      <c r="BB7" s="117"/>
      <c r="BC7" s="68" t="s">
        <v>73</v>
      </c>
      <c r="BD7" s="110" t="s">
        <v>73</v>
      </c>
      <c r="BE7" s="110" t="s">
        <v>73</v>
      </c>
      <c r="BF7" s="110" t="s">
        <v>73</v>
      </c>
      <c r="BG7" s="110" t="s">
        <v>73</v>
      </c>
      <c r="BH7" s="110" t="s">
        <v>73</v>
      </c>
    </row>
    <row r="8" spans="2:63" s="43" customFormat="1" ht="30" customHeight="1" thickBot="1">
      <c r="B8" s="86">
        <v>1</v>
      </c>
      <c r="C8" s="84"/>
      <c r="D8" s="84"/>
      <c r="E8" s="84"/>
      <c r="F8" s="84"/>
      <c r="G8" s="84"/>
      <c r="H8" s="84"/>
      <c r="I8" s="84"/>
      <c r="J8" s="84"/>
      <c r="K8" s="84"/>
      <c r="L8" s="118">
        <f>IF(OR(J8="",K8=""),"",IF(OR(AND(J8="Esomeprazole",K8=20),AND(J8="Lansoprazole",K8=30),AND(J8="Omeprazole",K8&gt;19,K8&lt;41),AND(J8="Pantoprazole",K8=40),AND(J8="Rabeprazole",K8=20)),"Yes","No"))</f>
      </c>
      <c r="M8" s="84"/>
      <c r="N8" s="84"/>
      <c r="O8" s="118">
        <f>IF(OR(I8="",L8="",M8="",N8=""),"",IF(OR(I8="NA",L8="NA",M8="NA",N8="NA"),"NA",IF(OR(I8="Exception",L8="Exception",M8="Exception",N8="Exception"),"Exception",IF(OR(I8="Exception A",L8="Exception A",M8="Exception A",N8="Exception A"),"Exception A",IF(AND(I8="Yes",L8="Yes",M8="Yes",OR(N8="Clarithromycin",N8="Metronidazole")),"Yes","No")))))</f>
      </c>
      <c r="P8" s="84"/>
      <c r="Q8" s="84"/>
      <c r="R8" s="84"/>
      <c r="S8" s="118">
        <f>IF(OR(Q8="",R8=""),"",IF(OR(AND(Q8="Esomeprazole",R8=20),AND(Q8="Lansoprazole",R8=30),AND(Q8="Omeprazole",R8&gt;19,R8&lt;41),AND(Q8="Pantoprazole",R8=40),AND(Q8="Rabeprazole",R8=20)),"Yes","No"))</f>
      </c>
      <c r="T8" s="84"/>
      <c r="U8" s="84"/>
      <c r="V8" s="84"/>
      <c r="W8" s="84"/>
      <c r="X8" s="84"/>
      <c r="Y8" s="118">
        <f>IF(OR(P8="",S8="",U8="",V8=""),"",IF(T8="Yes","",IF(OR(P8="NA",S8="NA",U8="NA",V8="NA"),"NA",IF(OR(P8="Exception",S8="Exception",U8="Exception",V8="Exception"),"Exception",IF(AND(P8="Yes",S8="Yes",U8="Yes",V8="Yes"),"Yes","No")))))</f>
      </c>
      <c r="Z8" s="118">
        <f>IF(OR(P8="",S8="",T8="",V8="",W8="",X8=""),"",IF(T8="No","",IF(OR(P8="NA",S8="NA",T8="NA",V8="NA",W8="NA",X8="NA"),"NA",IF(OR(P8="Exception",S8="Exception",T8="Exception",V8="Exception",W8="Exception",X8="Exception"),"Exception",IF(AND(P8="Yes",S8="Yes",T8="Yes",V8="Yes",W8="Yes",X8="Yes"),"Yes","No")))))</f>
      </c>
      <c r="AA8" s="84"/>
      <c r="AB8" s="84"/>
      <c r="AC8" s="84"/>
      <c r="AD8" s="84"/>
      <c r="AE8" s="118">
        <f>IF(OR(AC8="",AD8=""),"",IF(OR(AND(AC8="Esomeprazole",AD8=20),AND(AC8="Lansoprazole",AD8=30),AND(AC8="Omeprazole",AD8&gt;19,AD8&lt;41),AND(AC8="Pantoprazole",AD8=40),AND(AC8="Rabeprazole",AD8=20)),"Yes","No"))</f>
      </c>
      <c r="AF8" s="84"/>
      <c r="AG8" s="84"/>
      <c r="AH8" s="118">
        <f>IF(OR(AA8="",AB8="",AE8="",AF8="",AG8=""),"",IF(OR(AA8="NA",AB8="NA",AE8="NA",AF8="NA",AG8="NA"),"NA",IF(OR(AA8="Exception",AB8="Exception",AE8="Exception",AF8="Exception",AG8="Exception"),"Exception",IF(AND(AA8="Yes",AB8="Yes",AE8="Yes",AF8="Yes",OR(AG8="Clarithromycin",AG8="Metronidazole")),"Yes","No"))))</f>
      </c>
      <c r="AI8" s="84"/>
      <c r="AJ8" s="84"/>
      <c r="AK8" s="84"/>
      <c r="AL8" s="84"/>
      <c r="AM8" s="118">
        <f>IF(OR(AK8="",AL8=""),"",IF(OR(AND(AK8="Esomeprazole",AL8=20),AND(AK8="Lansoprazole",AL8=30),AND(AK8="Omeprazole",AL8&gt;19,AL8&lt;41),AND(AK8="Pantoprazole",AL8=40),AND(AK8="Rabeprazole",AL8=20)),"Yes","No"))</f>
      </c>
      <c r="AN8" s="84"/>
      <c r="AO8" s="84"/>
      <c r="AP8" s="118">
        <f>IF(OR(AI8="",AJ8="",AM8="",AN8="",AO8=""),"",IF(OR(AI8="NA",AJ8="NA",AM8="NA",AN8="NA",AO8="NA"),"NA",IF(OR(AI8="Exception",AJ8="Exception",AM8="Exception",AN8="Exception",AO8="Exception"),"Exception",IF(OR(AI8="Exception A",AJ8="Exception A",AM8="Exception A",AN8="Exception A",AO8="Exception A"),"Exception A",IF(AND(AJ8="Yes",AM8="Yes",AN8="Yes",OR(AO8="Quinolone",AO8="Tetracycline"),OR(AI8="Clarithromycin",AI8="Metronidazole")),"Yes","No")))))</f>
      </c>
      <c r="AQ8" s="84"/>
      <c r="AR8" s="84"/>
      <c r="AS8" s="84"/>
      <c r="AT8" s="84"/>
      <c r="AU8" s="84"/>
      <c r="AV8" s="118">
        <f>IF(OR(AT8="",AU8=""),"",IF(OR(AND(AT8="Esomeprazole",AU8=20),AND(AT8="Lansoprazole",AU8=30),AND(AT8="Omeprazole",AU8&gt;19,AU8&lt;41),AND(AT8="Pantoprazole",AU8=40),AND(AT8="Rabeprazole",AU8=20)),"Yes","No"))</f>
      </c>
      <c r="AW8" s="84"/>
      <c r="AX8" s="84"/>
      <c r="AY8" s="84"/>
      <c r="AZ8" s="84"/>
      <c r="BA8" s="118">
        <f>IF(OR(AQ8="",AR8="",AS8="",AV8="",AW8="",AX8=""),"",IF(OR(AQ8="NA",AR8="NA",AS8="NA",AV8="NA",AX8="NA",AW8="NA"),"NA",IF(OR(AQ8="Exception",AR8="Exception",AS8="Exception",AV8="Exception",AX8="Exception",AW8="Exception"),"Exception",IF(AND(AQ8="Yes",AR8="No",AS8="Yes",AV8="Yes",AW8="Yes",AX8="Yes"),"Yes","No"))))</f>
      </c>
      <c r="BB8" s="118">
        <f>IF(OR(AQ8="",AR8="",AS8="",AV8="",AW8="",AY8="",AZ8=""),"",IF(OR(AQ8="NA",AR8="NA",AS8="NA",AV8="NA",AW8="NA",AY8="NA",AZ8="NA"),"NA",IF(OR(AQ8="Exception",AR8="Exception",AS8="Exception",AV8="Exception",AW8="Exception",AY8="Exception",AZ8="Exception"),"Exception",IF(AND(AQ8="Yes",AR8="Yes",AS8="Yes",AV8="Yes",AW8="Yes",AY8="Yes",AZ8="Yes"),"Yes","No"))))</f>
      </c>
      <c r="BC8" s="84"/>
      <c r="BD8" s="84"/>
      <c r="BE8" s="84"/>
      <c r="BF8" s="84"/>
      <c r="BG8" s="84"/>
      <c r="BH8" s="44"/>
      <c r="BJ8" s="45" t="s">
        <v>47</v>
      </c>
      <c r="BK8" s="46"/>
    </row>
    <row r="9" spans="2:63" s="43" customFormat="1" ht="30" customHeight="1" thickBot="1">
      <c r="B9" s="86">
        <v>2</v>
      </c>
      <c r="C9" s="84"/>
      <c r="D9" s="84"/>
      <c r="E9" s="84"/>
      <c r="F9" s="85"/>
      <c r="G9" s="85"/>
      <c r="H9" s="85"/>
      <c r="I9" s="84"/>
      <c r="J9" s="85"/>
      <c r="K9" s="85"/>
      <c r="L9" s="118">
        <f aca="true" t="shared" si="0" ref="L9:L48">IF(OR(J9="",K9=""),"",IF(OR(AND(J9="Esomeprazole",K9=20),AND(J9="Lansoprazole",K9=30),AND(J9="Omeprazole",K9&gt;19,K9&lt;41),AND(J9="Pantoprazole",K9=40),AND(J9="Rabeprazole",K9=20)),"Yes","No"))</f>
      </c>
      <c r="M9" s="84"/>
      <c r="N9" s="84"/>
      <c r="O9" s="118">
        <f aca="true" t="shared" si="1" ref="O9:O48">IF(OR(I9="",L9="",M9="",N9=""),"",IF(OR(I9="NA",L9="NA",M9="NA",N9="NA"),"NA",IF(OR(I9="Exception",L9="Exception",M9="Exception",N9="Exception"),"Exception",IF(OR(I9="Exception A",L9="Exception A",M9="Exception A",N9="Exception A"),"Exception A",IF(AND(I9="Yes",L9="Yes",M9="Yes",OR(N9="Clarithromycin",N9="Metronidazole")),"Yes","No")))))</f>
      </c>
      <c r="P9" s="84"/>
      <c r="Q9" s="85"/>
      <c r="R9" s="85"/>
      <c r="S9" s="118">
        <f aca="true" t="shared" si="2" ref="S9:S48">IF(OR(Q9="",R9=""),"",IF(OR(AND(Q9="Esomeprazole",R9=20),AND(Q9="Lansoprazole",R9=30),AND(Q9="Omeprazole",R9&gt;19,R9&lt;41),AND(Q9="Pantoprazole",R9=40),AND(Q9="Rabeprazole",R9=20)),"Yes","No"))</f>
      </c>
      <c r="T9" s="84"/>
      <c r="U9" s="84"/>
      <c r="V9" s="84"/>
      <c r="W9" s="84"/>
      <c r="X9" s="84"/>
      <c r="Y9" s="118">
        <f aca="true" t="shared" si="3" ref="Y9:Y48">IF(OR(P9="",S9="",U9="",V9=""),"",IF(T9="Yes","",IF(OR(P9="NA",S9="NA",U9="NA",V9="NA"),"NA",IF(OR(P9="Exception",S9="Exception",U9="Exception",V9="Exception"),"Exception",IF(AND(P9="Yes",S9="Yes",U9="Yes",V9="Yes"),"Yes","No")))))</f>
      </c>
      <c r="Z9" s="118">
        <f aca="true" t="shared" si="4" ref="Z9:Z48">IF(OR(P9="",S9="",T9="",V9="",W9="",X9=""),"",IF(T9="No","",IF(OR(P9="NA",S9="NA",T9="NA",V9="NA",W9="NA",X9="NA"),"NA",IF(OR(P9="Exception",S9="Exception",T9="Exception",V9="Exception",W9="Exception",X9="Exception"),"Exception",IF(AND(P9="Yes",S9="Yes",T9="Yes",V9="Yes",W9="Yes",X9="Yes"),"Yes","No")))))</f>
      </c>
      <c r="AA9" s="85"/>
      <c r="AB9" s="84"/>
      <c r="AC9" s="85"/>
      <c r="AD9" s="85"/>
      <c r="AE9" s="118">
        <f aca="true" t="shared" si="5" ref="AE9:AE48">IF(OR(AC9="",AD9=""),"",IF(OR(AND(AC9="Esomeprazole",AD9=20),AND(AC9="Lansoprazole",AD9=30),AND(AC9="Omeprazole",AD9&gt;19,AD9&lt;41),AND(AC9="Pantoprazole",AD9=40),AND(AC9="Rabeprazole",AD9=20)),"Yes","No"))</f>
      </c>
      <c r="AF9" s="84"/>
      <c r="AG9" s="84"/>
      <c r="AH9" s="118">
        <f aca="true" t="shared" si="6" ref="AH9:AH48">IF(OR(AB9="",AE9="",AF9="",AG9=""),"",IF(OR(AB9="NA",AE9="NA",AF9="NA",AG9="NA"),"NA",IF(OR(AB9="Exception",AE9="Exception",AF9="Exception",AG9="Exception"),"Exception",IF(AND(AB9="Yes",AE9="Yes",AF9="Yes",OR(AG9="Clarithromycin",AG9="Metronidazole")),"Yes","No"))))</f>
      </c>
      <c r="AI9" s="84"/>
      <c r="AJ9" s="84"/>
      <c r="AK9" s="84"/>
      <c r="AL9" s="84"/>
      <c r="AM9" s="118">
        <f aca="true" t="shared" si="7" ref="AM9:AM48">IF(OR(AK9="",AL9=""),"",IF(OR(AND(AK9="Esomeprazole",AL9=20),AND(AK9="Lansoprazole",AL9=30),AND(AK9="Omeprazole",AL9&gt;19,AL9&lt;41),AND(AK9="Pantoprazole",AL9=40),AND(AK9="Rabeprazole",AL9=20)),"Yes","No"))</f>
      </c>
      <c r="AN9" s="84"/>
      <c r="AO9" s="84"/>
      <c r="AP9" s="118">
        <f aca="true" t="shared" si="8" ref="AP9:AP48">IF(OR(AI9="",AJ9="",AM9="",AN9="",AO9=""),"",IF(OR(AI9="NA",AJ9="NA",AM9="NA",AN9="NA",AO9="NA"),"NA",IF(OR(AI9="Exception",AJ9="Exception",AM9="Exception",AN9="Exception",AO9="Exception"),"Exception",IF(OR(AI9="Exception A",AJ9="Exception A",AM9="Exception A",AN9="Exception A",AO9="Exception A"),"Exception A",IF(AND(AJ9="Yes",AM9="Yes",AN9="Yes",OR(AO9="Quinolone",AO9="Tetracycline"),OR(AI9="Clarithromycin",AI9="Metronidazole")),"Yes","No")))))</f>
      </c>
      <c r="AQ9" s="84"/>
      <c r="AR9" s="84"/>
      <c r="AS9" s="84"/>
      <c r="AT9" s="84"/>
      <c r="AU9" s="84"/>
      <c r="AV9" s="118">
        <f aca="true" t="shared" si="9" ref="AV9:AV48">IF(OR(AT9="",AU9=""),"",IF(OR(AND(AT9="Esomeprazole",AU9=20),AND(AT9="Lansoprazole",AU9=30),AND(AT9="Omeprazole",AU9&gt;19,AU9&lt;41),AND(AT9="Pantoprazole",AU9=40),AND(AT9="Rabeprazole",AU9=20)),"Yes","No"))</f>
      </c>
      <c r="AW9" s="84"/>
      <c r="AX9" s="84"/>
      <c r="AY9" s="84"/>
      <c r="AZ9" s="84"/>
      <c r="BA9" s="118">
        <f aca="true" t="shared" si="10" ref="BA9:BA48">IF(OR(AQ9="",AR9="",AS9="",AV9="",AW9="",AX9=""),"",IF(OR(AQ9="NA",AR9="NA",AS9="NA",AV9="NA",AX9="NA",AW9="NA"),"NA",IF(OR(AQ9="Exception",AR9="Exception",AS9="Exception",AV9="Exception",AX9="Exception",AW9="Exception"),"Exception",IF(AND(AQ9="Yes",AR9="No",AS9="Yes",AV9="Yes",AW9="Yes",AX9="Yes"),"Yes","No"))))</f>
      </c>
      <c r="BB9" s="118">
        <f aca="true" t="shared" si="11" ref="BB9:BB48">IF(OR(AQ9="",AR9="",AS9="",AV9="",AW9="",AY9="",AZ9=""),"",IF(OR(AQ9="NA",AR9="NA",AS9="NA",AV9="NA",AW9="NA",AY9="NA",AZ9="NA"),"NA",IF(OR(AQ9="Exception",AR9="Exception",AS9="Exception",AV9="Exception",AW9="Exception",AY9="Exception",AZ9="Exception"),"Exception",IF(AND(AQ9="Yes",AR9="Yes",AS9="Yes",AV9="Yes",AW9="Yes",AY9="Yes",AZ9="Yes"),"Yes","No"))))</f>
      </c>
      <c r="BC9" s="84"/>
      <c r="BD9" s="84"/>
      <c r="BE9" s="84"/>
      <c r="BF9" s="84"/>
      <c r="BG9" s="84"/>
      <c r="BH9" s="44"/>
      <c r="BJ9" s="45"/>
      <c r="BK9" s="47"/>
    </row>
    <row r="10" spans="2:63" s="43" customFormat="1" ht="30" customHeight="1" thickBot="1">
      <c r="B10" s="86">
        <v>3</v>
      </c>
      <c r="C10" s="84"/>
      <c r="D10" s="84"/>
      <c r="E10" s="84"/>
      <c r="F10" s="85"/>
      <c r="G10" s="85"/>
      <c r="H10" s="85"/>
      <c r="I10" s="84"/>
      <c r="J10" s="85"/>
      <c r="K10" s="85"/>
      <c r="L10" s="118">
        <f t="shared" si="0"/>
      </c>
      <c r="M10" s="84"/>
      <c r="N10" s="84"/>
      <c r="O10" s="118">
        <f t="shared" si="1"/>
      </c>
      <c r="P10" s="84"/>
      <c r="Q10" s="85"/>
      <c r="R10" s="85"/>
      <c r="S10" s="118">
        <f t="shared" si="2"/>
      </c>
      <c r="T10" s="84"/>
      <c r="U10" s="84"/>
      <c r="V10" s="84"/>
      <c r="W10" s="84"/>
      <c r="X10" s="84"/>
      <c r="Y10" s="118">
        <f t="shared" si="3"/>
      </c>
      <c r="Z10" s="118">
        <f t="shared" si="4"/>
      </c>
      <c r="AA10" s="85"/>
      <c r="AB10" s="84"/>
      <c r="AC10" s="85"/>
      <c r="AD10" s="85"/>
      <c r="AE10" s="118">
        <f t="shared" si="5"/>
      </c>
      <c r="AF10" s="84"/>
      <c r="AG10" s="84"/>
      <c r="AH10" s="118">
        <f t="shared" si="6"/>
      </c>
      <c r="AI10" s="84"/>
      <c r="AJ10" s="84"/>
      <c r="AK10" s="84"/>
      <c r="AL10" s="84"/>
      <c r="AM10" s="118">
        <f t="shared" si="7"/>
      </c>
      <c r="AN10" s="84"/>
      <c r="AO10" s="84"/>
      <c r="AP10" s="118">
        <f t="shared" si="8"/>
      </c>
      <c r="AQ10" s="84"/>
      <c r="AR10" s="84"/>
      <c r="AS10" s="84"/>
      <c r="AT10" s="84"/>
      <c r="AU10" s="84"/>
      <c r="AV10" s="118">
        <f t="shared" si="9"/>
      </c>
      <c r="AW10" s="84"/>
      <c r="AX10" s="84"/>
      <c r="AY10" s="84"/>
      <c r="AZ10" s="84"/>
      <c r="BA10" s="118">
        <f t="shared" si="10"/>
      </c>
      <c r="BB10" s="118">
        <f t="shared" si="11"/>
      </c>
      <c r="BC10" s="84"/>
      <c r="BD10" s="84"/>
      <c r="BE10" s="84"/>
      <c r="BF10" s="84"/>
      <c r="BG10" s="84"/>
      <c r="BH10" s="44"/>
      <c r="BJ10" s="91" t="s">
        <v>11</v>
      </c>
      <c r="BK10" s="96" t="str">
        <f>MIN(Age)&amp;" - "&amp;MAX(Age)</f>
        <v>0 - 0</v>
      </c>
    </row>
    <row r="11" spans="2:63" s="43" customFormat="1" ht="30" customHeight="1" thickBot="1">
      <c r="B11" s="86">
        <v>4</v>
      </c>
      <c r="C11" s="84"/>
      <c r="D11" s="84"/>
      <c r="E11" s="84"/>
      <c r="F11" s="85"/>
      <c r="G11" s="85"/>
      <c r="H11" s="85"/>
      <c r="I11" s="84"/>
      <c r="J11" s="85"/>
      <c r="K11" s="85"/>
      <c r="L11" s="118">
        <f t="shared" si="0"/>
      </c>
      <c r="M11" s="84"/>
      <c r="N11" s="84"/>
      <c r="O11" s="118">
        <f t="shared" si="1"/>
      </c>
      <c r="P11" s="84"/>
      <c r="Q11" s="85"/>
      <c r="R11" s="85"/>
      <c r="S11" s="118">
        <f t="shared" si="2"/>
      </c>
      <c r="T11" s="84"/>
      <c r="U11" s="84"/>
      <c r="V11" s="84"/>
      <c r="W11" s="84"/>
      <c r="X11" s="84"/>
      <c r="Y11" s="118">
        <f t="shared" si="3"/>
      </c>
      <c r="Z11" s="118">
        <f t="shared" si="4"/>
      </c>
      <c r="AA11" s="85"/>
      <c r="AB11" s="84"/>
      <c r="AC11" s="85"/>
      <c r="AD11" s="85"/>
      <c r="AE11" s="118">
        <f t="shared" si="5"/>
      </c>
      <c r="AF11" s="84"/>
      <c r="AG11" s="84"/>
      <c r="AH11" s="118">
        <f t="shared" si="6"/>
      </c>
      <c r="AI11" s="84"/>
      <c r="AJ11" s="84"/>
      <c r="AK11" s="84"/>
      <c r="AL11" s="84"/>
      <c r="AM11" s="118">
        <f t="shared" si="7"/>
      </c>
      <c r="AN11" s="84"/>
      <c r="AO11" s="84"/>
      <c r="AP11" s="118">
        <f t="shared" si="8"/>
      </c>
      <c r="AQ11" s="84"/>
      <c r="AR11" s="84"/>
      <c r="AS11" s="84"/>
      <c r="AT11" s="84"/>
      <c r="AU11" s="84"/>
      <c r="AV11" s="118">
        <f t="shared" si="9"/>
      </c>
      <c r="AW11" s="84"/>
      <c r="AX11" s="84"/>
      <c r="AY11" s="84"/>
      <c r="AZ11" s="84"/>
      <c r="BA11" s="118">
        <f t="shared" si="10"/>
      </c>
      <c r="BB11" s="118">
        <f t="shared" si="11"/>
      </c>
      <c r="BC11" s="84"/>
      <c r="BD11" s="84"/>
      <c r="BE11" s="84"/>
      <c r="BF11" s="84"/>
      <c r="BG11" s="84"/>
      <c r="BH11" s="44"/>
      <c r="BJ11" s="92"/>
      <c r="BK11" s="90"/>
    </row>
    <row r="12" spans="2:63" s="43" customFormat="1" ht="30" customHeight="1" thickBot="1">
      <c r="B12" s="86">
        <v>5</v>
      </c>
      <c r="C12" s="84"/>
      <c r="D12" s="84"/>
      <c r="E12" s="84"/>
      <c r="F12" s="85"/>
      <c r="G12" s="85"/>
      <c r="H12" s="85"/>
      <c r="I12" s="84"/>
      <c r="J12" s="85"/>
      <c r="K12" s="85"/>
      <c r="L12" s="118">
        <f t="shared" si="0"/>
      </c>
      <c r="M12" s="84"/>
      <c r="N12" s="84"/>
      <c r="O12" s="118">
        <f t="shared" si="1"/>
      </c>
      <c r="P12" s="84"/>
      <c r="Q12" s="85"/>
      <c r="R12" s="85"/>
      <c r="S12" s="118">
        <f t="shared" si="2"/>
      </c>
      <c r="T12" s="84"/>
      <c r="U12" s="84"/>
      <c r="V12" s="84"/>
      <c r="W12" s="84"/>
      <c r="X12" s="84"/>
      <c r="Y12" s="118">
        <f t="shared" si="3"/>
      </c>
      <c r="Z12" s="118">
        <f t="shared" si="4"/>
      </c>
      <c r="AA12" s="85"/>
      <c r="AB12" s="84"/>
      <c r="AC12" s="85"/>
      <c r="AD12" s="85"/>
      <c r="AE12" s="118">
        <f t="shared" si="5"/>
      </c>
      <c r="AF12" s="84"/>
      <c r="AG12" s="84"/>
      <c r="AH12" s="118">
        <f t="shared" si="6"/>
      </c>
      <c r="AI12" s="84"/>
      <c r="AJ12" s="84"/>
      <c r="AK12" s="84"/>
      <c r="AL12" s="84"/>
      <c r="AM12" s="118">
        <f t="shared" si="7"/>
      </c>
      <c r="AN12" s="84"/>
      <c r="AO12" s="84"/>
      <c r="AP12" s="118">
        <f t="shared" si="8"/>
      </c>
      <c r="AQ12" s="84"/>
      <c r="AR12" s="84"/>
      <c r="AS12" s="84"/>
      <c r="AT12" s="84"/>
      <c r="AU12" s="84"/>
      <c r="AV12" s="118">
        <f t="shared" si="9"/>
      </c>
      <c r="AW12" s="84"/>
      <c r="AX12" s="84"/>
      <c r="AY12" s="84"/>
      <c r="AZ12" s="84"/>
      <c r="BA12" s="118">
        <f t="shared" si="10"/>
      </c>
      <c r="BB12" s="118">
        <f t="shared" si="11"/>
      </c>
      <c r="BC12" s="84"/>
      <c r="BD12" s="84"/>
      <c r="BE12" s="84"/>
      <c r="BF12" s="84"/>
      <c r="BG12" s="84"/>
      <c r="BH12" s="44"/>
      <c r="BJ12" s="93" t="s">
        <v>9</v>
      </c>
      <c r="BK12" s="96">
        <f>COUNTIF(Sex,"Male")</f>
        <v>0</v>
      </c>
    </row>
    <row r="13" spans="2:63" s="43" customFormat="1" ht="30" customHeight="1" thickBot="1">
      <c r="B13" s="86">
        <v>6</v>
      </c>
      <c r="C13" s="84"/>
      <c r="D13" s="84"/>
      <c r="E13" s="84"/>
      <c r="F13" s="85"/>
      <c r="G13" s="85"/>
      <c r="H13" s="85"/>
      <c r="I13" s="84"/>
      <c r="J13" s="85"/>
      <c r="K13" s="85"/>
      <c r="L13" s="118">
        <f t="shared" si="0"/>
      </c>
      <c r="M13" s="84"/>
      <c r="N13" s="84"/>
      <c r="O13" s="118">
        <f t="shared" si="1"/>
      </c>
      <c r="P13" s="84"/>
      <c r="Q13" s="85"/>
      <c r="R13" s="85"/>
      <c r="S13" s="118">
        <f t="shared" si="2"/>
      </c>
      <c r="T13" s="84"/>
      <c r="U13" s="84"/>
      <c r="V13" s="84"/>
      <c r="W13" s="84"/>
      <c r="X13" s="84"/>
      <c r="Y13" s="118">
        <f t="shared" si="3"/>
      </c>
      <c r="Z13" s="118">
        <f t="shared" si="4"/>
      </c>
      <c r="AA13" s="85"/>
      <c r="AB13" s="84"/>
      <c r="AC13" s="85"/>
      <c r="AD13" s="85"/>
      <c r="AE13" s="118">
        <f t="shared" si="5"/>
      </c>
      <c r="AF13" s="84"/>
      <c r="AG13" s="84"/>
      <c r="AH13" s="118">
        <f t="shared" si="6"/>
      </c>
      <c r="AI13" s="84"/>
      <c r="AJ13" s="84"/>
      <c r="AK13" s="84"/>
      <c r="AL13" s="84"/>
      <c r="AM13" s="118">
        <f t="shared" si="7"/>
      </c>
      <c r="AN13" s="84"/>
      <c r="AO13" s="84"/>
      <c r="AP13" s="118">
        <f t="shared" si="8"/>
      </c>
      <c r="AQ13" s="84"/>
      <c r="AR13" s="84"/>
      <c r="AS13" s="84"/>
      <c r="AT13" s="84"/>
      <c r="AU13" s="84"/>
      <c r="AV13" s="118">
        <f t="shared" si="9"/>
      </c>
      <c r="AW13" s="84"/>
      <c r="AX13" s="84"/>
      <c r="AY13" s="84"/>
      <c r="AZ13" s="84"/>
      <c r="BA13" s="118">
        <f t="shared" si="10"/>
      </c>
      <c r="BB13" s="118">
        <f t="shared" si="11"/>
      </c>
      <c r="BC13" s="84"/>
      <c r="BD13" s="84"/>
      <c r="BE13" s="84"/>
      <c r="BF13" s="84"/>
      <c r="BG13" s="84"/>
      <c r="BH13" s="44"/>
      <c r="BJ13" s="94" t="s">
        <v>10</v>
      </c>
      <c r="BK13" s="96">
        <f>COUNTIF(Sex,"Female")</f>
        <v>0</v>
      </c>
    </row>
    <row r="14" spans="2:63" s="43" customFormat="1" ht="30" customHeight="1" thickBot="1">
      <c r="B14" s="86">
        <v>7</v>
      </c>
      <c r="C14" s="84"/>
      <c r="D14" s="84"/>
      <c r="E14" s="84"/>
      <c r="F14" s="85"/>
      <c r="G14" s="85"/>
      <c r="H14" s="85"/>
      <c r="I14" s="84"/>
      <c r="J14" s="85"/>
      <c r="K14" s="85"/>
      <c r="L14" s="118">
        <f t="shared" si="0"/>
      </c>
      <c r="M14" s="84"/>
      <c r="N14" s="84"/>
      <c r="O14" s="118">
        <f t="shared" si="1"/>
      </c>
      <c r="P14" s="84"/>
      <c r="Q14" s="85"/>
      <c r="R14" s="85"/>
      <c r="S14" s="118">
        <f t="shared" si="2"/>
      </c>
      <c r="T14" s="84"/>
      <c r="U14" s="84"/>
      <c r="V14" s="84"/>
      <c r="W14" s="84"/>
      <c r="X14" s="84"/>
      <c r="Y14" s="118">
        <f t="shared" si="3"/>
      </c>
      <c r="Z14" s="118">
        <f t="shared" si="4"/>
      </c>
      <c r="AA14" s="85"/>
      <c r="AB14" s="84"/>
      <c r="AC14" s="85"/>
      <c r="AD14" s="85"/>
      <c r="AE14" s="118">
        <f t="shared" si="5"/>
      </c>
      <c r="AF14" s="84"/>
      <c r="AG14" s="84"/>
      <c r="AH14" s="118">
        <f t="shared" si="6"/>
      </c>
      <c r="AI14" s="84"/>
      <c r="AJ14" s="84"/>
      <c r="AK14" s="84"/>
      <c r="AL14" s="84"/>
      <c r="AM14" s="118">
        <f t="shared" si="7"/>
      </c>
      <c r="AN14" s="84"/>
      <c r="AO14" s="84"/>
      <c r="AP14" s="118">
        <f t="shared" si="8"/>
      </c>
      <c r="AQ14" s="84"/>
      <c r="AR14" s="84"/>
      <c r="AS14" s="84"/>
      <c r="AT14" s="84"/>
      <c r="AU14" s="84"/>
      <c r="AV14" s="118">
        <f t="shared" si="9"/>
      </c>
      <c r="AW14" s="84"/>
      <c r="AX14" s="84"/>
      <c r="AY14" s="84"/>
      <c r="AZ14" s="84"/>
      <c r="BA14" s="118">
        <f t="shared" si="10"/>
      </c>
      <c r="BB14" s="118">
        <f t="shared" si="11"/>
      </c>
      <c r="BC14" s="84"/>
      <c r="BD14" s="84"/>
      <c r="BE14" s="84"/>
      <c r="BF14" s="84"/>
      <c r="BG14" s="84"/>
      <c r="BH14" s="44"/>
      <c r="BJ14" s="95"/>
      <c r="BK14" s="90"/>
    </row>
    <row r="15" spans="2:63" s="43" customFormat="1" ht="30" customHeight="1" thickBot="1">
      <c r="B15" s="86">
        <v>8</v>
      </c>
      <c r="C15" s="84"/>
      <c r="D15" s="84"/>
      <c r="E15" s="84"/>
      <c r="F15" s="85"/>
      <c r="G15" s="85"/>
      <c r="H15" s="85"/>
      <c r="I15" s="84"/>
      <c r="J15" s="85"/>
      <c r="K15" s="85"/>
      <c r="L15" s="118">
        <f t="shared" si="0"/>
      </c>
      <c r="M15" s="84"/>
      <c r="N15" s="84"/>
      <c r="O15" s="118">
        <f t="shared" si="1"/>
      </c>
      <c r="P15" s="84"/>
      <c r="Q15" s="85"/>
      <c r="R15" s="85"/>
      <c r="S15" s="118">
        <f t="shared" si="2"/>
      </c>
      <c r="T15" s="84"/>
      <c r="U15" s="84"/>
      <c r="V15" s="84"/>
      <c r="W15" s="84"/>
      <c r="X15" s="84"/>
      <c r="Y15" s="118">
        <f t="shared" si="3"/>
      </c>
      <c r="Z15" s="118">
        <f t="shared" si="4"/>
      </c>
      <c r="AA15" s="85"/>
      <c r="AB15" s="84"/>
      <c r="AC15" s="85"/>
      <c r="AD15" s="85"/>
      <c r="AE15" s="118">
        <f t="shared" si="5"/>
      </c>
      <c r="AF15" s="84"/>
      <c r="AG15" s="84"/>
      <c r="AH15" s="118">
        <f t="shared" si="6"/>
      </c>
      <c r="AI15" s="84"/>
      <c r="AJ15" s="84"/>
      <c r="AK15" s="84"/>
      <c r="AL15" s="84"/>
      <c r="AM15" s="118">
        <f t="shared" si="7"/>
      </c>
      <c r="AN15" s="84"/>
      <c r="AO15" s="84"/>
      <c r="AP15" s="118">
        <f t="shared" si="8"/>
      </c>
      <c r="AQ15" s="84"/>
      <c r="AR15" s="84"/>
      <c r="AS15" s="84"/>
      <c r="AT15" s="84"/>
      <c r="AU15" s="84"/>
      <c r="AV15" s="118">
        <f t="shared" si="9"/>
      </c>
      <c r="AW15" s="84"/>
      <c r="AX15" s="84"/>
      <c r="AY15" s="84"/>
      <c r="AZ15" s="84"/>
      <c r="BA15" s="118">
        <f t="shared" si="10"/>
      </c>
      <c r="BB15" s="118">
        <f t="shared" si="11"/>
      </c>
      <c r="BC15" s="84"/>
      <c r="BD15" s="84"/>
      <c r="BE15" s="84"/>
      <c r="BF15" s="84"/>
      <c r="BG15" s="84"/>
      <c r="BH15" s="44"/>
      <c r="BJ15" s="94" t="s">
        <v>25</v>
      </c>
      <c r="BK15" s="96">
        <f>COUNTIF(Ethnicity,"White British")</f>
        <v>0</v>
      </c>
    </row>
    <row r="16" spans="2:63" s="43" customFormat="1" ht="30" customHeight="1" thickBot="1">
      <c r="B16" s="86">
        <v>9</v>
      </c>
      <c r="C16" s="84"/>
      <c r="D16" s="84"/>
      <c r="E16" s="84"/>
      <c r="F16" s="85"/>
      <c r="G16" s="85"/>
      <c r="H16" s="85"/>
      <c r="I16" s="84"/>
      <c r="J16" s="85"/>
      <c r="K16" s="85"/>
      <c r="L16" s="118">
        <f t="shared" si="0"/>
      </c>
      <c r="M16" s="84"/>
      <c r="N16" s="84"/>
      <c r="O16" s="118">
        <f t="shared" si="1"/>
      </c>
      <c r="P16" s="84"/>
      <c r="Q16" s="85"/>
      <c r="R16" s="85"/>
      <c r="S16" s="118">
        <f t="shared" si="2"/>
      </c>
      <c r="T16" s="84"/>
      <c r="U16" s="84"/>
      <c r="V16" s="84"/>
      <c r="W16" s="84"/>
      <c r="X16" s="84"/>
      <c r="Y16" s="118">
        <f t="shared" si="3"/>
      </c>
      <c r="Z16" s="118">
        <f t="shared" si="4"/>
      </c>
      <c r="AA16" s="85"/>
      <c r="AB16" s="84"/>
      <c r="AC16" s="85"/>
      <c r="AD16" s="85"/>
      <c r="AE16" s="118">
        <f t="shared" si="5"/>
      </c>
      <c r="AF16" s="84"/>
      <c r="AG16" s="84"/>
      <c r="AH16" s="118">
        <f t="shared" si="6"/>
      </c>
      <c r="AI16" s="84"/>
      <c r="AJ16" s="84"/>
      <c r="AK16" s="84"/>
      <c r="AL16" s="84"/>
      <c r="AM16" s="118">
        <f t="shared" si="7"/>
      </c>
      <c r="AN16" s="84"/>
      <c r="AO16" s="84"/>
      <c r="AP16" s="118">
        <f t="shared" si="8"/>
      </c>
      <c r="AQ16" s="84"/>
      <c r="AR16" s="84"/>
      <c r="AS16" s="84"/>
      <c r="AT16" s="84"/>
      <c r="AU16" s="84"/>
      <c r="AV16" s="118">
        <f t="shared" si="9"/>
      </c>
      <c r="AW16" s="84"/>
      <c r="AX16" s="84"/>
      <c r="AY16" s="84"/>
      <c r="AZ16" s="84"/>
      <c r="BA16" s="118">
        <f t="shared" si="10"/>
      </c>
      <c r="BB16" s="118">
        <f t="shared" si="11"/>
      </c>
      <c r="BC16" s="84"/>
      <c r="BD16" s="84"/>
      <c r="BE16" s="84"/>
      <c r="BF16" s="84"/>
      <c r="BG16" s="84"/>
      <c r="BH16" s="44"/>
      <c r="BJ16" s="94" t="s">
        <v>26</v>
      </c>
      <c r="BK16" s="96">
        <f>COUNTIF(Ethnicity,"White Irish")</f>
        <v>0</v>
      </c>
    </row>
    <row r="17" spans="2:63" s="43" customFormat="1" ht="30" customHeight="1" thickBot="1">
      <c r="B17" s="86">
        <v>10</v>
      </c>
      <c r="C17" s="84"/>
      <c r="D17" s="84"/>
      <c r="E17" s="84"/>
      <c r="F17" s="85"/>
      <c r="G17" s="85"/>
      <c r="H17" s="85"/>
      <c r="I17" s="84"/>
      <c r="J17" s="85"/>
      <c r="K17" s="85"/>
      <c r="L17" s="118">
        <f t="shared" si="0"/>
      </c>
      <c r="M17" s="84"/>
      <c r="N17" s="84"/>
      <c r="O17" s="118">
        <f t="shared" si="1"/>
      </c>
      <c r="P17" s="84"/>
      <c r="Q17" s="85"/>
      <c r="R17" s="85"/>
      <c r="S17" s="118">
        <f t="shared" si="2"/>
      </c>
      <c r="T17" s="84"/>
      <c r="U17" s="84"/>
      <c r="V17" s="84"/>
      <c r="W17" s="84"/>
      <c r="X17" s="84"/>
      <c r="Y17" s="118">
        <f t="shared" si="3"/>
      </c>
      <c r="Z17" s="118">
        <f t="shared" si="4"/>
      </c>
      <c r="AA17" s="85"/>
      <c r="AB17" s="84"/>
      <c r="AC17" s="85"/>
      <c r="AD17" s="85"/>
      <c r="AE17" s="118">
        <f t="shared" si="5"/>
      </c>
      <c r="AF17" s="84"/>
      <c r="AG17" s="84"/>
      <c r="AH17" s="118">
        <f t="shared" si="6"/>
      </c>
      <c r="AI17" s="84"/>
      <c r="AJ17" s="84"/>
      <c r="AK17" s="84"/>
      <c r="AL17" s="84"/>
      <c r="AM17" s="118">
        <f t="shared" si="7"/>
      </c>
      <c r="AN17" s="84"/>
      <c r="AO17" s="84"/>
      <c r="AP17" s="118">
        <f t="shared" si="8"/>
      </c>
      <c r="AQ17" s="84"/>
      <c r="AR17" s="84"/>
      <c r="AS17" s="84"/>
      <c r="AT17" s="84"/>
      <c r="AU17" s="84"/>
      <c r="AV17" s="118">
        <f t="shared" si="9"/>
      </c>
      <c r="AW17" s="84"/>
      <c r="AX17" s="84"/>
      <c r="AY17" s="84"/>
      <c r="AZ17" s="84"/>
      <c r="BA17" s="118">
        <f t="shared" si="10"/>
      </c>
      <c r="BB17" s="118">
        <f t="shared" si="11"/>
      </c>
      <c r="BC17" s="84"/>
      <c r="BD17" s="84"/>
      <c r="BE17" s="84"/>
      <c r="BF17" s="84"/>
      <c r="BG17" s="84"/>
      <c r="BH17" s="44"/>
      <c r="BJ17" s="94" t="s">
        <v>37</v>
      </c>
      <c r="BK17" s="96">
        <f>COUNTIF(Ethnicity,"Any other white background")</f>
        <v>0</v>
      </c>
    </row>
    <row r="18" spans="2:63" s="43" customFormat="1" ht="30" customHeight="1" thickBot="1">
      <c r="B18" s="86">
        <v>11</v>
      </c>
      <c r="C18" s="84"/>
      <c r="D18" s="84"/>
      <c r="E18" s="84"/>
      <c r="F18" s="85"/>
      <c r="G18" s="85"/>
      <c r="H18" s="85"/>
      <c r="I18" s="84"/>
      <c r="J18" s="85"/>
      <c r="K18" s="85"/>
      <c r="L18" s="118">
        <f t="shared" si="0"/>
      </c>
      <c r="M18" s="84"/>
      <c r="N18" s="84"/>
      <c r="O18" s="118">
        <f t="shared" si="1"/>
      </c>
      <c r="P18" s="84"/>
      <c r="Q18" s="85"/>
      <c r="R18" s="85"/>
      <c r="S18" s="118">
        <f t="shared" si="2"/>
      </c>
      <c r="T18" s="84"/>
      <c r="U18" s="84"/>
      <c r="V18" s="84"/>
      <c r="W18" s="84"/>
      <c r="X18" s="84"/>
      <c r="Y18" s="118">
        <f t="shared" si="3"/>
      </c>
      <c r="Z18" s="118">
        <f t="shared" si="4"/>
      </c>
      <c r="AA18" s="85"/>
      <c r="AB18" s="84"/>
      <c r="AC18" s="85"/>
      <c r="AD18" s="85"/>
      <c r="AE18" s="118">
        <f t="shared" si="5"/>
      </c>
      <c r="AF18" s="84"/>
      <c r="AG18" s="84"/>
      <c r="AH18" s="118">
        <f t="shared" si="6"/>
      </c>
      <c r="AI18" s="84"/>
      <c r="AJ18" s="84"/>
      <c r="AK18" s="84"/>
      <c r="AL18" s="84"/>
      <c r="AM18" s="118">
        <f t="shared" si="7"/>
      </c>
      <c r="AN18" s="84"/>
      <c r="AO18" s="84"/>
      <c r="AP18" s="118">
        <f t="shared" si="8"/>
      </c>
      <c r="AQ18" s="84"/>
      <c r="AR18" s="84"/>
      <c r="AS18" s="84"/>
      <c r="AT18" s="84"/>
      <c r="AU18" s="84"/>
      <c r="AV18" s="118">
        <f t="shared" si="9"/>
      </c>
      <c r="AW18" s="84"/>
      <c r="AX18" s="84"/>
      <c r="AY18" s="84"/>
      <c r="AZ18" s="84"/>
      <c r="BA18" s="118">
        <f t="shared" si="10"/>
      </c>
      <c r="BB18" s="118">
        <f t="shared" si="11"/>
      </c>
      <c r="BC18" s="84"/>
      <c r="BD18" s="84"/>
      <c r="BE18" s="84"/>
      <c r="BF18" s="84"/>
      <c r="BG18" s="84"/>
      <c r="BH18" s="44"/>
      <c r="BJ18" s="94" t="s">
        <v>33</v>
      </c>
      <c r="BK18" s="96">
        <f>COUNTIF(Ethnicity,"Mixed: White and black Caribbean")</f>
        <v>0</v>
      </c>
    </row>
    <row r="19" spans="2:63" s="43" customFormat="1" ht="30" customHeight="1" thickBot="1">
      <c r="B19" s="86">
        <v>12</v>
      </c>
      <c r="C19" s="84"/>
      <c r="D19" s="84"/>
      <c r="E19" s="84"/>
      <c r="F19" s="84"/>
      <c r="G19" s="84"/>
      <c r="H19" s="84"/>
      <c r="I19" s="84"/>
      <c r="J19" s="84"/>
      <c r="K19" s="84"/>
      <c r="L19" s="118">
        <f t="shared" si="0"/>
      </c>
      <c r="M19" s="84"/>
      <c r="N19" s="84"/>
      <c r="O19" s="118">
        <f t="shared" si="1"/>
      </c>
      <c r="P19" s="84"/>
      <c r="Q19" s="84"/>
      <c r="R19" s="84"/>
      <c r="S19" s="118">
        <f t="shared" si="2"/>
      </c>
      <c r="T19" s="84"/>
      <c r="U19" s="84"/>
      <c r="V19" s="84"/>
      <c r="W19" s="84"/>
      <c r="X19" s="84"/>
      <c r="Y19" s="118">
        <f t="shared" si="3"/>
      </c>
      <c r="Z19" s="118">
        <f t="shared" si="4"/>
      </c>
      <c r="AA19" s="84"/>
      <c r="AB19" s="84"/>
      <c r="AC19" s="84"/>
      <c r="AD19" s="84"/>
      <c r="AE19" s="118">
        <f t="shared" si="5"/>
      </c>
      <c r="AF19" s="84"/>
      <c r="AG19" s="84"/>
      <c r="AH19" s="118">
        <f t="shared" si="6"/>
      </c>
      <c r="AI19" s="84"/>
      <c r="AJ19" s="84"/>
      <c r="AK19" s="84"/>
      <c r="AL19" s="84"/>
      <c r="AM19" s="118">
        <f t="shared" si="7"/>
      </c>
      <c r="AN19" s="84"/>
      <c r="AO19" s="84"/>
      <c r="AP19" s="118">
        <f t="shared" si="8"/>
      </c>
      <c r="AQ19" s="84"/>
      <c r="AR19" s="84"/>
      <c r="AS19" s="84"/>
      <c r="AT19" s="84"/>
      <c r="AU19" s="84"/>
      <c r="AV19" s="118">
        <f t="shared" si="9"/>
      </c>
      <c r="AW19" s="84"/>
      <c r="AX19" s="84"/>
      <c r="AY19" s="84"/>
      <c r="AZ19" s="84"/>
      <c r="BA19" s="118">
        <f t="shared" si="10"/>
      </c>
      <c r="BB19" s="118">
        <f t="shared" si="11"/>
      </c>
      <c r="BC19" s="84"/>
      <c r="BD19" s="84"/>
      <c r="BE19" s="84"/>
      <c r="BF19" s="84"/>
      <c r="BG19" s="84"/>
      <c r="BH19" s="44"/>
      <c r="BJ19" s="94" t="s">
        <v>34</v>
      </c>
      <c r="BK19" s="96">
        <f>COUNTIF(Ethnicity,"Mixed: White and black African")</f>
        <v>0</v>
      </c>
    </row>
    <row r="20" spans="2:63" s="43" customFormat="1" ht="30" customHeight="1" thickBot="1">
      <c r="B20" s="86">
        <v>13</v>
      </c>
      <c r="C20" s="84"/>
      <c r="D20" s="84"/>
      <c r="E20" s="84"/>
      <c r="F20" s="84"/>
      <c r="G20" s="84"/>
      <c r="H20" s="84"/>
      <c r="I20" s="84"/>
      <c r="J20" s="84"/>
      <c r="K20" s="84"/>
      <c r="L20" s="118">
        <f t="shared" si="0"/>
      </c>
      <c r="M20" s="84"/>
      <c r="N20" s="84"/>
      <c r="O20" s="118">
        <f t="shared" si="1"/>
      </c>
      <c r="P20" s="84"/>
      <c r="Q20" s="84"/>
      <c r="R20" s="84"/>
      <c r="S20" s="118">
        <f t="shared" si="2"/>
      </c>
      <c r="T20" s="84"/>
      <c r="U20" s="84"/>
      <c r="V20" s="84"/>
      <c r="W20" s="84"/>
      <c r="X20" s="84"/>
      <c r="Y20" s="118">
        <f t="shared" si="3"/>
      </c>
      <c r="Z20" s="118">
        <f t="shared" si="4"/>
      </c>
      <c r="AA20" s="84"/>
      <c r="AB20" s="84"/>
      <c r="AC20" s="84"/>
      <c r="AD20" s="84"/>
      <c r="AE20" s="118">
        <f t="shared" si="5"/>
      </c>
      <c r="AF20" s="84"/>
      <c r="AG20" s="84"/>
      <c r="AH20" s="118">
        <f t="shared" si="6"/>
      </c>
      <c r="AI20" s="84"/>
      <c r="AJ20" s="84"/>
      <c r="AK20" s="84"/>
      <c r="AL20" s="84"/>
      <c r="AM20" s="118">
        <f t="shared" si="7"/>
      </c>
      <c r="AN20" s="84"/>
      <c r="AO20" s="84"/>
      <c r="AP20" s="118">
        <f t="shared" si="8"/>
      </c>
      <c r="AQ20" s="84"/>
      <c r="AR20" s="84"/>
      <c r="AS20" s="84"/>
      <c r="AT20" s="84"/>
      <c r="AU20" s="84"/>
      <c r="AV20" s="118">
        <f t="shared" si="9"/>
      </c>
      <c r="AW20" s="84"/>
      <c r="AX20" s="84"/>
      <c r="AY20" s="84"/>
      <c r="AZ20" s="84"/>
      <c r="BA20" s="118">
        <f t="shared" si="10"/>
      </c>
      <c r="BB20" s="118">
        <f t="shared" si="11"/>
      </c>
      <c r="BC20" s="84"/>
      <c r="BD20" s="84"/>
      <c r="BE20" s="84"/>
      <c r="BF20" s="84"/>
      <c r="BG20" s="84"/>
      <c r="BH20" s="44"/>
      <c r="BJ20" s="94" t="s">
        <v>27</v>
      </c>
      <c r="BK20" s="96">
        <f>COUNTIF(Ethnicity,"Mixed: White and Asian")</f>
        <v>0</v>
      </c>
    </row>
    <row r="21" spans="2:63" s="43" customFormat="1" ht="30" customHeight="1" thickBot="1">
      <c r="B21" s="86">
        <v>14</v>
      </c>
      <c r="C21" s="84"/>
      <c r="D21" s="84"/>
      <c r="E21" s="84"/>
      <c r="F21" s="84"/>
      <c r="G21" s="84"/>
      <c r="H21" s="84"/>
      <c r="I21" s="84"/>
      <c r="J21" s="84"/>
      <c r="K21" s="84"/>
      <c r="L21" s="118">
        <f t="shared" si="0"/>
      </c>
      <c r="M21" s="84"/>
      <c r="N21" s="84"/>
      <c r="O21" s="118">
        <f t="shared" si="1"/>
      </c>
      <c r="P21" s="84"/>
      <c r="Q21" s="84"/>
      <c r="R21" s="84"/>
      <c r="S21" s="118">
        <f t="shared" si="2"/>
      </c>
      <c r="T21" s="84"/>
      <c r="U21" s="84"/>
      <c r="V21" s="84"/>
      <c r="W21" s="84"/>
      <c r="X21" s="84"/>
      <c r="Y21" s="118">
        <f t="shared" si="3"/>
      </c>
      <c r="Z21" s="118">
        <f t="shared" si="4"/>
      </c>
      <c r="AA21" s="84"/>
      <c r="AB21" s="84"/>
      <c r="AC21" s="84"/>
      <c r="AD21" s="84"/>
      <c r="AE21" s="118">
        <f t="shared" si="5"/>
      </c>
      <c r="AF21" s="84"/>
      <c r="AG21" s="84"/>
      <c r="AH21" s="118">
        <f t="shared" si="6"/>
      </c>
      <c r="AI21" s="84"/>
      <c r="AJ21" s="84"/>
      <c r="AK21" s="84"/>
      <c r="AL21" s="84"/>
      <c r="AM21" s="118">
        <f t="shared" si="7"/>
      </c>
      <c r="AN21" s="84"/>
      <c r="AO21" s="84"/>
      <c r="AP21" s="118">
        <f t="shared" si="8"/>
      </c>
      <c r="AQ21" s="84"/>
      <c r="AR21" s="84"/>
      <c r="AS21" s="84"/>
      <c r="AT21" s="84"/>
      <c r="AU21" s="84"/>
      <c r="AV21" s="118">
        <f t="shared" si="9"/>
      </c>
      <c r="AW21" s="84"/>
      <c r="AX21" s="84"/>
      <c r="AY21" s="84"/>
      <c r="AZ21" s="84"/>
      <c r="BA21" s="118">
        <f t="shared" si="10"/>
      </c>
      <c r="BB21" s="118">
        <f t="shared" si="11"/>
      </c>
      <c r="BC21" s="84"/>
      <c r="BD21" s="84"/>
      <c r="BE21" s="84"/>
      <c r="BF21" s="84"/>
      <c r="BG21" s="84"/>
      <c r="BH21" s="44"/>
      <c r="BJ21" s="94" t="s">
        <v>38</v>
      </c>
      <c r="BK21" s="96">
        <f>COUNTIF(Ethnicity,"Any other mixed background")</f>
        <v>0</v>
      </c>
    </row>
    <row r="22" spans="2:63" s="43" customFormat="1" ht="30" customHeight="1" thickBot="1">
      <c r="B22" s="86">
        <v>15</v>
      </c>
      <c r="C22" s="84"/>
      <c r="D22" s="84"/>
      <c r="E22" s="84"/>
      <c r="F22" s="84"/>
      <c r="G22" s="84"/>
      <c r="H22" s="84"/>
      <c r="I22" s="84"/>
      <c r="J22" s="84"/>
      <c r="K22" s="84"/>
      <c r="L22" s="118">
        <f t="shared" si="0"/>
      </c>
      <c r="M22" s="84"/>
      <c r="N22" s="84"/>
      <c r="O22" s="118">
        <f t="shared" si="1"/>
      </c>
      <c r="P22" s="84"/>
      <c r="Q22" s="84"/>
      <c r="R22" s="84"/>
      <c r="S22" s="118">
        <f t="shared" si="2"/>
      </c>
      <c r="T22" s="84"/>
      <c r="U22" s="84"/>
      <c r="V22" s="84"/>
      <c r="W22" s="84"/>
      <c r="X22" s="84"/>
      <c r="Y22" s="118">
        <f t="shared" si="3"/>
      </c>
      <c r="Z22" s="118">
        <f t="shared" si="4"/>
      </c>
      <c r="AA22" s="84"/>
      <c r="AB22" s="84"/>
      <c r="AC22" s="84"/>
      <c r="AD22" s="84"/>
      <c r="AE22" s="118">
        <f t="shared" si="5"/>
      </c>
      <c r="AF22" s="84"/>
      <c r="AG22" s="84"/>
      <c r="AH22" s="118">
        <f t="shared" si="6"/>
      </c>
      <c r="AI22" s="84"/>
      <c r="AJ22" s="84"/>
      <c r="AK22" s="84"/>
      <c r="AL22" s="84"/>
      <c r="AM22" s="118">
        <f t="shared" si="7"/>
      </c>
      <c r="AN22" s="84"/>
      <c r="AO22" s="84"/>
      <c r="AP22" s="118">
        <f t="shared" si="8"/>
      </c>
      <c r="AQ22" s="84"/>
      <c r="AR22" s="84"/>
      <c r="AS22" s="84"/>
      <c r="AT22" s="84"/>
      <c r="AU22" s="84"/>
      <c r="AV22" s="118">
        <f t="shared" si="9"/>
      </c>
      <c r="AW22" s="84"/>
      <c r="AX22" s="84"/>
      <c r="AY22" s="84"/>
      <c r="AZ22" s="84"/>
      <c r="BA22" s="118">
        <f t="shared" si="10"/>
      </c>
      <c r="BB22" s="118">
        <f t="shared" si="11"/>
      </c>
      <c r="BC22" s="84"/>
      <c r="BD22" s="84"/>
      <c r="BE22" s="84"/>
      <c r="BF22" s="84"/>
      <c r="BG22" s="84"/>
      <c r="BH22" s="44"/>
      <c r="BJ22" s="94" t="s">
        <v>28</v>
      </c>
      <c r="BK22" s="96">
        <f>COUNTIF(Ethnicity,"Asian or Asian British: Indian")</f>
        <v>0</v>
      </c>
    </row>
    <row r="23" spans="2:63" s="43" customFormat="1" ht="30" customHeight="1" thickBot="1">
      <c r="B23" s="86">
        <v>16</v>
      </c>
      <c r="C23" s="84"/>
      <c r="D23" s="84"/>
      <c r="E23" s="84"/>
      <c r="F23" s="84"/>
      <c r="G23" s="84"/>
      <c r="H23" s="84"/>
      <c r="I23" s="84"/>
      <c r="J23" s="84"/>
      <c r="K23" s="84"/>
      <c r="L23" s="118">
        <f t="shared" si="0"/>
      </c>
      <c r="M23" s="84"/>
      <c r="N23" s="84"/>
      <c r="O23" s="118">
        <f t="shared" si="1"/>
      </c>
      <c r="P23" s="84"/>
      <c r="Q23" s="84"/>
      <c r="R23" s="84"/>
      <c r="S23" s="118">
        <f t="shared" si="2"/>
      </c>
      <c r="T23" s="84"/>
      <c r="U23" s="84"/>
      <c r="V23" s="84"/>
      <c r="W23" s="84"/>
      <c r="X23" s="84"/>
      <c r="Y23" s="118">
        <f t="shared" si="3"/>
      </c>
      <c r="Z23" s="118">
        <f t="shared" si="4"/>
      </c>
      <c r="AA23" s="84"/>
      <c r="AB23" s="84"/>
      <c r="AC23" s="84"/>
      <c r="AD23" s="84"/>
      <c r="AE23" s="118">
        <f t="shared" si="5"/>
      </c>
      <c r="AF23" s="84"/>
      <c r="AG23" s="84"/>
      <c r="AH23" s="118">
        <f t="shared" si="6"/>
      </c>
      <c r="AI23" s="84"/>
      <c r="AJ23" s="84"/>
      <c r="AK23" s="84"/>
      <c r="AL23" s="84"/>
      <c r="AM23" s="118">
        <f t="shared" si="7"/>
      </c>
      <c r="AN23" s="84"/>
      <c r="AO23" s="84"/>
      <c r="AP23" s="118">
        <f t="shared" si="8"/>
      </c>
      <c r="AQ23" s="84"/>
      <c r="AR23" s="84"/>
      <c r="AS23" s="84"/>
      <c r="AT23" s="84"/>
      <c r="AU23" s="84"/>
      <c r="AV23" s="118">
        <f t="shared" si="9"/>
      </c>
      <c r="AW23" s="84"/>
      <c r="AX23" s="84"/>
      <c r="AY23" s="84"/>
      <c r="AZ23" s="84"/>
      <c r="BA23" s="118">
        <f t="shared" si="10"/>
      </c>
      <c r="BB23" s="118">
        <f t="shared" si="11"/>
      </c>
      <c r="BC23" s="84"/>
      <c r="BD23" s="84"/>
      <c r="BE23" s="84"/>
      <c r="BF23" s="84"/>
      <c r="BG23" s="84"/>
      <c r="BH23" s="44"/>
      <c r="BJ23" s="94" t="s">
        <v>29</v>
      </c>
      <c r="BK23" s="96">
        <f>COUNTIF(Ethnicity,"Asian or Asian British: Pakistani")</f>
        <v>0</v>
      </c>
    </row>
    <row r="24" spans="2:63" s="43" customFormat="1" ht="30" customHeight="1" thickBot="1">
      <c r="B24" s="86">
        <v>17</v>
      </c>
      <c r="C24" s="84"/>
      <c r="D24" s="84"/>
      <c r="E24" s="84"/>
      <c r="F24" s="84"/>
      <c r="G24" s="84"/>
      <c r="H24" s="84"/>
      <c r="I24" s="84"/>
      <c r="J24" s="84"/>
      <c r="K24" s="84"/>
      <c r="L24" s="118">
        <f t="shared" si="0"/>
      </c>
      <c r="M24" s="84"/>
      <c r="N24" s="84"/>
      <c r="O24" s="118">
        <f t="shared" si="1"/>
      </c>
      <c r="P24" s="84"/>
      <c r="Q24" s="84"/>
      <c r="R24" s="84"/>
      <c r="S24" s="118">
        <f t="shared" si="2"/>
      </c>
      <c r="T24" s="84"/>
      <c r="U24" s="84"/>
      <c r="V24" s="84"/>
      <c r="W24" s="84"/>
      <c r="X24" s="84"/>
      <c r="Y24" s="118">
        <f t="shared" si="3"/>
      </c>
      <c r="Z24" s="118">
        <f t="shared" si="4"/>
      </c>
      <c r="AA24" s="84"/>
      <c r="AB24" s="84"/>
      <c r="AC24" s="84"/>
      <c r="AD24" s="84"/>
      <c r="AE24" s="118">
        <f t="shared" si="5"/>
      </c>
      <c r="AF24" s="84"/>
      <c r="AG24" s="84"/>
      <c r="AH24" s="118">
        <f t="shared" si="6"/>
      </c>
      <c r="AI24" s="84"/>
      <c r="AJ24" s="84"/>
      <c r="AK24" s="84"/>
      <c r="AL24" s="84"/>
      <c r="AM24" s="118">
        <f t="shared" si="7"/>
      </c>
      <c r="AN24" s="84"/>
      <c r="AO24" s="84"/>
      <c r="AP24" s="118">
        <f t="shared" si="8"/>
      </c>
      <c r="AQ24" s="84"/>
      <c r="AR24" s="84"/>
      <c r="AS24" s="84"/>
      <c r="AT24" s="84"/>
      <c r="AU24" s="84"/>
      <c r="AV24" s="118">
        <f t="shared" si="9"/>
      </c>
      <c r="AW24" s="84"/>
      <c r="AX24" s="84"/>
      <c r="AY24" s="84"/>
      <c r="AZ24" s="84"/>
      <c r="BA24" s="118">
        <f t="shared" si="10"/>
      </c>
      <c r="BB24" s="118">
        <f t="shared" si="11"/>
      </c>
      <c r="BC24" s="84"/>
      <c r="BD24" s="84"/>
      <c r="BE24" s="84"/>
      <c r="BF24" s="84"/>
      <c r="BG24" s="84"/>
      <c r="BH24" s="44"/>
      <c r="BJ24" s="94" t="s">
        <v>30</v>
      </c>
      <c r="BK24" s="96">
        <f>COUNTIF(Ethnicity,"Asian or Asian British: Bangladeshi")</f>
        <v>0</v>
      </c>
    </row>
    <row r="25" spans="2:63" s="43" customFormat="1" ht="30" customHeight="1" thickBot="1">
      <c r="B25" s="86">
        <v>18</v>
      </c>
      <c r="C25" s="84"/>
      <c r="D25" s="84"/>
      <c r="E25" s="84"/>
      <c r="F25" s="84"/>
      <c r="G25" s="84"/>
      <c r="H25" s="84"/>
      <c r="I25" s="84"/>
      <c r="J25" s="84"/>
      <c r="K25" s="84"/>
      <c r="L25" s="118">
        <f t="shared" si="0"/>
      </c>
      <c r="M25" s="84"/>
      <c r="N25" s="84"/>
      <c r="O25" s="118">
        <f t="shared" si="1"/>
      </c>
      <c r="P25" s="84"/>
      <c r="Q25" s="84"/>
      <c r="R25" s="84"/>
      <c r="S25" s="118">
        <f t="shared" si="2"/>
      </c>
      <c r="T25" s="84"/>
      <c r="U25" s="84"/>
      <c r="V25" s="84"/>
      <c r="W25" s="84"/>
      <c r="X25" s="84"/>
      <c r="Y25" s="118">
        <f t="shared" si="3"/>
      </c>
      <c r="Z25" s="118">
        <f t="shared" si="4"/>
      </c>
      <c r="AA25" s="84"/>
      <c r="AB25" s="84"/>
      <c r="AC25" s="84"/>
      <c r="AD25" s="84"/>
      <c r="AE25" s="118">
        <f t="shared" si="5"/>
      </c>
      <c r="AF25" s="84"/>
      <c r="AG25" s="84"/>
      <c r="AH25" s="118">
        <f t="shared" si="6"/>
      </c>
      <c r="AI25" s="84"/>
      <c r="AJ25" s="84"/>
      <c r="AK25" s="84"/>
      <c r="AL25" s="84"/>
      <c r="AM25" s="118">
        <f t="shared" si="7"/>
      </c>
      <c r="AN25" s="84"/>
      <c r="AO25" s="84"/>
      <c r="AP25" s="118">
        <f t="shared" si="8"/>
      </c>
      <c r="AQ25" s="84"/>
      <c r="AR25" s="84"/>
      <c r="AS25" s="84"/>
      <c r="AT25" s="84"/>
      <c r="AU25" s="84"/>
      <c r="AV25" s="118">
        <f t="shared" si="9"/>
      </c>
      <c r="AW25" s="84"/>
      <c r="AX25" s="84"/>
      <c r="AY25" s="84"/>
      <c r="AZ25" s="84"/>
      <c r="BA25" s="118">
        <f t="shared" si="10"/>
      </c>
      <c r="BB25" s="118">
        <f t="shared" si="11"/>
      </c>
      <c r="BC25" s="84"/>
      <c r="BD25" s="84"/>
      <c r="BE25" s="84"/>
      <c r="BF25" s="84"/>
      <c r="BG25" s="84"/>
      <c r="BH25" s="44"/>
      <c r="BJ25" s="94" t="s">
        <v>39</v>
      </c>
      <c r="BK25" s="96">
        <f>COUNTIF(Ethnicity,"Any other Asian background")</f>
        <v>0</v>
      </c>
    </row>
    <row r="26" spans="2:63" s="43" customFormat="1" ht="30" customHeight="1" thickBot="1">
      <c r="B26" s="86">
        <v>19</v>
      </c>
      <c r="C26" s="84"/>
      <c r="D26" s="84"/>
      <c r="E26" s="84"/>
      <c r="F26" s="84"/>
      <c r="G26" s="84"/>
      <c r="H26" s="84"/>
      <c r="I26" s="84"/>
      <c r="J26" s="84"/>
      <c r="K26" s="84"/>
      <c r="L26" s="118">
        <f t="shared" si="0"/>
      </c>
      <c r="M26" s="84"/>
      <c r="N26" s="84"/>
      <c r="O26" s="118">
        <f t="shared" si="1"/>
      </c>
      <c r="P26" s="84"/>
      <c r="Q26" s="84"/>
      <c r="R26" s="84"/>
      <c r="S26" s="118">
        <f t="shared" si="2"/>
      </c>
      <c r="T26" s="84"/>
      <c r="U26" s="84"/>
      <c r="V26" s="84"/>
      <c r="W26" s="84"/>
      <c r="X26" s="84"/>
      <c r="Y26" s="118">
        <f t="shared" si="3"/>
      </c>
      <c r="Z26" s="118">
        <f t="shared" si="4"/>
      </c>
      <c r="AA26" s="84"/>
      <c r="AB26" s="84"/>
      <c r="AC26" s="84"/>
      <c r="AD26" s="84"/>
      <c r="AE26" s="118">
        <f t="shared" si="5"/>
      </c>
      <c r="AF26" s="84"/>
      <c r="AG26" s="84"/>
      <c r="AH26" s="118">
        <f t="shared" si="6"/>
      </c>
      <c r="AI26" s="84"/>
      <c r="AJ26" s="84"/>
      <c r="AK26" s="84"/>
      <c r="AL26" s="84"/>
      <c r="AM26" s="118">
        <f t="shared" si="7"/>
      </c>
      <c r="AN26" s="84"/>
      <c r="AO26" s="84"/>
      <c r="AP26" s="118">
        <f t="shared" si="8"/>
      </c>
      <c r="AQ26" s="84"/>
      <c r="AR26" s="84"/>
      <c r="AS26" s="84"/>
      <c r="AT26" s="84"/>
      <c r="AU26" s="84"/>
      <c r="AV26" s="118">
        <f t="shared" si="9"/>
      </c>
      <c r="AW26" s="84"/>
      <c r="AX26" s="84"/>
      <c r="AY26" s="84"/>
      <c r="AZ26" s="84"/>
      <c r="BA26" s="118">
        <f t="shared" si="10"/>
      </c>
      <c r="BB26" s="118">
        <f t="shared" si="11"/>
      </c>
      <c r="BC26" s="84"/>
      <c r="BD26" s="84"/>
      <c r="BE26" s="84"/>
      <c r="BF26" s="84"/>
      <c r="BG26" s="84"/>
      <c r="BH26" s="44"/>
      <c r="BJ26" s="94" t="s">
        <v>35</v>
      </c>
      <c r="BK26" s="96">
        <f>COUNTIF(Ethnicity,"Black or black British: Caribbean")</f>
        <v>0</v>
      </c>
    </row>
    <row r="27" spans="2:63" s="43" customFormat="1" ht="30" customHeight="1" thickBot="1">
      <c r="B27" s="86">
        <v>20</v>
      </c>
      <c r="C27" s="84"/>
      <c r="D27" s="84"/>
      <c r="E27" s="84"/>
      <c r="F27" s="84"/>
      <c r="G27" s="84"/>
      <c r="H27" s="84"/>
      <c r="I27" s="84"/>
      <c r="J27" s="84"/>
      <c r="K27" s="84"/>
      <c r="L27" s="118">
        <f t="shared" si="0"/>
      </c>
      <c r="M27" s="84"/>
      <c r="N27" s="84"/>
      <c r="O27" s="118">
        <f t="shared" si="1"/>
      </c>
      <c r="P27" s="84"/>
      <c r="Q27" s="84"/>
      <c r="R27" s="84"/>
      <c r="S27" s="118">
        <f t="shared" si="2"/>
      </c>
      <c r="T27" s="84"/>
      <c r="U27" s="84"/>
      <c r="V27" s="84"/>
      <c r="W27" s="84"/>
      <c r="X27" s="84"/>
      <c r="Y27" s="118">
        <f t="shared" si="3"/>
      </c>
      <c r="Z27" s="118">
        <f t="shared" si="4"/>
      </c>
      <c r="AA27" s="84"/>
      <c r="AB27" s="84"/>
      <c r="AC27" s="84"/>
      <c r="AD27" s="84"/>
      <c r="AE27" s="118">
        <f t="shared" si="5"/>
      </c>
      <c r="AF27" s="84"/>
      <c r="AG27" s="84"/>
      <c r="AH27" s="118">
        <f t="shared" si="6"/>
      </c>
      <c r="AI27" s="84"/>
      <c r="AJ27" s="84"/>
      <c r="AK27" s="84"/>
      <c r="AL27" s="84"/>
      <c r="AM27" s="118">
        <f t="shared" si="7"/>
      </c>
      <c r="AN27" s="84"/>
      <c r="AO27" s="84"/>
      <c r="AP27" s="118">
        <f t="shared" si="8"/>
      </c>
      <c r="AQ27" s="84"/>
      <c r="AR27" s="84"/>
      <c r="AS27" s="84"/>
      <c r="AT27" s="84"/>
      <c r="AU27" s="84"/>
      <c r="AV27" s="118">
        <f t="shared" si="9"/>
      </c>
      <c r="AW27" s="84"/>
      <c r="AX27" s="84"/>
      <c r="AY27" s="84"/>
      <c r="AZ27" s="84"/>
      <c r="BA27" s="118">
        <f t="shared" si="10"/>
      </c>
      <c r="BB27" s="118">
        <f t="shared" si="11"/>
      </c>
      <c r="BC27" s="84"/>
      <c r="BD27" s="84"/>
      <c r="BE27" s="84"/>
      <c r="BF27" s="84"/>
      <c r="BG27" s="84"/>
      <c r="BH27" s="44"/>
      <c r="BJ27" s="94" t="s">
        <v>36</v>
      </c>
      <c r="BK27" s="96">
        <f>COUNTIF(Ethnicity,"Black or black British: African")</f>
        <v>0</v>
      </c>
    </row>
    <row r="28" spans="2:63" s="43" customFormat="1" ht="30" customHeight="1" thickBot="1">
      <c r="B28" s="86">
        <v>21</v>
      </c>
      <c r="C28" s="84"/>
      <c r="D28" s="84"/>
      <c r="E28" s="84"/>
      <c r="F28" s="84"/>
      <c r="G28" s="84"/>
      <c r="H28" s="84"/>
      <c r="I28" s="84"/>
      <c r="J28" s="84"/>
      <c r="K28" s="84"/>
      <c r="L28" s="118">
        <f t="shared" si="0"/>
      </c>
      <c r="M28" s="84"/>
      <c r="N28" s="84"/>
      <c r="O28" s="118">
        <f t="shared" si="1"/>
      </c>
      <c r="P28" s="84"/>
      <c r="Q28" s="84"/>
      <c r="R28" s="84"/>
      <c r="S28" s="118">
        <f t="shared" si="2"/>
      </c>
      <c r="T28" s="84"/>
      <c r="U28" s="84"/>
      <c r="V28" s="84"/>
      <c r="W28" s="84"/>
      <c r="X28" s="84"/>
      <c r="Y28" s="118">
        <f t="shared" si="3"/>
      </c>
      <c r="Z28" s="118">
        <f t="shared" si="4"/>
      </c>
      <c r="AA28" s="84"/>
      <c r="AB28" s="84"/>
      <c r="AC28" s="84"/>
      <c r="AD28" s="84"/>
      <c r="AE28" s="118">
        <f t="shared" si="5"/>
      </c>
      <c r="AF28" s="84"/>
      <c r="AG28" s="84"/>
      <c r="AH28" s="118">
        <f t="shared" si="6"/>
      </c>
      <c r="AI28" s="84"/>
      <c r="AJ28" s="84"/>
      <c r="AK28" s="84"/>
      <c r="AL28" s="84"/>
      <c r="AM28" s="118">
        <f t="shared" si="7"/>
      </c>
      <c r="AN28" s="84"/>
      <c r="AO28" s="84"/>
      <c r="AP28" s="118">
        <f t="shared" si="8"/>
      </c>
      <c r="AQ28" s="84"/>
      <c r="AR28" s="84"/>
      <c r="AS28" s="84"/>
      <c r="AT28" s="84"/>
      <c r="AU28" s="84"/>
      <c r="AV28" s="118">
        <f t="shared" si="9"/>
      </c>
      <c r="AW28" s="84"/>
      <c r="AX28" s="84"/>
      <c r="AY28" s="84"/>
      <c r="AZ28" s="84"/>
      <c r="BA28" s="118">
        <f t="shared" si="10"/>
      </c>
      <c r="BB28" s="118">
        <f t="shared" si="11"/>
      </c>
      <c r="BC28" s="84"/>
      <c r="BD28" s="84"/>
      <c r="BE28" s="84"/>
      <c r="BF28" s="84"/>
      <c r="BG28" s="84"/>
      <c r="BH28" s="44"/>
      <c r="BJ28" s="94" t="s">
        <v>40</v>
      </c>
      <c r="BK28" s="96">
        <f>COUNTIF(Ethnicity,"Any other black background")</f>
        <v>0</v>
      </c>
    </row>
    <row r="29" spans="2:63" s="43" customFormat="1" ht="30" customHeight="1" thickBot="1">
      <c r="B29" s="86">
        <v>22</v>
      </c>
      <c r="C29" s="84"/>
      <c r="D29" s="84"/>
      <c r="E29" s="84"/>
      <c r="F29" s="84"/>
      <c r="G29" s="84"/>
      <c r="H29" s="84"/>
      <c r="I29" s="84"/>
      <c r="J29" s="84"/>
      <c r="K29" s="84"/>
      <c r="L29" s="118">
        <f t="shared" si="0"/>
      </c>
      <c r="M29" s="84"/>
      <c r="N29" s="84"/>
      <c r="O29" s="118">
        <f t="shared" si="1"/>
      </c>
      <c r="P29" s="84"/>
      <c r="Q29" s="84"/>
      <c r="R29" s="84"/>
      <c r="S29" s="118">
        <f t="shared" si="2"/>
      </c>
      <c r="T29" s="84"/>
      <c r="U29" s="84"/>
      <c r="V29" s="84"/>
      <c r="W29" s="84"/>
      <c r="X29" s="84"/>
      <c r="Y29" s="118">
        <f t="shared" si="3"/>
      </c>
      <c r="Z29" s="118">
        <f t="shared" si="4"/>
      </c>
      <c r="AA29" s="84"/>
      <c r="AB29" s="84"/>
      <c r="AC29" s="84"/>
      <c r="AD29" s="84"/>
      <c r="AE29" s="118">
        <f t="shared" si="5"/>
      </c>
      <c r="AF29" s="84"/>
      <c r="AG29" s="84"/>
      <c r="AH29" s="118">
        <f t="shared" si="6"/>
      </c>
      <c r="AI29" s="84"/>
      <c r="AJ29" s="84"/>
      <c r="AK29" s="84"/>
      <c r="AL29" s="84"/>
      <c r="AM29" s="118">
        <f t="shared" si="7"/>
      </c>
      <c r="AN29" s="84"/>
      <c r="AO29" s="84"/>
      <c r="AP29" s="118">
        <f t="shared" si="8"/>
      </c>
      <c r="AQ29" s="84"/>
      <c r="AR29" s="84"/>
      <c r="AS29" s="84"/>
      <c r="AT29" s="84"/>
      <c r="AU29" s="84"/>
      <c r="AV29" s="118">
        <f t="shared" si="9"/>
      </c>
      <c r="AW29" s="84"/>
      <c r="AX29" s="84"/>
      <c r="AY29" s="84"/>
      <c r="AZ29" s="84"/>
      <c r="BA29" s="118">
        <f t="shared" si="10"/>
      </c>
      <c r="BB29" s="118">
        <f t="shared" si="11"/>
      </c>
      <c r="BC29" s="84"/>
      <c r="BD29" s="84"/>
      <c r="BE29" s="84"/>
      <c r="BF29" s="84"/>
      <c r="BG29" s="84"/>
      <c r="BH29" s="44"/>
      <c r="BJ29" s="94" t="s">
        <v>31</v>
      </c>
      <c r="BK29" s="96">
        <f>COUNTIF(Ethnicity,"Chinese")</f>
        <v>0</v>
      </c>
    </row>
    <row r="30" spans="2:63" s="43" customFormat="1" ht="30" customHeight="1" thickBot="1">
      <c r="B30" s="86">
        <v>23</v>
      </c>
      <c r="C30" s="84"/>
      <c r="D30" s="84"/>
      <c r="E30" s="84"/>
      <c r="F30" s="84"/>
      <c r="G30" s="84"/>
      <c r="H30" s="84"/>
      <c r="I30" s="84"/>
      <c r="J30" s="84"/>
      <c r="K30" s="84"/>
      <c r="L30" s="118">
        <f t="shared" si="0"/>
      </c>
      <c r="M30" s="84"/>
      <c r="N30" s="84"/>
      <c r="O30" s="118">
        <f t="shared" si="1"/>
      </c>
      <c r="P30" s="84"/>
      <c r="Q30" s="84"/>
      <c r="R30" s="84"/>
      <c r="S30" s="118">
        <f t="shared" si="2"/>
      </c>
      <c r="T30" s="84"/>
      <c r="U30" s="84"/>
      <c r="V30" s="84"/>
      <c r="W30" s="84"/>
      <c r="X30" s="84"/>
      <c r="Y30" s="118">
        <f t="shared" si="3"/>
      </c>
      <c r="Z30" s="118">
        <f t="shared" si="4"/>
      </c>
      <c r="AA30" s="84"/>
      <c r="AB30" s="84"/>
      <c r="AC30" s="84"/>
      <c r="AD30" s="84"/>
      <c r="AE30" s="118">
        <f t="shared" si="5"/>
      </c>
      <c r="AF30" s="84"/>
      <c r="AG30" s="84"/>
      <c r="AH30" s="118">
        <f t="shared" si="6"/>
      </c>
      <c r="AI30" s="84"/>
      <c r="AJ30" s="84"/>
      <c r="AK30" s="84"/>
      <c r="AL30" s="84"/>
      <c r="AM30" s="118">
        <f t="shared" si="7"/>
      </c>
      <c r="AN30" s="84"/>
      <c r="AO30" s="84"/>
      <c r="AP30" s="118">
        <f t="shared" si="8"/>
      </c>
      <c r="AQ30" s="84"/>
      <c r="AR30" s="84"/>
      <c r="AS30" s="84"/>
      <c r="AT30" s="84"/>
      <c r="AU30" s="84"/>
      <c r="AV30" s="118">
        <f t="shared" si="9"/>
      </c>
      <c r="AW30" s="84"/>
      <c r="AX30" s="84"/>
      <c r="AY30" s="84"/>
      <c r="AZ30" s="84"/>
      <c r="BA30" s="118">
        <f t="shared" si="10"/>
      </c>
      <c r="BB30" s="118">
        <f t="shared" si="11"/>
      </c>
      <c r="BC30" s="84"/>
      <c r="BD30" s="84"/>
      <c r="BE30" s="84"/>
      <c r="BF30" s="84"/>
      <c r="BG30" s="84"/>
      <c r="BH30" s="44"/>
      <c r="BJ30" s="94" t="s">
        <v>41</v>
      </c>
      <c r="BK30" s="96">
        <f>COUNTIF(Ethnicity,"Any other ethnic group")</f>
        <v>0</v>
      </c>
    </row>
    <row r="31" spans="2:63" s="43" customFormat="1" ht="30" customHeight="1" thickBot="1">
      <c r="B31" s="86">
        <v>24</v>
      </c>
      <c r="C31" s="84"/>
      <c r="D31" s="84"/>
      <c r="E31" s="84"/>
      <c r="F31" s="84"/>
      <c r="G31" s="84"/>
      <c r="H31" s="84"/>
      <c r="I31" s="84"/>
      <c r="J31" s="84"/>
      <c r="K31" s="84"/>
      <c r="L31" s="118">
        <f t="shared" si="0"/>
      </c>
      <c r="M31" s="84"/>
      <c r="N31" s="84"/>
      <c r="O31" s="118">
        <f t="shared" si="1"/>
      </c>
      <c r="P31" s="84"/>
      <c r="Q31" s="84"/>
      <c r="R31" s="84"/>
      <c r="S31" s="118">
        <f t="shared" si="2"/>
      </c>
      <c r="T31" s="84"/>
      <c r="U31" s="84"/>
      <c r="V31" s="84"/>
      <c r="W31" s="84"/>
      <c r="X31" s="84"/>
      <c r="Y31" s="118">
        <f t="shared" si="3"/>
      </c>
      <c r="Z31" s="118">
        <f t="shared" si="4"/>
      </c>
      <c r="AA31" s="84"/>
      <c r="AB31" s="84"/>
      <c r="AC31" s="84"/>
      <c r="AD31" s="84"/>
      <c r="AE31" s="118">
        <f t="shared" si="5"/>
      </c>
      <c r="AF31" s="84"/>
      <c r="AG31" s="84"/>
      <c r="AH31" s="118">
        <f t="shared" si="6"/>
      </c>
      <c r="AI31" s="84"/>
      <c r="AJ31" s="84"/>
      <c r="AK31" s="84"/>
      <c r="AL31" s="84"/>
      <c r="AM31" s="118">
        <f t="shared" si="7"/>
      </c>
      <c r="AN31" s="84"/>
      <c r="AO31" s="84"/>
      <c r="AP31" s="118">
        <f t="shared" si="8"/>
      </c>
      <c r="AQ31" s="84"/>
      <c r="AR31" s="84"/>
      <c r="AS31" s="84"/>
      <c r="AT31" s="84"/>
      <c r="AU31" s="84"/>
      <c r="AV31" s="118">
        <f t="shared" si="9"/>
      </c>
      <c r="AW31" s="84"/>
      <c r="AX31" s="84"/>
      <c r="AY31" s="84"/>
      <c r="AZ31" s="84"/>
      <c r="BA31" s="118">
        <f t="shared" si="10"/>
      </c>
      <c r="BB31" s="118">
        <f t="shared" si="11"/>
      </c>
      <c r="BC31" s="84"/>
      <c r="BD31" s="84"/>
      <c r="BE31" s="84"/>
      <c r="BF31" s="84"/>
      <c r="BG31" s="84"/>
      <c r="BH31" s="44"/>
      <c r="BJ31" s="94" t="s">
        <v>32</v>
      </c>
      <c r="BK31" s="96">
        <f>COUNTIF(Ethnicity,"Not stated")</f>
        <v>0</v>
      </c>
    </row>
    <row r="32" spans="2:60" s="43" customFormat="1" ht="30" customHeight="1" thickBot="1">
      <c r="B32" s="86">
        <v>25</v>
      </c>
      <c r="C32" s="84"/>
      <c r="D32" s="84"/>
      <c r="E32" s="84"/>
      <c r="F32" s="84"/>
      <c r="G32" s="84"/>
      <c r="H32" s="84"/>
      <c r="I32" s="84"/>
      <c r="J32" s="84"/>
      <c r="K32" s="84"/>
      <c r="L32" s="118">
        <f t="shared" si="0"/>
      </c>
      <c r="M32" s="84"/>
      <c r="N32" s="84"/>
      <c r="O32" s="118">
        <f t="shared" si="1"/>
      </c>
      <c r="P32" s="84"/>
      <c r="Q32" s="84"/>
      <c r="R32" s="84"/>
      <c r="S32" s="118">
        <f t="shared" si="2"/>
      </c>
      <c r="T32" s="84"/>
      <c r="U32" s="84"/>
      <c r="V32" s="84"/>
      <c r="W32" s="84"/>
      <c r="X32" s="84"/>
      <c r="Y32" s="118">
        <f t="shared" si="3"/>
      </c>
      <c r="Z32" s="118">
        <f t="shared" si="4"/>
      </c>
      <c r="AA32" s="84"/>
      <c r="AB32" s="84"/>
      <c r="AC32" s="84"/>
      <c r="AD32" s="84"/>
      <c r="AE32" s="118">
        <f t="shared" si="5"/>
      </c>
      <c r="AF32" s="84"/>
      <c r="AG32" s="84"/>
      <c r="AH32" s="118">
        <f t="shared" si="6"/>
      </c>
      <c r="AI32" s="84"/>
      <c r="AJ32" s="84"/>
      <c r="AK32" s="84"/>
      <c r="AL32" s="84"/>
      <c r="AM32" s="118">
        <f t="shared" si="7"/>
      </c>
      <c r="AN32" s="84"/>
      <c r="AO32" s="84"/>
      <c r="AP32" s="118">
        <f t="shared" si="8"/>
      </c>
      <c r="AQ32" s="84"/>
      <c r="AR32" s="84"/>
      <c r="AS32" s="84"/>
      <c r="AT32" s="84"/>
      <c r="AU32" s="84"/>
      <c r="AV32" s="118">
        <f t="shared" si="9"/>
      </c>
      <c r="AW32" s="84"/>
      <c r="AX32" s="84"/>
      <c r="AY32" s="84"/>
      <c r="AZ32" s="84"/>
      <c r="BA32" s="118">
        <f t="shared" si="10"/>
      </c>
      <c r="BB32" s="118">
        <f t="shared" si="11"/>
      </c>
      <c r="BC32" s="84"/>
      <c r="BD32" s="84"/>
      <c r="BE32" s="84"/>
      <c r="BF32" s="84"/>
      <c r="BG32" s="84"/>
      <c r="BH32" s="44"/>
    </row>
    <row r="33" spans="2:60" s="43" customFormat="1" ht="30" customHeight="1" thickBot="1">
      <c r="B33" s="86">
        <v>26</v>
      </c>
      <c r="C33" s="84"/>
      <c r="D33" s="84"/>
      <c r="E33" s="84"/>
      <c r="F33" s="84"/>
      <c r="G33" s="84"/>
      <c r="H33" s="84"/>
      <c r="I33" s="84"/>
      <c r="J33" s="84"/>
      <c r="K33" s="84"/>
      <c r="L33" s="118">
        <f t="shared" si="0"/>
      </c>
      <c r="M33" s="84"/>
      <c r="N33" s="84"/>
      <c r="O33" s="118">
        <f t="shared" si="1"/>
      </c>
      <c r="P33" s="84"/>
      <c r="Q33" s="84"/>
      <c r="R33" s="84"/>
      <c r="S33" s="118">
        <f t="shared" si="2"/>
      </c>
      <c r="T33" s="84"/>
      <c r="U33" s="84"/>
      <c r="V33" s="84"/>
      <c r="W33" s="84"/>
      <c r="X33" s="84"/>
      <c r="Y33" s="118">
        <f t="shared" si="3"/>
      </c>
      <c r="Z33" s="118">
        <f t="shared" si="4"/>
      </c>
      <c r="AA33" s="84"/>
      <c r="AB33" s="84"/>
      <c r="AC33" s="84"/>
      <c r="AD33" s="84"/>
      <c r="AE33" s="118">
        <f t="shared" si="5"/>
      </c>
      <c r="AF33" s="84"/>
      <c r="AG33" s="84"/>
      <c r="AH33" s="118">
        <f t="shared" si="6"/>
      </c>
      <c r="AI33" s="84"/>
      <c r="AJ33" s="84"/>
      <c r="AK33" s="84"/>
      <c r="AL33" s="84"/>
      <c r="AM33" s="118">
        <f t="shared" si="7"/>
      </c>
      <c r="AN33" s="84"/>
      <c r="AO33" s="84"/>
      <c r="AP33" s="118">
        <f t="shared" si="8"/>
      </c>
      <c r="AQ33" s="84"/>
      <c r="AR33" s="84"/>
      <c r="AS33" s="84"/>
      <c r="AT33" s="84"/>
      <c r="AU33" s="84"/>
      <c r="AV33" s="118">
        <f t="shared" si="9"/>
      </c>
      <c r="AW33" s="84"/>
      <c r="AX33" s="84"/>
      <c r="AY33" s="84"/>
      <c r="AZ33" s="84"/>
      <c r="BA33" s="118">
        <f t="shared" si="10"/>
      </c>
      <c r="BB33" s="118">
        <f t="shared" si="11"/>
      </c>
      <c r="BC33" s="84"/>
      <c r="BD33" s="84"/>
      <c r="BE33" s="84"/>
      <c r="BF33" s="84"/>
      <c r="BG33" s="84"/>
      <c r="BH33" s="44"/>
    </row>
    <row r="34" spans="2:60" s="43" customFormat="1" ht="30" customHeight="1" thickBot="1">
      <c r="B34" s="86">
        <v>27</v>
      </c>
      <c r="C34" s="84"/>
      <c r="D34" s="84"/>
      <c r="E34" s="84"/>
      <c r="F34" s="84"/>
      <c r="G34" s="84"/>
      <c r="H34" s="84"/>
      <c r="I34" s="84"/>
      <c r="J34" s="84"/>
      <c r="K34" s="84"/>
      <c r="L34" s="118">
        <f t="shared" si="0"/>
      </c>
      <c r="M34" s="84"/>
      <c r="N34" s="84"/>
      <c r="O34" s="118">
        <f t="shared" si="1"/>
      </c>
      <c r="P34" s="84"/>
      <c r="Q34" s="84"/>
      <c r="R34" s="84"/>
      <c r="S34" s="118">
        <f t="shared" si="2"/>
      </c>
      <c r="T34" s="84"/>
      <c r="U34" s="84"/>
      <c r="V34" s="84"/>
      <c r="W34" s="84"/>
      <c r="X34" s="84"/>
      <c r="Y34" s="118">
        <f t="shared" si="3"/>
      </c>
      <c r="Z34" s="118">
        <f t="shared" si="4"/>
      </c>
      <c r="AA34" s="84"/>
      <c r="AB34" s="84"/>
      <c r="AC34" s="84"/>
      <c r="AD34" s="84"/>
      <c r="AE34" s="118">
        <f t="shared" si="5"/>
      </c>
      <c r="AF34" s="84"/>
      <c r="AG34" s="84"/>
      <c r="AH34" s="118">
        <f t="shared" si="6"/>
      </c>
      <c r="AI34" s="84"/>
      <c r="AJ34" s="84"/>
      <c r="AK34" s="84"/>
      <c r="AL34" s="84"/>
      <c r="AM34" s="118">
        <f t="shared" si="7"/>
      </c>
      <c r="AN34" s="84"/>
      <c r="AO34" s="84"/>
      <c r="AP34" s="118">
        <f t="shared" si="8"/>
      </c>
      <c r="AQ34" s="84"/>
      <c r="AR34" s="84"/>
      <c r="AS34" s="84"/>
      <c r="AT34" s="84"/>
      <c r="AU34" s="84"/>
      <c r="AV34" s="118">
        <f t="shared" si="9"/>
      </c>
      <c r="AW34" s="84"/>
      <c r="AX34" s="84"/>
      <c r="AY34" s="84"/>
      <c r="AZ34" s="84"/>
      <c r="BA34" s="118">
        <f t="shared" si="10"/>
      </c>
      <c r="BB34" s="118">
        <f t="shared" si="11"/>
      </c>
      <c r="BC34" s="84"/>
      <c r="BD34" s="84"/>
      <c r="BE34" s="84"/>
      <c r="BF34" s="84"/>
      <c r="BG34" s="84"/>
      <c r="BH34" s="44"/>
    </row>
    <row r="35" spans="2:60" s="43" customFormat="1" ht="30" customHeight="1" thickBot="1">
      <c r="B35" s="86">
        <v>28</v>
      </c>
      <c r="C35" s="84"/>
      <c r="D35" s="84"/>
      <c r="E35" s="84"/>
      <c r="F35" s="84"/>
      <c r="G35" s="84"/>
      <c r="H35" s="84"/>
      <c r="I35" s="84"/>
      <c r="J35" s="84"/>
      <c r="K35" s="84"/>
      <c r="L35" s="118">
        <f t="shared" si="0"/>
      </c>
      <c r="M35" s="84"/>
      <c r="N35" s="84"/>
      <c r="O35" s="118">
        <f t="shared" si="1"/>
      </c>
      <c r="P35" s="84"/>
      <c r="Q35" s="84"/>
      <c r="R35" s="84"/>
      <c r="S35" s="118">
        <f t="shared" si="2"/>
      </c>
      <c r="T35" s="84"/>
      <c r="U35" s="84"/>
      <c r="V35" s="84"/>
      <c r="W35" s="84"/>
      <c r="X35" s="84"/>
      <c r="Y35" s="118">
        <f t="shared" si="3"/>
      </c>
      <c r="Z35" s="118">
        <f t="shared" si="4"/>
      </c>
      <c r="AA35" s="84"/>
      <c r="AB35" s="84"/>
      <c r="AC35" s="84"/>
      <c r="AD35" s="84"/>
      <c r="AE35" s="118">
        <f t="shared" si="5"/>
      </c>
      <c r="AF35" s="84"/>
      <c r="AG35" s="84"/>
      <c r="AH35" s="118">
        <f t="shared" si="6"/>
      </c>
      <c r="AI35" s="84"/>
      <c r="AJ35" s="84"/>
      <c r="AK35" s="84"/>
      <c r="AL35" s="84"/>
      <c r="AM35" s="118">
        <f t="shared" si="7"/>
      </c>
      <c r="AN35" s="84"/>
      <c r="AO35" s="84"/>
      <c r="AP35" s="118">
        <f t="shared" si="8"/>
      </c>
      <c r="AQ35" s="84"/>
      <c r="AR35" s="84"/>
      <c r="AS35" s="84"/>
      <c r="AT35" s="84"/>
      <c r="AU35" s="84"/>
      <c r="AV35" s="118">
        <f t="shared" si="9"/>
      </c>
      <c r="AW35" s="84"/>
      <c r="AX35" s="84"/>
      <c r="AY35" s="84"/>
      <c r="AZ35" s="84"/>
      <c r="BA35" s="118">
        <f t="shared" si="10"/>
      </c>
      <c r="BB35" s="118">
        <f t="shared" si="11"/>
      </c>
      <c r="BC35" s="84"/>
      <c r="BD35" s="84"/>
      <c r="BE35" s="84"/>
      <c r="BF35" s="84"/>
      <c r="BG35" s="84"/>
      <c r="BH35" s="44"/>
    </row>
    <row r="36" spans="2:60" s="43" customFormat="1" ht="30" customHeight="1" thickBot="1">
      <c r="B36" s="86">
        <v>29</v>
      </c>
      <c r="C36" s="84"/>
      <c r="D36" s="84"/>
      <c r="E36" s="84"/>
      <c r="F36" s="84"/>
      <c r="G36" s="84"/>
      <c r="H36" s="84"/>
      <c r="I36" s="84"/>
      <c r="J36" s="84"/>
      <c r="K36" s="84"/>
      <c r="L36" s="118">
        <f t="shared" si="0"/>
      </c>
      <c r="M36" s="84"/>
      <c r="N36" s="84"/>
      <c r="O36" s="118">
        <f t="shared" si="1"/>
      </c>
      <c r="P36" s="84"/>
      <c r="Q36" s="84"/>
      <c r="R36" s="84"/>
      <c r="S36" s="118">
        <f t="shared" si="2"/>
      </c>
      <c r="T36" s="84"/>
      <c r="U36" s="84"/>
      <c r="V36" s="84"/>
      <c r="W36" s="84"/>
      <c r="X36" s="84"/>
      <c r="Y36" s="118">
        <f t="shared" si="3"/>
      </c>
      <c r="Z36" s="118">
        <f t="shared" si="4"/>
      </c>
      <c r="AA36" s="84"/>
      <c r="AB36" s="84"/>
      <c r="AC36" s="84"/>
      <c r="AD36" s="84"/>
      <c r="AE36" s="118">
        <f t="shared" si="5"/>
      </c>
      <c r="AF36" s="84"/>
      <c r="AG36" s="84"/>
      <c r="AH36" s="118">
        <f t="shared" si="6"/>
      </c>
      <c r="AI36" s="84"/>
      <c r="AJ36" s="84"/>
      <c r="AK36" s="84"/>
      <c r="AL36" s="84"/>
      <c r="AM36" s="118">
        <f t="shared" si="7"/>
      </c>
      <c r="AN36" s="84"/>
      <c r="AO36" s="84"/>
      <c r="AP36" s="118">
        <f t="shared" si="8"/>
      </c>
      <c r="AQ36" s="84"/>
      <c r="AR36" s="84"/>
      <c r="AS36" s="84"/>
      <c r="AT36" s="84"/>
      <c r="AU36" s="84"/>
      <c r="AV36" s="118">
        <f t="shared" si="9"/>
      </c>
      <c r="AW36" s="84"/>
      <c r="AX36" s="84"/>
      <c r="AY36" s="84"/>
      <c r="AZ36" s="84"/>
      <c r="BA36" s="118">
        <f t="shared" si="10"/>
      </c>
      <c r="BB36" s="118">
        <f t="shared" si="11"/>
      </c>
      <c r="BC36" s="84"/>
      <c r="BD36" s="84"/>
      <c r="BE36" s="84"/>
      <c r="BF36" s="84"/>
      <c r="BG36" s="84"/>
      <c r="BH36" s="44"/>
    </row>
    <row r="37" spans="2:60" s="43" customFormat="1" ht="30" customHeight="1" thickBot="1">
      <c r="B37" s="86">
        <v>30</v>
      </c>
      <c r="C37" s="84"/>
      <c r="D37" s="84"/>
      <c r="E37" s="84"/>
      <c r="F37" s="84"/>
      <c r="G37" s="84"/>
      <c r="H37" s="84"/>
      <c r="I37" s="84"/>
      <c r="J37" s="84"/>
      <c r="K37" s="84"/>
      <c r="L37" s="118">
        <f t="shared" si="0"/>
      </c>
      <c r="M37" s="84"/>
      <c r="N37" s="84"/>
      <c r="O37" s="118">
        <f t="shared" si="1"/>
      </c>
      <c r="P37" s="84"/>
      <c r="Q37" s="84"/>
      <c r="R37" s="84"/>
      <c r="S37" s="118">
        <f t="shared" si="2"/>
      </c>
      <c r="T37" s="84"/>
      <c r="U37" s="84"/>
      <c r="V37" s="84"/>
      <c r="W37" s="84"/>
      <c r="X37" s="84"/>
      <c r="Y37" s="118">
        <f t="shared" si="3"/>
      </c>
      <c r="Z37" s="118">
        <f t="shared" si="4"/>
      </c>
      <c r="AA37" s="84"/>
      <c r="AB37" s="84"/>
      <c r="AC37" s="84"/>
      <c r="AD37" s="84"/>
      <c r="AE37" s="118">
        <f t="shared" si="5"/>
      </c>
      <c r="AF37" s="84"/>
      <c r="AG37" s="84"/>
      <c r="AH37" s="118">
        <f t="shared" si="6"/>
      </c>
      <c r="AI37" s="84"/>
      <c r="AJ37" s="84"/>
      <c r="AK37" s="84"/>
      <c r="AL37" s="84"/>
      <c r="AM37" s="118">
        <f t="shared" si="7"/>
      </c>
      <c r="AN37" s="84"/>
      <c r="AO37" s="84"/>
      <c r="AP37" s="118">
        <f t="shared" si="8"/>
      </c>
      <c r="AQ37" s="84"/>
      <c r="AR37" s="84"/>
      <c r="AS37" s="84"/>
      <c r="AT37" s="84"/>
      <c r="AU37" s="84"/>
      <c r="AV37" s="118">
        <f t="shared" si="9"/>
      </c>
      <c r="AW37" s="84"/>
      <c r="AX37" s="84"/>
      <c r="AY37" s="84"/>
      <c r="AZ37" s="84"/>
      <c r="BA37" s="118">
        <f t="shared" si="10"/>
      </c>
      <c r="BB37" s="118">
        <f t="shared" si="11"/>
      </c>
      <c r="BC37" s="84"/>
      <c r="BD37" s="84"/>
      <c r="BE37" s="84"/>
      <c r="BF37" s="84"/>
      <c r="BG37" s="84"/>
      <c r="BH37" s="44"/>
    </row>
    <row r="38" spans="2:60" s="43" customFormat="1" ht="30" customHeight="1" thickBot="1">
      <c r="B38" s="87">
        <v>31</v>
      </c>
      <c r="C38" s="84"/>
      <c r="D38" s="84"/>
      <c r="E38" s="84"/>
      <c r="F38" s="84"/>
      <c r="G38" s="84"/>
      <c r="H38" s="84"/>
      <c r="I38" s="84"/>
      <c r="J38" s="84"/>
      <c r="K38" s="84"/>
      <c r="L38" s="118">
        <f t="shared" si="0"/>
      </c>
      <c r="M38" s="84"/>
      <c r="N38" s="84"/>
      <c r="O38" s="118">
        <f t="shared" si="1"/>
      </c>
      <c r="P38" s="84"/>
      <c r="Q38" s="84"/>
      <c r="R38" s="84"/>
      <c r="S38" s="118">
        <f t="shared" si="2"/>
      </c>
      <c r="T38" s="84"/>
      <c r="U38" s="84"/>
      <c r="V38" s="84"/>
      <c r="W38" s="84"/>
      <c r="X38" s="84"/>
      <c r="Y38" s="118">
        <f t="shared" si="3"/>
      </c>
      <c r="Z38" s="118">
        <f t="shared" si="4"/>
      </c>
      <c r="AA38" s="84"/>
      <c r="AB38" s="84"/>
      <c r="AC38" s="84"/>
      <c r="AD38" s="84"/>
      <c r="AE38" s="118">
        <f t="shared" si="5"/>
      </c>
      <c r="AF38" s="84"/>
      <c r="AG38" s="84"/>
      <c r="AH38" s="118">
        <f t="shared" si="6"/>
      </c>
      <c r="AI38" s="84"/>
      <c r="AJ38" s="84"/>
      <c r="AK38" s="84"/>
      <c r="AL38" s="84"/>
      <c r="AM38" s="118">
        <f t="shared" si="7"/>
      </c>
      <c r="AN38" s="84"/>
      <c r="AO38" s="84"/>
      <c r="AP38" s="118">
        <f t="shared" si="8"/>
      </c>
      <c r="AQ38" s="84"/>
      <c r="AR38" s="84"/>
      <c r="AS38" s="84"/>
      <c r="AT38" s="84"/>
      <c r="AU38" s="84"/>
      <c r="AV38" s="118">
        <f t="shared" si="9"/>
      </c>
      <c r="AW38" s="84"/>
      <c r="AX38" s="84"/>
      <c r="AY38" s="84"/>
      <c r="AZ38" s="84"/>
      <c r="BA38" s="118">
        <f t="shared" si="10"/>
      </c>
      <c r="BB38" s="118">
        <f t="shared" si="11"/>
      </c>
      <c r="BC38" s="84"/>
      <c r="BD38" s="84"/>
      <c r="BE38" s="84"/>
      <c r="BF38" s="84"/>
      <c r="BG38" s="84"/>
      <c r="BH38" s="44"/>
    </row>
    <row r="39" spans="2:60" s="43" customFormat="1" ht="30" customHeight="1" thickBot="1">
      <c r="B39" s="86">
        <v>32</v>
      </c>
      <c r="C39" s="84"/>
      <c r="D39" s="84"/>
      <c r="E39" s="84"/>
      <c r="F39" s="84"/>
      <c r="G39" s="84"/>
      <c r="H39" s="84"/>
      <c r="I39" s="84"/>
      <c r="J39" s="84"/>
      <c r="K39" s="84"/>
      <c r="L39" s="118">
        <f t="shared" si="0"/>
      </c>
      <c r="M39" s="84"/>
      <c r="N39" s="84"/>
      <c r="O39" s="118">
        <f t="shared" si="1"/>
      </c>
      <c r="P39" s="84"/>
      <c r="Q39" s="84"/>
      <c r="R39" s="84"/>
      <c r="S39" s="118">
        <f t="shared" si="2"/>
      </c>
      <c r="T39" s="84"/>
      <c r="U39" s="84"/>
      <c r="V39" s="84"/>
      <c r="W39" s="84"/>
      <c r="X39" s="84"/>
      <c r="Y39" s="118">
        <f t="shared" si="3"/>
      </c>
      <c r="Z39" s="118">
        <f t="shared" si="4"/>
      </c>
      <c r="AA39" s="84"/>
      <c r="AB39" s="84"/>
      <c r="AC39" s="84"/>
      <c r="AD39" s="84"/>
      <c r="AE39" s="118">
        <f t="shared" si="5"/>
      </c>
      <c r="AF39" s="84"/>
      <c r="AG39" s="84"/>
      <c r="AH39" s="118">
        <f t="shared" si="6"/>
      </c>
      <c r="AI39" s="84"/>
      <c r="AJ39" s="84"/>
      <c r="AK39" s="84"/>
      <c r="AL39" s="84"/>
      <c r="AM39" s="118">
        <f t="shared" si="7"/>
      </c>
      <c r="AN39" s="84"/>
      <c r="AO39" s="84"/>
      <c r="AP39" s="118">
        <f t="shared" si="8"/>
      </c>
      <c r="AQ39" s="84"/>
      <c r="AR39" s="84"/>
      <c r="AS39" s="84"/>
      <c r="AT39" s="84"/>
      <c r="AU39" s="84"/>
      <c r="AV39" s="118">
        <f t="shared" si="9"/>
      </c>
      <c r="AW39" s="84"/>
      <c r="AX39" s="84"/>
      <c r="AY39" s="84"/>
      <c r="AZ39" s="84"/>
      <c r="BA39" s="118">
        <f t="shared" si="10"/>
      </c>
      <c r="BB39" s="118">
        <f t="shared" si="11"/>
      </c>
      <c r="BC39" s="84"/>
      <c r="BD39" s="84"/>
      <c r="BE39" s="84"/>
      <c r="BF39" s="84"/>
      <c r="BG39" s="84"/>
      <c r="BH39" s="44"/>
    </row>
    <row r="40" spans="2:60" s="43" customFormat="1" ht="30" customHeight="1" thickBot="1">
      <c r="B40" s="86">
        <v>33</v>
      </c>
      <c r="C40" s="84"/>
      <c r="D40" s="84"/>
      <c r="E40" s="84"/>
      <c r="F40" s="84"/>
      <c r="G40" s="84"/>
      <c r="H40" s="84"/>
      <c r="I40" s="84"/>
      <c r="J40" s="84"/>
      <c r="K40" s="84"/>
      <c r="L40" s="118">
        <f t="shared" si="0"/>
      </c>
      <c r="M40" s="84"/>
      <c r="N40" s="84"/>
      <c r="O40" s="118">
        <f t="shared" si="1"/>
      </c>
      <c r="P40" s="84"/>
      <c r="Q40" s="84"/>
      <c r="R40" s="84"/>
      <c r="S40" s="118">
        <f t="shared" si="2"/>
      </c>
      <c r="T40" s="84"/>
      <c r="U40" s="84"/>
      <c r="V40" s="84"/>
      <c r="W40" s="84"/>
      <c r="X40" s="84"/>
      <c r="Y40" s="118">
        <f t="shared" si="3"/>
      </c>
      <c r="Z40" s="118">
        <f t="shared" si="4"/>
      </c>
      <c r="AA40" s="84"/>
      <c r="AB40" s="84"/>
      <c r="AC40" s="84"/>
      <c r="AD40" s="84"/>
      <c r="AE40" s="118">
        <f t="shared" si="5"/>
      </c>
      <c r="AF40" s="84"/>
      <c r="AG40" s="84"/>
      <c r="AH40" s="118">
        <f t="shared" si="6"/>
      </c>
      <c r="AI40" s="84"/>
      <c r="AJ40" s="84"/>
      <c r="AK40" s="84"/>
      <c r="AL40" s="84"/>
      <c r="AM40" s="118">
        <f t="shared" si="7"/>
      </c>
      <c r="AN40" s="84"/>
      <c r="AO40" s="84"/>
      <c r="AP40" s="118">
        <f t="shared" si="8"/>
      </c>
      <c r="AQ40" s="84"/>
      <c r="AR40" s="84"/>
      <c r="AS40" s="84"/>
      <c r="AT40" s="84"/>
      <c r="AU40" s="84"/>
      <c r="AV40" s="118">
        <f t="shared" si="9"/>
      </c>
      <c r="AW40" s="84"/>
      <c r="AX40" s="84"/>
      <c r="AY40" s="84"/>
      <c r="AZ40" s="84"/>
      <c r="BA40" s="118">
        <f t="shared" si="10"/>
      </c>
      <c r="BB40" s="118">
        <f t="shared" si="11"/>
      </c>
      <c r="BC40" s="84"/>
      <c r="BD40" s="84"/>
      <c r="BE40" s="84"/>
      <c r="BF40" s="84"/>
      <c r="BG40" s="84"/>
      <c r="BH40" s="44"/>
    </row>
    <row r="41" spans="2:60" s="43" customFormat="1" ht="30" customHeight="1" thickBot="1">
      <c r="B41" s="86">
        <v>34</v>
      </c>
      <c r="C41" s="84"/>
      <c r="D41" s="84"/>
      <c r="E41" s="84"/>
      <c r="F41" s="84"/>
      <c r="G41" s="84"/>
      <c r="H41" s="84"/>
      <c r="I41" s="84"/>
      <c r="J41" s="84"/>
      <c r="K41" s="84"/>
      <c r="L41" s="118">
        <f t="shared" si="0"/>
      </c>
      <c r="M41" s="84"/>
      <c r="N41" s="84"/>
      <c r="O41" s="118">
        <f t="shared" si="1"/>
      </c>
      <c r="P41" s="84"/>
      <c r="Q41" s="84"/>
      <c r="R41" s="84"/>
      <c r="S41" s="118">
        <f t="shared" si="2"/>
      </c>
      <c r="T41" s="84"/>
      <c r="U41" s="84"/>
      <c r="V41" s="84"/>
      <c r="W41" s="84"/>
      <c r="X41" s="84"/>
      <c r="Y41" s="118">
        <f t="shared" si="3"/>
      </c>
      <c r="Z41" s="118">
        <f t="shared" si="4"/>
      </c>
      <c r="AA41" s="84"/>
      <c r="AB41" s="84"/>
      <c r="AC41" s="84"/>
      <c r="AD41" s="84"/>
      <c r="AE41" s="118">
        <f t="shared" si="5"/>
      </c>
      <c r="AF41" s="84"/>
      <c r="AG41" s="84"/>
      <c r="AH41" s="118">
        <f t="shared" si="6"/>
      </c>
      <c r="AI41" s="84"/>
      <c r="AJ41" s="84"/>
      <c r="AK41" s="84"/>
      <c r="AL41" s="84"/>
      <c r="AM41" s="118">
        <f t="shared" si="7"/>
      </c>
      <c r="AN41" s="84"/>
      <c r="AO41" s="84"/>
      <c r="AP41" s="118">
        <f t="shared" si="8"/>
      </c>
      <c r="AQ41" s="84"/>
      <c r="AR41" s="84"/>
      <c r="AS41" s="84"/>
      <c r="AT41" s="84"/>
      <c r="AU41" s="84"/>
      <c r="AV41" s="118">
        <f t="shared" si="9"/>
      </c>
      <c r="AW41" s="84"/>
      <c r="AX41" s="84"/>
      <c r="AY41" s="84"/>
      <c r="AZ41" s="84"/>
      <c r="BA41" s="118">
        <f t="shared" si="10"/>
      </c>
      <c r="BB41" s="118">
        <f t="shared" si="11"/>
      </c>
      <c r="BC41" s="84"/>
      <c r="BD41" s="84"/>
      <c r="BE41" s="84"/>
      <c r="BF41" s="84"/>
      <c r="BG41" s="84"/>
      <c r="BH41" s="44"/>
    </row>
    <row r="42" spans="2:60" s="43" customFormat="1" ht="30" customHeight="1" thickBot="1">
      <c r="B42" s="86">
        <v>35</v>
      </c>
      <c r="C42" s="84"/>
      <c r="D42" s="84"/>
      <c r="E42" s="84"/>
      <c r="F42" s="84"/>
      <c r="G42" s="84"/>
      <c r="H42" s="84"/>
      <c r="I42" s="84"/>
      <c r="J42" s="84"/>
      <c r="K42" s="84"/>
      <c r="L42" s="118">
        <f t="shared" si="0"/>
      </c>
      <c r="M42" s="84"/>
      <c r="N42" s="84"/>
      <c r="O42" s="118">
        <f t="shared" si="1"/>
      </c>
      <c r="P42" s="84"/>
      <c r="Q42" s="84"/>
      <c r="R42" s="84"/>
      <c r="S42" s="118">
        <f t="shared" si="2"/>
      </c>
      <c r="T42" s="84"/>
      <c r="U42" s="84"/>
      <c r="V42" s="84"/>
      <c r="W42" s="84"/>
      <c r="X42" s="84"/>
      <c r="Y42" s="118">
        <f t="shared" si="3"/>
      </c>
      <c r="Z42" s="118">
        <f t="shared" si="4"/>
      </c>
      <c r="AA42" s="84"/>
      <c r="AB42" s="84"/>
      <c r="AC42" s="84"/>
      <c r="AD42" s="84"/>
      <c r="AE42" s="118">
        <f t="shared" si="5"/>
      </c>
      <c r="AF42" s="84"/>
      <c r="AG42" s="84"/>
      <c r="AH42" s="118">
        <f t="shared" si="6"/>
      </c>
      <c r="AI42" s="84"/>
      <c r="AJ42" s="84"/>
      <c r="AK42" s="84"/>
      <c r="AL42" s="84"/>
      <c r="AM42" s="118">
        <f t="shared" si="7"/>
      </c>
      <c r="AN42" s="84"/>
      <c r="AO42" s="84"/>
      <c r="AP42" s="118">
        <f t="shared" si="8"/>
      </c>
      <c r="AQ42" s="84"/>
      <c r="AR42" s="84"/>
      <c r="AS42" s="84"/>
      <c r="AT42" s="84"/>
      <c r="AU42" s="84"/>
      <c r="AV42" s="118">
        <f t="shared" si="9"/>
      </c>
      <c r="AW42" s="84"/>
      <c r="AX42" s="84"/>
      <c r="AY42" s="84"/>
      <c r="AZ42" s="84"/>
      <c r="BA42" s="118">
        <f t="shared" si="10"/>
      </c>
      <c r="BB42" s="118">
        <f t="shared" si="11"/>
      </c>
      <c r="BC42" s="84"/>
      <c r="BD42" s="84"/>
      <c r="BE42" s="84"/>
      <c r="BF42" s="84"/>
      <c r="BG42" s="84"/>
      <c r="BH42" s="44"/>
    </row>
    <row r="43" spans="2:60" s="43" customFormat="1" ht="30" customHeight="1" thickBot="1">
      <c r="B43" s="86">
        <v>36</v>
      </c>
      <c r="C43" s="84"/>
      <c r="D43" s="84"/>
      <c r="E43" s="84"/>
      <c r="F43" s="84"/>
      <c r="G43" s="84"/>
      <c r="H43" s="84"/>
      <c r="I43" s="84"/>
      <c r="J43" s="84"/>
      <c r="K43" s="84"/>
      <c r="L43" s="118">
        <f t="shared" si="0"/>
      </c>
      <c r="M43" s="84"/>
      <c r="N43" s="84"/>
      <c r="O43" s="118">
        <f t="shared" si="1"/>
      </c>
      <c r="P43" s="84"/>
      <c r="Q43" s="84"/>
      <c r="R43" s="84"/>
      <c r="S43" s="118">
        <f t="shared" si="2"/>
      </c>
      <c r="T43" s="84"/>
      <c r="U43" s="84"/>
      <c r="V43" s="84"/>
      <c r="W43" s="84"/>
      <c r="X43" s="84"/>
      <c r="Y43" s="118">
        <f t="shared" si="3"/>
      </c>
      <c r="Z43" s="118">
        <f t="shared" si="4"/>
      </c>
      <c r="AA43" s="84"/>
      <c r="AB43" s="84"/>
      <c r="AC43" s="84"/>
      <c r="AD43" s="84"/>
      <c r="AE43" s="118">
        <f t="shared" si="5"/>
      </c>
      <c r="AF43" s="84"/>
      <c r="AG43" s="84"/>
      <c r="AH43" s="118">
        <f t="shared" si="6"/>
      </c>
      <c r="AI43" s="84"/>
      <c r="AJ43" s="84"/>
      <c r="AK43" s="84"/>
      <c r="AL43" s="84"/>
      <c r="AM43" s="118">
        <f t="shared" si="7"/>
      </c>
      <c r="AN43" s="84"/>
      <c r="AO43" s="84"/>
      <c r="AP43" s="118">
        <f t="shared" si="8"/>
      </c>
      <c r="AQ43" s="84"/>
      <c r="AR43" s="84"/>
      <c r="AS43" s="84"/>
      <c r="AT43" s="84"/>
      <c r="AU43" s="84"/>
      <c r="AV43" s="118">
        <f t="shared" si="9"/>
      </c>
      <c r="AW43" s="84"/>
      <c r="AX43" s="84"/>
      <c r="AY43" s="84"/>
      <c r="AZ43" s="84"/>
      <c r="BA43" s="118">
        <f t="shared" si="10"/>
      </c>
      <c r="BB43" s="118">
        <f t="shared" si="11"/>
      </c>
      <c r="BC43" s="84"/>
      <c r="BD43" s="84"/>
      <c r="BE43" s="84"/>
      <c r="BF43" s="84"/>
      <c r="BG43" s="84"/>
      <c r="BH43" s="44"/>
    </row>
    <row r="44" spans="2:60" s="43" customFormat="1" ht="30" customHeight="1" thickBot="1">
      <c r="B44" s="86">
        <v>37</v>
      </c>
      <c r="C44" s="84"/>
      <c r="D44" s="84"/>
      <c r="E44" s="84"/>
      <c r="F44" s="84"/>
      <c r="G44" s="84"/>
      <c r="H44" s="84"/>
      <c r="I44" s="84"/>
      <c r="J44" s="84"/>
      <c r="K44" s="84"/>
      <c r="L44" s="118">
        <f t="shared" si="0"/>
      </c>
      <c r="M44" s="84"/>
      <c r="N44" s="84"/>
      <c r="O44" s="118">
        <f t="shared" si="1"/>
      </c>
      <c r="P44" s="84"/>
      <c r="Q44" s="84"/>
      <c r="R44" s="84"/>
      <c r="S44" s="118">
        <f t="shared" si="2"/>
      </c>
      <c r="T44" s="84"/>
      <c r="U44" s="84"/>
      <c r="V44" s="84"/>
      <c r="W44" s="84"/>
      <c r="X44" s="84"/>
      <c r="Y44" s="118">
        <f t="shared" si="3"/>
      </c>
      <c r="Z44" s="118">
        <f t="shared" si="4"/>
      </c>
      <c r="AA44" s="84"/>
      <c r="AB44" s="84"/>
      <c r="AC44" s="84"/>
      <c r="AD44" s="84"/>
      <c r="AE44" s="118">
        <f t="shared" si="5"/>
      </c>
      <c r="AF44" s="84"/>
      <c r="AG44" s="84"/>
      <c r="AH44" s="118">
        <f t="shared" si="6"/>
      </c>
      <c r="AI44" s="84"/>
      <c r="AJ44" s="84"/>
      <c r="AK44" s="84"/>
      <c r="AL44" s="84"/>
      <c r="AM44" s="118">
        <f t="shared" si="7"/>
      </c>
      <c r="AN44" s="84"/>
      <c r="AO44" s="84"/>
      <c r="AP44" s="118">
        <f t="shared" si="8"/>
      </c>
      <c r="AQ44" s="84"/>
      <c r="AR44" s="84"/>
      <c r="AS44" s="84"/>
      <c r="AT44" s="84"/>
      <c r="AU44" s="84"/>
      <c r="AV44" s="118">
        <f t="shared" si="9"/>
      </c>
      <c r="AW44" s="84"/>
      <c r="AX44" s="84"/>
      <c r="AY44" s="84"/>
      <c r="AZ44" s="84"/>
      <c r="BA44" s="118">
        <f t="shared" si="10"/>
      </c>
      <c r="BB44" s="118">
        <f t="shared" si="11"/>
      </c>
      <c r="BC44" s="84"/>
      <c r="BD44" s="84"/>
      <c r="BE44" s="84"/>
      <c r="BF44" s="84"/>
      <c r="BG44" s="84"/>
      <c r="BH44" s="44"/>
    </row>
    <row r="45" spans="2:60" s="43" customFormat="1" ht="30" customHeight="1" thickBot="1">
      <c r="B45" s="86">
        <v>38</v>
      </c>
      <c r="C45" s="84"/>
      <c r="D45" s="84"/>
      <c r="E45" s="84"/>
      <c r="F45" s="84"/>
      <c r="G45" s="84"/>
      <c r="H45" s="84"/>
      <c r="I45" s="84"/>
      <c r="J45" s="84"/>
      <c r="K45" s="84"/>
      <c r="L45" s="118">
        <f t="shared" si="0"/>
      </c>
      <c r="M45" s="84"/>
      <c r="N45" s="84"/>
      <c r="O45" s="118">
        <f t="shared" si="1"/>
      </c>
      <c r="P45" s="84"/>
      <c r="Q45" s="84"/>
      <c r="R45" s="84"/>
      <c r="S45" s="118">
        <f t="shared" si="2"/>
      </c>
      <c r="T45" s="84"/>
      <c r="U45" s="84"/>
      <c r="V45" s="84"/>
      <c r="W45" s="84"/>
      <c r="X45" s="84"/>
      <c r="Y45" s="118">
        <f t="shared" si="3"/>
      </c>
      <c r="Z45" s="118">
        <f t="shared" si="4"/>
      </c>
      <c r="AA45" s="84"/>
      <c r="AB45" s="84"/>
      <c r="AC45" s="84"/>
      <c r="AD45" s="84"/>
      <c r="AE45" s="118">
        <f t="shared" si="5"/>
      </c>
      <c r="AF45" s="84"/>
      <c r="AG45" s="84"/>
      <c r="AH45" s="118">
        <f t="shared" si="6"/>
      </c>
      <c r="AI45" s="84"/>
      <c r="AJ45" s="84"/>
      <c r="AK45" s="84"/>
      <c r="AL45" s="84"/>
      <c r="AM45" s="118">
        <f t="shared" si="7"/>
      </c>
      <c r="AN45" s="84"/>
      <c r="AO45" s="84"/>
      <c r="AP45" s="118">
        <f t="shared" si="8"/>
      </c>
      <c r="AQ45" s="84"/>
      <c r="AR45" s="84"/>
      <c r="AS45" s="84"/>
      <c r="AT45" s="84"/>
      <c r="AU45" s="84"/>
      <c r="AV45" s="118">
        <f t="shared" si="9"/>
      </c>
      <c r="AW45" s="84"/>
      <c r="AX45" s="84"/>
      <c r="AY45" s="84"/>
      <c r="AZ45" s="84"/>
      <c r="BA45" s="118">
        <f t="shared" si="10"/>
      </c>
      <c r="BB45" s="118">
        <f t="shared" si="11"/>
      </c>
      <c r="BC45" s="84"/>
      <c r="BD45" s="84"/>
      <c r="BE45" s="84"/>
      <c r="BF45" s="84"/>
      <c r="BG45" s="84"/>
      <c r="BH45" s="44"/>
    </row>
    <row r="46" spans="2:60" s="43" customFormat="1" ht="30" customHeight="1" thickBot="1">
      <c r="B46" s="86">
        <v>39</v>
      </c>
      <c r="C46" s="84"/>
      <c r="D46" s="84"/>
      <c r="E46" s="84"/>
      <c r="F46" s="84"/>
      <c r="G46" s="84"/>
      <c r="H46" s="84"/>
      <c r="I46" s="84"/>
      <c r="J46" s="84"/>
      <c r="K46" s="84"/>
      <c r="L46" s="118">
        <f t="shared" si="0"/>
      </c>
      <c r="M46" s="84"/>
      <c r="N46" s="84"/>
      <c r="O46" s="118">
        <f t="shared" si="1"/>
      </c>
      <c r="P46" s="84"/>
      <c r="Q46" s="84"/>
      <c r="R46" s="84"/>
      <c r="S46" s="118">
        <f t="shared" si="2"/>
      </c>
      <c r="T46" s="84"/>
      <c r="U46" s="84"/>
      <c r="V46" s="84"/>
      <c r="W46" s="84"/>
      <c r="X46" s="84"/>
      <c r="Y46" s="118">
        <f t="shared" si="3"/>
      </c>
      <c r="Z46" s="118">
        <f t="shared" si="4"/>
      </c>
      <c r="AA46" s="84"/>
      <c r="AB46" s="84"/>
      <c r="AC46" s="84"/>
      <c r="AD46" s="84"/>
      <c r="AE46" s="118">
        <f t="shared" si="5"/>
      </c>
      <c r="AF46" s="84"/>
      <c r="AG46" s="84"/>
      <c r="AH46" s="118">
        <f t="shared" si="6"/>
      </c>
      <c r="AI46" s="84"/>
      <c r="AJ46" s="84"/>
      <c r="AK46" s="84"/>
      <c r="AL46" s="84"/>
      <c r="AM46" s="118">
        <f t="shared" si="7"/>
      </c>
      <c r="AN46" s="84"/>
      <c r="AO46" s="84"/>
      <c r="AP46" s="118">
        <f t="shared" si="8"/>
      </c>
      <c r="AQ46" s="84"/>
      <c r="AR46" s="84"/>
      <c r="AS46" s="84"/>
      <c r="AT46" s="84"/>
      <c r="AU46" s="84"/>
      <c r="AV46" s="118">
        <f t="shared" si="9"/>
      </c>
      <c r="AW46" s="84"/>
      <c r="AX46" s="84"/>
      <c r="AY46" s="84"/>
      <c r="AZ46" s="84"/>
      <c r="BA46" s="118">
        <f t="shared" si="10"/>
      </c>
      <c r="BB46" s="118">
        <f t="shared" si="11"/>
      </c>
      <c r="BC46" s="84"/>
      <c r="BD46" s="84"/>
      <c r="BE46" s="84"/>
      <c r="BF46" s="84"/>
      <c r="BG46" s="84"/>
      <c r="BH46" s="44"/>
    </row>
    <row r="47" spans="2:60" s="43" customFormat="1" ht="30" customHeight="1" thickBot="1">
      <c r="B47" s="86">
        <v>40</v>
      </c>
      <c r="C47" s="84"/>
      <c r="D47" s="84"/>
      <c r="E47" s="84"/>
      <c r="F47" s="84"/>
      <c r="G47" s="84"/>
      <c r="H47" s="84"/>
      <c r="I47" s="84"/>
      <c r="J47" s="84"/>
      <c r="K47" s="84"/>
      <c r="L47" s="118">
        <f t="shared" si="0"/>
      </c>
      <c r="M47" s="84"/>
      <c r="N47" s="84"/>
      <c r="O47" s="118">
        <f t="shared" si="1"/>
      </c>
      <c r="P47" s="84"/>
      <c r="Q47" s="84"/>
      <c r="R47" s="84"/>
      <c r="S47" s="118">
        <f t="shared" si="2"/>
      </c>
      <c r="T47" s="84"/>
      <c r="U47" s="84"/>
      <c r="V47" s="84"/>
      <c r="W47" s="84"/>
      <c r="X47" s="84"/>
      <c r="Y47" s="118">
        <f t="shared" si="3"/>
      </c>
      <c r="Z47" s="118">
        <f t="shared" si="4"/>
      </c>
      <c r="AA47" s="84"/>
      <c r="AB47" s="84"/>
      <c r="AC47" s="84"/>
      <c r="AD47" s="84"/>
      <c r="AE47" s="118">
        <f t="shared" si="5"/>
      </c>
      <c r="AF47" s="84"/>
      <c r="AG47" s="84"/>
      <c r="AH47" s="118">
        <f t="shared" si="6"/>
      </c>
      <c r="AI47" s="84"/>
      <c r="AJ47" s="84"/>
      <c r="AK47" s="84"/>
      <c r="AL47" s="84"/>
      <c r="AM47" s="118">
        <f t="shared" si="7"/>
      </c>
      <c r="AN47" s="84"/>
      <c r="AO47" s="84"/>
      <c r="AP47" s="118">
        <f t="shared" si="8"/>
      </c>
      <c r="AQ47" s="84"/>
      <c r="AR47" s="84"/>
      <c r="AS47" s="84"/>
      <c r="AT47" s="84"/>
      <c r="AU47" s="84"/>
      <c r="AV47" s="118">
        <f t="shared" si="9"/>
      </c>
      <c r="AW47" s="84"/>
      <c r="AX47" s="84"/>
      <c r="AY47" s="84"/>
      <c r="AZ47" s="84"/>
      <c r="BA47" s="118">
        <f t="shared" si="10"/>
      </c>
      <c r="BB47" s="118">
        <f t="shared" si="11"/>
      </c>
      <c r="BC47" s="84"/>
      <c r="BD47" s="84"/>
      <c r="BE47" s="84"/>
      <c r="BF47" s="84"/>
      <c r="BG47" s="84"/>
      <c r="BH47" s="44"/>
    </row>
    <row r="48" spans="2:60" s="43" customFormat="1" ht="30" customHeight="1" thickBot="1">
      <c r="B48" s="86" t="s">
        <v>115</v>
      </c>
      <c r="C48" s="84"/>
      <c r="D48" s="84"/>
      <c r="E48" s="84"/>
      <c r="F48" s="84"/>
      <c r="G48" s="84"/>
      <c r="H48" s="84"/>
      <c r="I48" s="84"/>
      <c r="J48" s="84"/>
      <c r="K48" s="84"/>
      <c r="L48" s="118">
        <f t="shared" si="0"/>
      </c>
      <c r="M48" s="84"/>
      <c r="N48" s="84"/>
      <c r="O48" s="118">
        <f t="shared" si="1"/>
      </c>
      <c r="P48" s="84"/>
      <c r="Q48" s="84"/>
      <c r="R48" s="84"/>
      <c r="S48" s="118">
        <f t="shared" si="2"/>
      </c>
      <c r="T48" s="84"/>
      <c r="U48" s="84"/>
      <c r="V48" s="84"/>
      <c r="W48" s="84"/>
      <c r="X48" s="84"/>
      <c r="Y48" s="118">
        <f t="shared" si="3"/>
      </c>
      <c r="Z48" s="118">
        <f t="shared" si="4"/>
      </c>
      <c r="AA48" s="84"/>
      <c r="AB48" s="84"/>
      <c r="AC48" s="84"/>
      <c r="AD48" s="84"/>
      <c r="AE48" s="118">
        <f t="shared" si="5"/>
      </c>
      <c r="AF48" s="84"/>
      <c r="AG48" s="84"/>
      <c r="AH48" s="118">
        <f t="shared" si="6"/>
      </c>
      <c r="AI48" s="84"/>
      <c r="AJ48" s="84"/>
      <c r="AK48" s="84"/>
      <c r="AL48" s="84"/>
      <c r="AM48" s="118">
        <f t="shared" si="7"/>
      </c>
      <c r="AN48" s="84"/>
      <c r="AO48" s="84"/>
      <c r="AP48" s="118">
        <f t="shared" si="8"/>
      </c>
      <c r="AQ48" s="84"/>
      <c r="AR48" s="84"/>
      <c r="AS48" s="84"/>
      <c r="AT48" s="84"/>
      <c r="AU48" s="84"/>
      <c r="AV48" s="118">
        <f t="shared" si="9"/>
      </c>
      <c r="AW48" s="84"/>
      <c r="AX48" s="84"/>
      <c r="AY48" s="84"/>
      <c r="AZ48" s="84"/>
      <c r="BA48" s="118">
        <f t="shared" si="10"/>
      </c>
      <c r="BB48" s="118">
        <f t="shared" si="11"/>
      </c>
      <c r="BC48" s="84"/>
      <c r="BD48" s="84"/>
      <c r="BE48" s="84"/>
      <c r="BF48" s="84"/>
      <c r="BG48" s="84"/>
      <c r="BH48" s="44"/>
    </row>
    <row r="49" spans="2:60" s="43" customFormat="1" ht="13.5" thickBot="1">
      <c r="B49" s="3" t="s">
        <v>5</v>
      </c>
      <c r="C49" s="48"/>
      <c r="D49" s="49"/>
      <c r="E49" s="50"/>
      <c r="F49" s="88">
        <f>COUNTIF(F8:F48,"Carbon-13 urea breath test")+COUNTIF(F8:F48,"Stool antigen test")+COUNTIF(F8:F48,"Laboratory-based serology")</f>
        <v>0</v>
      </c>
      <c r="G49" s="88">
        <f>COUNTIF(G8:G48,"Yes")</f>
        <v>0</v>
      </c>
      <c r="H49" s="88">
        <f>COUNTIF(H8:H48,"Yes")</f>
        <v>0</v>
      </c>
      <c r="I49" s="88">
        <f>COUNTIF(I8:I48,"Yes")</f>
        <v>0</v>
      </c>
      <c r="J49" s="124" t="str">
        <f>"Esomeprazole: "&amp;COUNTIF(J8:J48,"Esomeprazole")</f>
        <v>Esomeprazole: 0</v>
      </c>
      <c r="K49" s="88"/>
      <c r="L49" s="88">
        <f>COUNTIF(L8:L48,"Yes")</f>
        <v>0</v>
      </c>
      <c r="M49" s="88">
        <f>COUNTIF(M8:M48,"Yes")</f>
        <v>0</v>
      </c>
      <c r="N49" s="88">
        <f>COUNTIF(N8:N48,"Yes")</f>
        <v>0</v>
      </c>
      <c r="O49" s="88">
        <f>COUNTIF(O8:O48,"Yes")</f>
        <v>0</v>
      </c>
      <c r="P49" s="88">
        <f>COUNTIF(P8:P48,"Yes")</f>
        <v>0</v>
      </c>
      <c r="Q49" s="124" t="str">
        <f>"Esomeprazole: "&amp;COUNTIF(Q8:Q48,"Esomeprazole")</f>
        <v>Esomeprazole: 0</v>
      </c>
      <c r="R49" s="88"/>
      <c r="S49" s="88">
        <f aca="true" t="shared" si="12" ref="S49:Z49">COUNTIF(S8:S48,"Yes")</f>
        <v>0</v>
      </c>
      <c r="T49" s="88">
        <f t="shared" si="12"/>
        <v>0</v>
      </c>
      <c r="U49" s="88">
        <f t="shared" si="12"/>
        <v>0</v>
      </c>
      <c r="V49" s="88">
        <f t="shared" si="12"/>
        <v>0</v>
      </c>
      <c r="W49" s="88">
        <f t="shared" si="12"/>
        <v>0</v>
      </c>
      <c r="X49" s="88">
        <f t="shared" si="12"/>
        <v>0</v>
      </c>
      <c r="Y49" s="88">
        <f t="shared" si="12"/>
        <v>0</v>
      </c>
      <c r="Z49" s="88">
        <f t="shared" si="12"/>
        <v>0</v>
      </c>
      <c r="AA49" s="88">
        <f>COUNTIF(AA8:AA48,"Yes")</f>
        <v>0</v>
      </c>
      <c r="AB49" s="88">
        <f>COUNTIF(AB8:AB48,"Yes")</f>
        <v>0</v>
      </c>
      <c r="AC49" s="124" t="str">
        <f>"Esomeprazole: "&amp;COUNTIF(AC8:AC48,"Esomeprazole")</f>
        <v>Esomeprazole: 0</v>
      </c>
      <c r="AD49" s="88"/>
      <c r="AE49" s="88">
        <f aca="true" t="shared" si="13" ref="AE49:AJ49">COUNTIF(AE8:AE48,"Yes")</f>
        <v>0</v>
      </c>
      <c r="AF49" s="88">
        <f t="shared" si="13"/>
        <v>0</v>
      </c>
      <c r="AG49" s="88">
        <f t="shared" si="13"/>
        <v>0</v>
      </c>
      <c r="AH49" s="88">
        <f t="shared" si="13"/>
        <v>0</v>
      </c>
      <c r="AI49" s="88">
        <f t="shared" si="13"/>
        <v>0</v>
      </c>
      <c r="AJ49" s="88">
        <f t="shared" si="13"/>
        <v>0</v>
      </c>
      <c r="AK49" s="124" t="str">
        <f>"Esomeprazole: "&amp;COUNTIF(AK8:AK48,"Esomeprazole")</f>
        <v>Esomeprazole: 0</v>
      </c>
      <c r="AL49" s="88"/>
      <c r="AM49" s="88">
        <f aca="true" t="shared" si="14" ref="AM49:AS49">COUNTIF(AM8:AM48,"Yes")</f>
        <v>0</v>
      </c>
      <c r="AN49" s="88">
        <f t="shared" si="14"/>
        <v>0</v>
      </c>
      <c r="AO49" s="88">
        <f t="shared" si="14"/>
        <v>0</v>
      </c>
      <c r="AP49" s="88">
        <f t="shared" si="14"/>
        <v>0</v>
      </c>
      <c r="AQ49" s="88">
        <f t="shared" si="14"/>
        <v>0</v>
      </c>
      <c r="AR49" s="88">
        <f t="shared" si="14"/>
        <v>0</v>
      </c>
      <c r="AS49" s="88">
        <f t="shared" si="14"/>
        <v>0</v>
      </c>
      <c r="AT49" s="124" t="str">
        <f>"Esomeprazole: "&amp;COUNTIF(AT8:AT48,"Esomeprazole")</f>
        <v>Esomeprazole: 0</v>
      </c>
      <c r="AU49" s="88"/>
      <c r="AV49" s="88">
        <f aca="true" t="shared" si="15" ref="AV49:BB49">COUNTIF(AV8:AV48,"Yes")</f>
        <v>0</v>
      </c>
      <c r="AW49" s="88">
        <f t="shared" si="15"/>
        <v>0</v>
      </c>
      <c r="AX49" s="88">
        <f t="shared" si="15"/>
        <v>0</v>
      </c>
      <c r="AY49" s="88">
        <f t="shared" si="15"/>
        <v>0</v>
      </c>
      <c r="AZ49" s="88">
        <f t="shared" si="15"/>
        <v>0</v>
      </c>
      <c r="BA49" s="88">
        <f t="shared" si="15"/>
        <v>0</v>
      </c>
      <c r="BB49" s="88">
        <f t="shared" si="15"/>
        <v>0</v>
      </c>
      <c r="BC49" s="88">
        <f aca="true" t="shared" si="16" ref="BC49:BH49">COUNTIF(BC8:BC48,"Yes")</f>
        <v>0</v>
      </c>
      <c r="BD49" s="88">
        <f t="shared" si="16"/>
        <v>0</v>
      </c>
      <c r="BE49" s="88">
        <f t="shared" si="16"/>
        <v>0</v>
      </c>
      <c r="BF49" s="88">
        <f t="shared" si="16"/>
        <v>0</v>
      </c>
      <c r="BG49" s="88">
        <f t="shared" si="16"/>
        <v>0</v>
      </c>
      <c r="BH49" s="88">
        <f t="shared" si="16"/>
        <v>0</v>
      </c>
    </row>
    <row r="50" spans="2:60" s="43" customFormat="1" ht="13.5" thickBot="1">
      <c r="B50" s="3" t="s">
        <v>6</v>
      </c>
      <c r="C50" s="51"/>
      <c r="D50" s="40"/>
      <c r="E50" s="52"/>
      <c r="F50" s="88">
        <f>COUNTIF(F8:F48,"No")</f>
        <v>0</v>
      </c>
      <c r="G50" s="88">
        <f>COUNTIF(G8:G48,"No")</f>
        <v>0</v>
      </c>
      <c r="H50" s="88">
        <f>COUNTIF(H8:H48,"No")</f>
        <v>0</v>
      </c>
      <c r="I50" s="88">
        <f>COUNTIF(I8:I48,"No")</f>
        <v>0</v>
      </c>
      <c r="J50" s="124" t="str">
        <f>"Lansoprazole: "&amp;COUNTIF(J8:J48,"Lansoprazole")</f>
        <v>Lansoprazole: 0</v>
      </c>
      <c r="K50" s="88"/>
      <c r="L50" s="88">
        <f>COUNTIF(L8:L48,"No")</f>
        <v>0</v>
      </c>
      <c r="M50" s="88">
        <f>COUNTIF(M8:M48,"No")</f>
        <v>0</v>
      </c>
      <c r="N50" s="88">
        <f>COUNTIF(N8:N48,"No")</f>
        <v>0</v>
      </c>
      <c r="O50" s="88">
        <f>COUNTIF(O8:O48,"No")</f>
        <v>0</v>
      </c>
      <c r="P50" s="88">
        <f>COUNTIF(P8:P48,"No")</f>
        <v>0</v>
      </c>
      <c r="Q50" s="124" t="str">
        <f>"Lansoprazole: "&amp;COUNTIF(Q8:Q48,"Lansoprazole")</f>
        <v>Lansoprazole: 0</v>
      </c>
      <c r="R50" s="88"/>
      <c r="S50" s="88">
        <f aca="true" t="shared" si="17" ref="S50:Z50">COUNTIF(S8:S48,"No")</f>
        <v>0</v>
      </c>
      <c r="T50" s="88">
        <f t="shared" si="17"/>
        <v>0</v>
      </c>
      <c r="U50" s="88">
        <f t="shared" si="17"/>
        <v>0</v>
      </c>
      <c r="V50" s="88">
        <f t="shared" si="17"/>
        <v>0</v>
      </c>
      <c r="W50" s="88">
        <f t="shared" si="17"/>
        <v>0</v>
      </c>
      <c r="X50" s="88">
        <f t="shared" si="17"/>
        <v>0</v>
      </c>
      <c r="Y50" s="88">
        <f t="shared" si="17"/>
        <v>0</v>
      </c>
      <c r="Z50" s="88">
        <f t="shared" si="17"/>
        <v>0</v>
      </c>
      <c r="AA50" s="88">
        <f>COUNTIF(AA8:AA48,"No")</f>
        <v>0</v>
      </c>
      <c r="AB50" s="88">
        <f>COUNTIF(AB8:AB48,"No")</f>
        <v>0</v>
      </c>
      <c r="AC50" s="124" t="str">
        <f>"Lansoprazole: "&amp;COUNTIF(AC8:AC48,"Lansoprazole")</f>
        <v>Lansoprazole: 0</v>
      </c>
      <c r="AD50" s="88"/>
      <c r="AE50" s="88">
        <f aca="true" t="shared" si="18" ref="AE50:AJ50">COUNTIF(AE8:AE48,"No")</f>
        <v>0</v>
      </c>
      <c r="AF50" s="88">
        <f t="shared" si="18"/>
        <v>0</v>
      </c>
      <c r="AG50" s="88">
        <f t="shared" si="18"/>
        <v>0</v>
      </c>
      <c r="AH50" s="88">
        <f t="shared" si="18"/>
        <v>0</v>
      </c>
      <c r="AI50" s="88">
        <f t="shared" si="18"/>
        <v>0</v>
      </c>
      <c r="AJ50" s="88">
        <f t="shared" si="18"/>
        <v>0</v>
      </c>
      <c r="AK50" s="124" t="str">
        <f>"Lansoprazole: "&amp;COUNTIF(AK8:AK48,"Lansoprazole")</f>
        <v>Lansoprazole: 0</v>
      </c>
      <c r="AL50" s="88"/>
      <c r="AM50" s="88">
        <f aca="true" t="shared" si="19" ref="AM50:AS50">COUNTIF(AM8:AM48,"No")</f>
        <v>0</v>
      </c>
      <c r="AN50" s="88">
        <f t="shared" si="19"/>
        <v>0</v>
      </c>
      <c r="AO50" s="88">
        <f t="shared" si="19"/>
        <v>0</v>
      </c>
      <c r="AP50" s="88">
        <f t="shared" si="19"/>
        <v>0</v>
      </c>
      <c r="AQ50" s="88">
        <f t="shared" si="19"/>
        <v>0</v>
      </c>
      <c r="AR50" s="88">
        <f t="shared" si="19"/>
        <v>0</v>
      </c>
      <c r="AS50" s="88">
        <f t="shared" si="19"/>
        <v>0</v>
      </c>
      <c r="AT50" s="124" t="str">
        <f>"Lansoprazole: "&amp;COUNTIF(AT8:AT48,"Lansoprazole")</f>
        <v>Lansoprazole: 0</v>
      </c>
      <c r="AU50" s="88"/>
      <c r="AV50" s="88">
        <f aca="true" t="shared" si="20" ref="AV50:BB50">COUNTIF(AV8:AV48,"No")</f>
        <v>0</v>
      </c>
      <c r="AW50" s="88">
        <f t="shared" si="20"/>
        <v>0</v>
      </c>
      <c r="AX50" s="88">
        <f t="shared" si="20"/>
        <v>0</v>
      </c>
      <c r="AY50" s="88">
        <f t="shared" si="20"/>
        <v>0</v>
      </c>
      <c r="AZ50" s="88">
        <f t="shared" si="20"/>
        <v>0</v>
      </c>
      <c r="BA50" s="88">
        <f t="shared" si="20"/>
        <v>0</v>
      </c>
      <c r="BB50" s="88">
        <f t="shared" si="20"/>
        <v>0</v>
      </c>
      <c r="BC50" s="88">
        <f aca="true" t="shared" si="21" ref="BC50:BH50">COUNTIF(BC8:BC48,"No")</f>
        <v>0</v>
      </c>
      <c r="BD50" s="88">
        <f t="shared" si="21"/>
        <v>0</v>
      </c>
      <c r="BE50" s="88">
        <f t="shared" si="21"/>
        <v>0</v>
      </c>
      <c r="BF50" s="88">
        <f t="shared" si="21"/>
        <v>0</v>
      </c>
      <c r="BG50" s="88">
        <f t="shared" si="21"/>
        <v>0</v>
      </c>
      <c r="BH50" s="88">
        <f t="shared" si="21"/>
        <v>0</v>
      </c>
    </row>
    <row r="51" spans="2:60" s="43" customFormat="1" ht="13.5" thickBot="1">
      <c r="B51" s="3" t="s">
        <v>7</v>
      </c>
      <c r="C51" s="51"/>
      <c r="D51" s="40"/>
      <c r="E51" s="52"/>
      <c r="F51" s="88">
        <f>SUM(F49:F50)</f>
        <v>0</v>
      </c>
      <c r="G51" s="88">
        <f>SUM(G49:G50)</f>
        <v>0</v>
      </c>
      <c r="H51" s="88">
        <f>SUM(H49:H50)</f>
        <v>0</v>
      </c>
      <c r="I51" s="88">
        <f>SUM(I49:I50)</f>
        <v>0</v>
      </c>
      <c r="J51" s="124" t="str">
        <f>"Omeprazole: "&amp;COUNTIF(J8:J48,"Omeprazole")</f>
        <v>Omeprazole: 0</v>
      </c>
      <c r="K51" s="88"/>
      <c r="L51" s="88">
        <f>SUM(L49:L50)</f>
        <v>0</v>
      </c>
      <c r="M51" s="88">
        <f>SUM(M49:M50)</f>
        <v>0</v>
      </c>
      <c r="N51" s="88">
        <f>SUM(N49:N50)</f>
        <v>0</v>
      </c>
      <c r="O51" s="88">
        <f>SUM(O49:O50)</f>
        <v>0</v>
      </c>
      <c r="P51" s="88">
        <f>SUM(P49:P50)</f>
        <v>0</v>
      </c>
      <c r="Q51" s="124" t="str">
        <f>"Omeprazole: "&amp;COUNTIF(Q8:Q48,"Omeprazole")</f>
        <v>Omeprazole: 0</v>
      </c>
      <c r="R51" s="88"/>
      <c r="S51" s="88">
        <f aca="true" t="shared" si="22" ref="S51:Z51">SUM(S49:S50)</f>
        <v>0</v>
      </c>
      <c r="T51" s="88">
        <f t="shared" si="22"/>
        <v>0</v>
      </c>
      <c r="U51" s="88">
        <f t="shared" si="22"/>
        <v>0</v>
      </c>
      <c r="V51" s="88">
        <f t="shared" si="22"/>
        <v>0</v>
      </c>
      <c r="W51" s="88">
        <f t="shared" si="22"/>
        <v>0</v>
      </c>
      <c r="X51" s="88">
        <f t="shared" si="22"/>
        <v>0</v>
      </c>
      <c r="Y51" s="88">
        <f t="shared" si="22"/>
        <v>0</v>
      </c>
      <c r="Z51" s="88">
        <f t="shared" si="22"/>
        <v>0</v>
      </c>
      <c r="AA51" s="88">
        <f>SUM(AA49:AA50)</f>
        <v>0</v>
      </c>
      <c r="AB51" s="88">
        <f>SUM(AB49:AB50)</f>
        <v>0</v>
      </c>
      <c r="AC51" s="124" t="str">
        <f>"Omeprazole: "&amp;COUNTIF(AC8:AC48,"Omeprazole")</f>
        <v>Omeprazole: 0</v>
      </c>
      <c r="AD51" s="88"/>
      <c r="AE51" s="88">
        <f aca="true" t="shared" si="23" ref="AE51:AJ51">SUM(AE49:AE50)</f>
        <v>0</v>
      </c>
      <c r="AF51" s="88">
        <f t="shared" si="23"/>
        <v>0</v>
      </c>
      <c r="AG51" s="88">
        <f t="shared" si="23"/>
        <v>0</v>
      </c>
      <c r="AH51" s="88">
        <f t="shared" si="23"/>
        <v>0</v>
      </c>
      <c r="AI51" s="88">
        <f t="shared" si="23"/>
        <v>0</v>
      </c>
      <c r="AJ51" s="88">
        <f t="shared" si="23"/>
        <v>0</v>
      </c>
      <c r="AK51" s="124" t="str">
        <f>"Omeprazole: "&amp;COUNTIF(AK8:AK48,"Omeprazole")</f>
        <v>Omeprazole: 0</v>
      </c>
      <c r="AL51" s="88"/>
      <c r="AM51" s="88">
        <f aca="true" t="shared" si="24" ref="AM51:AS51">SUM(AM49:AM50)</f>
        <v>0</v>
      </c>
      <c r="AN51" s="88">
        <f t="shared" si="24"/>
        <v>0</v>
      </c>
      <c r="AO51" s="88">
        <f t="shared" si="24"/>
        <v>0</v>
      </c>
      <c r="AP51" s="88">
        <f t="shared" si="24"/>
        <v>0</v>
      </c>
      <c r="AQ51" s="88">
        <f t="shared" si="24"/>
        <v>0</v>
      </c>
      <c r="AR51" s="88">
        <f t="shared" si="24"/>
        <v>0</v>
      </c>
      <c r="AS51" s="88">
        <f t="shared" si="24"/>
        <v>0</v>
      </c>
      <c r="AT51" s="124" t="str">
        <f>"Omeprazole: "&amp;COUNTIF(AT8:AT48,"Omeprazole")</f>
        <v>Omeprazole: 0</v>
      </c>
      <c r="AU51" s="88"/>
      <c r="AV51" s="88">
        <f aca="true" t="shared" si="25" ref="AV51:BB51">SUM(AV49:AV50)</f>
        <v>0</v>
      </c>
      <c r="AW51" s="88">
        <f t="shared" si="25"/>
        <v>0</v>
      </c>
      <c r="AX51" s="88">
        <f t="shared" si="25"/>
        <v>0</v>
      </c>
      <c r="AY51" s="88">
        <f t="shared" si="25"/>
        <v>0</v>
      </c>
      <c r="AZ51" s="88">
        <f t="shared" si="25"/>
        <v>0</v>
      </c>
      <c r="BA51" s="88">
        <f t="shared" si="25"/>
        <v>0</v>
      </c>
      <c r="BB51" s="88">
        <f t="shared" si="25"/>
        <v>0</v>
      </c>
      <c r="BC51" s="88">
        <f aca="true" t="shared" si="26" ref="BC51:BH51">SUM(BC49:BC50)</f>
        <v>0</v>
      </c>
      <c r="BD51" s="88">
        <f t="shared" si="26"/>
        <v>0</v>
      </c>
      <c r="BE51" s="88">
        <f t="shared" si="26"/>
        <v>0</v>
      </c>
      <c r="BF51" s="88">
        <f t="shared" si="26"/>
        <v>0</v>
      </c>
      <c r="BG51" s="88">
        <f t="shared" si="26"/>
        <v>0</v>
      </c>
      <c r="BH51" s="88">
        <f t="shared" si="26"/>
        <v>0</v>
      </c>
    </row>
    <row r="52" spans="2:60" s="56" customFormat="1" ht="13.5" thickBot="1">
      <c r="B52" s="5" t="s">
        <v>8</v>
      </c>
      <c r="C52" s="53"/>
      <c r="D52" s="54"/>
      <c r="E52" s="55"/>
      <c r="F52" s="89" t="str">
        <f>IF(ISERROR(F49/F51),"%",F49/F51)</f>
        <v>%</v>
      </c>
      <c r="G52" s="89" t="str">
        <f>IF(ISERROR(G49/G51),"%",G49/G51)</f>
        <v>%</v>
      </c>
      <c r="H52" s="89" t="str">
        <f>IF(ISERROR(H49/H51),"%",H49/H51)</f>
        <v>%</v>
      </c>
      <c r="I52" s="89" t="str">
        <f>IF(ISERROR(I49/I51),"%",I49/I51)</f>
        <v>%</v>
      </c>
      <c r="J52" s="124" t="str">
        <f>"Pantoprazole: "&amp;COUNTIF(J8:J48,"Pantoprazole")</f>
        <v>Pantoprazole: 0</v>
      </c>
      <c r="K52" s="89"/>
      <c r="L52" s="89" t="str">
        <f>IF(ISERROR(L49/L51),"%",L49/L51)</f>
        <v>%</v>
      </c>
      <c r="M52" s="89" t="str">
        <f>IF(ISERROR(M49/M51),"%",M49/M51)</f>
        <v>%</v>
      </c>
      <c r="N52" s="89" t="str">
        <f>IF(ISERROR(N49/N51),"%",N49/N51)</f>
        <v>%</v>
      </c>
      <c r="O52" s="89" t="str">
        <f>IF(ISERROR(O49/O51),"%",O49/O51)</f>
        <v>%</v>
      </c>
      <c r="P52" s="89" t="str">
        <f>IF(ISERROR(P49/P51),"%",P49/P51)</f>
        <v>%</v>
      </c>
      <c r="Q52" s="124" t="str">
        <f>"Pantoprazole: "&amp;COUNTIF(Q8:Q48,"Pantoprazole")</f>
        <v>Pantoprazole: 0</v>
      </c>
      <c r="R52" s="89"/>
      <c r="S52" s="89" t="str">
        <f aca="true" t="shared" si="27" ref="S52:Z52">IF(ISERROR(S49/S51),"%",S49/S51)</f>
        <v>%</v>
      </c>
      <c r="T52" s="89" t="str">
        <f t="shared" si="27"/>
        <v>%</v>
      </c>
      <c r="U52" s="89" t="str">
        <f t="shared" si="27"/>
        <v>%</v>
      </c>
      <c r="V52" s="89" t="str">
        <f t="shared" si="27"/>
        <v>%</v>
      </c>
      <c r="W52" s="89" t="str">
        <f t="shared" si="27"/>
        <v>%</v>
      </c>
      <c r="X52" s="89" t="str">
        <f t="shared" si="27"/>
        <v>%</v>
      </c>
      <c r="Y52" s="89" t="str">
        <f t="shared" si="27"/>
        <v>%</v>
      </c>
      <c r="Z52" s="89" t="str">
        <f t="shared" si="27"/>
        <v>%</v>
      </c>
      <c r="AA52" s="89" t="str">
        <f>IF(ISERROR(AA49/AA51),"%",AA49/AA51)</f>
        <v>%</v>
      </c>
      <c r="AB52" s="89" t="str">
        <f>IF(ISERROR(AB49/AB51),"%",AB49/AB51)</f>
        <v>%</v>
      </c>
      <c r="AC52" s="124" t="str">
        <f>"Pantoprazole: "&amp;COUNTIF(AC8:AC48,"Pantoprazole")</f>
        <v>Pantoprazole: 0</v>
      </c>
      <c r="AD52" s="89"/>
      <c r="AE52" s="89" t="str">
        <f aca="true" t="shared" si="28" ref="AE52:AJ52">IF(ISERROR(AE49/AE51),"%",AE49/AE51)</f>
        <v>%</v>
      </c>
      <c r="AF52" s="89" t="str">
        <f t="shared" si="28"/>
        <v>%</v>
      </c>
      <c r="AG52" s="89" t="str">
        <f t="shared" si="28"/>
        <v>%</v>
      </c>
      <c r="AH52" s="89" t="str">
        <f t="shared" si="28"/>
        <v>%</v>
      </c>
      <c r="AI52" s="89" t="str">
        <f t="shared" si="28"/>
        <v>%</v>
      </c>
      <c r="AJ52" s="89" t="str">
        <f t="shared" si="28"/>
        <v>%</v>
      </c>
      <c r="AK52" s="124" t="str">
        <f>"Pantoprazole: "&amp;COUNTIF(AK8:AK48,"Pantoprazole")</f>
        <v>Pantoprazole: 0</v>
      </c>
      <c r="AL52" s="89"/>
      <c r="AM52" s="89" t="str">
        <f aca="true" t="shared" si="29" ref="AM52:AS52">IF(ISERROR(AM49/AM51),"%",AM49/AM51)</f>
        <v>%</v>
      </c>
      <c r="AN52" s="89" t="str">
        <f t="shared" si="29"/>
        <v>%</v>
      </c>
      <c r="AO52" s="89" t="str">
        <f t="shared" si="29"/>
        <v>%</v>
      </c>
      <c r="AP52" s="89" t="str">
        <f t="shared" si="29"/>
        <v>%</v>
      </c>
      <c r="AQ52" s="89" t="str">
        <f t="shared" si="29"/>
        <v>%</v>
      </c>
      <c r="AR52" s="89" t="str">
        <f t="shared" si="29"/>
        <v>%</v>
      </c>
      <c r="AS52" s="89" t="str">
        <f t="shared" si="29"/>
        <v>%</v>
      </c>
      <c r="AT52" s="124" t="str">
        <f>"Pantoprazole: "&amp;COUNTIF(AT8:AT48,"Pantoprazole")</f>
        <v>Pantoprazole: 0</v>
      </c>
      <c r="AU52" s="89"/>
      <c r="AV52" s="89" t="str">
        <f aca="true" t="shared" si="30" ref="AV52:BB52">IF(ISERROR(AV49/AV51),"%",AV49/AV51)</f>
        <v>%</v>
      </c>
      <c r="AW52" s="89" t="str">
        <f t="shared" si="30"/>
        <v>%</v>
      </c>
      <c r="AX52" s="89" t="str">
        <f t="shared" si="30"/>
        <v>%</v>
      </c>
      <c r="AY52" s="89" t="str">
        <f t="shared" si="30"/>
        <v>%</v>
      </c>
      <c r="AZ52" s="89" t="str">
        <f t="shared" si="30"/>
        <v>%</v>
      </c>
      <c r="BA52" s="89" t="str">
        <f t="shared" si="30"/>
        <v>%</v>
      </c>
      <c r="BB52" s="89" t="str">
        <f t="shared" si="30"/>
        <v>%</v>
      </c>
      <c r="BC52" s="89" t="str">
        <f aca="true" t="shared" si="31" ref="BC52:BH52">IF(ISERROR(BC49/BC51),"%",BC49/BC51)</f>
        <v>%</v>
      </c>
      <c r="BD52" s="89" t="str">
        <f t="shared" si="31"/>
        <v>%</v>
      </c>
      <c r="BE52" s="89" t="str">
        <f t="shared" si="31"/>
        <v>%</v>
      </c>
      <c r="BF52" s="89" t="str">
        <f t="shared" si="31"/>
        <v>%</v>
      </c>
      <c r="BG52" s="89" t="str">
        <f t="shared" si="31"/>
        <v>%</v>
      </c>
      <c r="BH52" s="89" t="str">
        <f t="shared" si="31"/>
        <v>%</v>
      </c>
    </row>
    <row r="53" spans="3:60" s="43" customFormat="1" ht="13.5" thickBot="1">
      <c r="C53" s="57"/>
      <c r="F53" s="90"/>
      <c r="G53" s="90"/>
      <c r="H53" s="90"/>
      <c r="I53" s="90"/>
      <c r="J53" s="124" t="str">
        <f>"Rabeprazole: "&amp;COUNTIF(J8:J48,"Rabeprazole")</f>
        <v>Rabeprazole: 0</v>
      </c>
      <c r="K53" s="90"/>
      <c r="L53" s="90"/>
      <c r="M53" s="90"/>
      <c r="N53" s="90"/>
      <c r="O53" s="90"/>
      <c r="P53" s="90"/>
      <c r="Q53" s="124" t="str">
        <f>"Rabeprazole: "&amp;COUNTIF(Q8:Q48,"Rabeprazole")</f>
        <v>Rabeprazole: 0</v>
      </c>
      <c r="R53" s="90"/>
      <c r="S53" s="90"/>
      <c r="T53" s="90"/>
      <c r="U53" s="90"/>
      <c r="V53" s="90"/>
      <c r="W53" s="90"/>
      <c r="X53" s="90"/>
      <c r="Y53" s="90"/>
      <c r="Z53" s="90"/>
      <c r="AA53" s="90"/>
      <c r="AB53" s="90"/>
      <c r="AC53" s="124" t="str">
        <f>"Rabeprazole: "&amp;COUNTIF(AC8:AC48,"Rabeprazole")</f>
        <v>Rabeprazole: 0</v>
      </c>
      <c r="AD53" s="90"/>
      <c r="AE53" s="90"/>
      <c r="AF53" s="90"/>
      <c r="AG53" s="90"/>
      <c r="AH53" s="90"/>
      <c r="AI53" s="90"/>
      <c r="AJ53" s="90"/>
      <c r="AK53" s="124" t="str">
        <f>"Rabeprazole: "&amp;COUNTIF(AK8:AK48,"Rabeprazole")</f>
        <v>Rabeprazole: 0</v>
      </c>
      <c r="AL53" s="90"/>
      <c r="AM53" s="90"/>
      <c r="AN53" s="90"/>
      <c r="AO53" s="90"/>
      <c r="AP53" s="90"/>
      <c r="AQ53" s="90"/>
      <c r="AR53" s="90"/>
      <c r="AS53" s="90"/>
      <c r="AT53" s="124" t="str">
        <f>"Rabeprazole: "&amp;COUNTIF(AT8:AT48,"Rabeprazole")</f>
        <v>Rabeprazole: 0</v>
      </c>
      <c r="AU53" s="90"/>
      <c r="AV53" s="90"/>
      <c r="AW53" s="90"/>
      <c r="AX53" s="90"/>
      <c r="AY53" s="90"/>
      <c r="AZ53" s="90"/>
      <c r="BA53" s="90"/>
      <c r="BB53" s="90"/>
      <c r="BC53" s="90"/>
      <c r="BD53" s="90"/>
      <c r="BE53" s="90"/>
      <c r="BF53" s="90"/>
      <c r="BG53" s="90"/>
      <c r="BH53" s="90"/>
    </row>
    <row r="54" spans="3:60" s="43" customFormat="1" ht="13.5" thickBot="1">
      <c r="C54" s="57"/>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row>
    <row r="55" spans="2:60" s="43" customFormat="1" ht="13.5" thickBot="1">
      <c r="B55" s="3" t="s">
        <v>18</v>
      </c>
      <c r="C55" s="57"/>
      <c r="F55" s="88">
        <f>COUNTIF(F8:F48,"NA")</f>
        <v>0</v>
      </c>
      <c r="G55" s="88">
        <f>COUNTIF(G8:G48,"NA")</f>
        <v>0</v>
      </c>
      <c r="H55" s="88">
        <f>COUNTIF(H8:H48,"NA")</f>
        <v>0</v>
      </c>
      <c r="I55" s="88">
        <f>COUNTIF(I8:I48,"NA")</f>
        <v>0</v>
      </c>
      <c r="J55" s="88"/>
      <c r="K55" s="88"/>
      <c r="L55" s="88">
        <f>COUNTIF(L8:L48,"NA")</f>
        <v>0</v>
      </c>
      <c r="M55" s="88">
        <f>COUNTIF(M8:M48,"NA")</f>
        <v>0</v>
      </c>
      <c r="N55" s="88">
        <f>COUNTIF(N8:N48,"NA")</f>
        <v>0</v>
      </c>
      <c r="O55" s="88">
        <f>COUNTIF(O8:O48,"NA")</f>
        <v>0</v>
      </c>
      <c r="P55" s="88">
        <f>COUNTIF(P8:P48,"NA")</f>
        <v>0</v>
      </c>
      <c r="Q55" s="88"/>
      <c r="R55" s="88"/>
      <c r="S55" s="88">
        <f>COUNTIF(S8:S48,"NA")</f>
        <v>0</v>
      </c>
      <c r="T55" s="88">
        <f>COUNTIF(T8:T48,"NA")</f>
        <v>0</v>
      </c>
      <c r="U55" s="88">
        <f aca="true" t="shared" si="32" ref="U55:Z55">COUNTIF(U8:U48,"NA")</f>
        <v>0</v>
      </c>
      <c r="V55" s="88">
        <f>COUNTIF(V8:V48,"NA")</f>
        <v>0</v>
      </c>
      <c r="W55" s="88">
        <f>COUNTIF(W8:W48,"NA")</f>
        <v>0</v>
      </c>
      <c r="X55" s="88">
        <f t="shared" si="32"/>
        <v>0</v>
      </c>
      <c r="Y55" s="88">
        <f t="shared" si="32"/>
        <v>0</v>
      </c>
      <c r="Z55" s="88">
        <f t="shared" si="32"/>
        <v>0</v>
      </c>
      <c r="AA55" s="88">
        <f>COUNTIF(AA8:AA48,"NA")</f>
        <v>0</v>
      </c>
      <c r="AB55" s="88">
        <f>COUNTIF(AB8:AB48,"NA")</f>
        <v>0</v>
      </c>
      <c r="AC55" s="88"/>
      <c r="AD55" s="88"/>
      <c r="AE55" s="88">
        <f aca="true" t="shared" si="33" ref="AE55:AJ55">COUNTIF(AE8:AE48,"NA")</f>
        <v>0</v>
      </c>
      <c r="AF55" s="88">
        <f t="shared" si="33"/>
        <v>0</v>
      </c>
      <c r="AG55" s="88">
        <f t="shared" si="33"/>
        <v>0</v>
      </c>
      <c r="AH55" s="88">
        <f t="shared" si="33"/>
        <v>0</v>
      </c>
      <c r="AI55" s="88">
        <f t="shared" si="33"/>
        <v>0</v>
      </c>
      <c r="AJ55" s="88">
        <f t="shared" si="33"/>
        <v>0</v>
      </c>
      <c r="AK55" s="88"/>
      <c r="AL55" s="88"/>
      <c r="AM55" s="88">
        <f aca="true" t="shared" si="34" ref="AM55:AS55">COUNTIF(AM8:AM48,"NA")</f>
        <v>0</v>
      </c>
      <c r="AN55" s="88">
        <f t="shared" si="34"/>
        <v>0</v>
      </c>
      <c r="AO55" s="88">
        <f t="shared" si="34"/>
        <v>0</v>
      </c>
      <c r="AP55" s="88">
        <f t="shared" si="34"/>
        <v>0</v>
      </c>
      <c r="AQ55" s="88">
        <f t="shared" si="34"/>
        <v>0</v>
      </c>
      <c r="AR55" s="88">
        <f t="shared" si="34"/>
        <v>0</v>
      </c>
      <c r="AS55" s="88">
        <f t="shared" si="34"/>
        <v>0</v>
      </c>
      <c r="AT55" s="88"/>
      <c r="AU55" s="88"/>
      <c r="AV55" s="88">
        <f aca="true" t="shared" si="35" ref="AV55:BB55">COUNTIF(AV8:AV48,"NA")</f>
        <v>0</v>
      </c>
      <c r="AW55" s="88">
        <f t="shared" si="35"/>
        <v>0</v>
      </c>
      <c r="AX55" s="88">
        <f t="shared" si="35"/>
        <v>0</v>
      </c>
      <c r="AY55" s="88">
        <f t="shared" si="35"/>
        <v>0</v>
      </c>
      <c r="AZ55" s="88">
        <f t="shared" si="35"/>
        <v>0</v>
      </c>
      <c r="BA55" s="88">
        <f t="shared" si="35"/>
        <v>0</v>
      </c>
      <c r="BB55" s="88">
        <f t="shared" si="35"/>
        <v>0</v>
      </c>
      <c r="BC55" s="88">
        <f aca="true" t="shared" si="36" ref="BC55:BH55">COUNTIF(BC8:BC48,"NA")</f>
        <v>0</v>
      </c>
      <c r="BD55" s="88">
        <f t="shared" si="36"/>
        <v>0</v>
      </c>
      <c r="BE55" s="88">
        <f t="shared" si="36"/>
        <v>0</v>
      </c>
      <c r="BF55" s="88">
        <f t="shared" si="36"/>
        <v>0</v>
      </c>
      <c r="BG55" s="88">
        <f t="shared" si="36"/>
        <v>0</v>
      </c>
      <c r="BH55" s="88">
        <f t="shared" si="36"/>
        <v>0</v>
      </c>
    </row>
    <row r="56" spans="2:60" s="43" customFormat="1" ht="13.5" thickBot="1">
      <c r="B56" s="3" t="s">
        <v>21</v>
      </c>
      <c r="C56" s="57"/>
      <c r="F56" s="88">
        <f>COUNTIF(F8:F48,"*Exception*")</f>
        <v>0</v>
      </c>
      <c r="G56" s="88">
        <f>COUNTIF(G8:G48,"*Exception*")</f>
        <v>0</v>
      </c>
      <c r="H56" s="88">
        <f>COUNTIF(H8:H48,"*Exception*")</f>
        <v>0</v>
      </c>
      <c r="I56" s="88">
        <f>COUNTIF(I8:I48,"*Exception*")</f>
        <v>0</v>
      </c>
      <c r="J56" s="88"/>
      <c r="K56" s="88"/>
      <c r="L56" s="88">
        <f>COUNTIF(L8:L48,"*Exception*")</f>
        <v>0</v>
      </c>
      <c r="M56" s="88">
        <f>COUNTIF(M8:M48,"*Exception*")</f>
        <v>0</v>
      </c>
      <c r="N56" s="88">
        <f>COUNTIF(N8:N48,"*Exception*")</f>
        <v>0</v>
      </c>
      <c r="O56" s="88">
        <f>COUNTIF(O8:O48,"*Exception*")</f>
        <v>0</v>
      </c>
      <c r="P56" s="88">
        <f>COUNTIF(P8:P48,"*Exception*")</f>
        <v>0</v>
      </c>
      <c r="Q56" s="88"/>
      <c r="R56" s="88"/>
      <c r="S56" s="88">
        <f>COUNTIF(S8:S48,"*Exception*")</f>
        <v>0</v>
      </c>
      <c r="T56" s="88">
        <f>COUNTIF(T8:T48,"*Exception*")</f>
        <v>0</v>
      </c>
      <c r="U56" s="88">
        <f aca="true" t="shared" si="37" ref="U56:Z56">COUNTIF(U8:U48,"*Exception*")</f>
        <v>0</v>
      </c>
      <c r="V56" s="88">
        <f>COUNTIF(V8:V48,"*Exception*")</f>
        <v>0</v>
      </c>
      <c r="W56" s="88">
        <f>COUNTIF(W8:W48,"*Exception*")</f>
        <v>0</v>
      </c>
      <c r="X56" s="88">
        <f t="shared" si="37"/>
        <v>0</v>
      </c>
      <c r="Y56" s="88">
        <f t="shared" si="37"/>
        <v>0</v>
      </c>
      <c r="Z56" s="88">
        <f t="shared" si="37"/>
        <v>0</v>
      </c>
      <c r="AA56" s="88">
        <f>COUNTIF(AA8:AA48,"*Exception*")</f>
        <v>0</v>
      </c>
      <c r="AB56" s="88">
        <f>COUNTIF(AB8:AB48,"*Exception*")</f>
        <v>0</v>
      </c>
      <c r="AC56" s="88"/>
      <c r="AD56" s="88"/>
      <c r="AE56" s="88">
        <f aca="true" t="shared" si="38" ref="AE56:AJ56">COUNTIF(AE8:AE48,"*Exception*")</f>
        <v>0</v>
      </c>
      <c r="AF56" s="88">
        <f t="shared" si="38"/>
        <v>0</v>
      </c>
      <c r="AG56" s="88">
        <f t="shared" si="38"/>
        <v>0</v>
      </c>
      <c r="AH56" s="88">
        <f t="shared" si="38"/>
        <v>0</v>
      </c>
      <c r="AI56" s="88">
        <f t="shared" si="38"/>
        <v>0</v>
      </c>
      <c r="AJ56" s="88">
        <f t="shared" si="38"/>
        <v>0</v>
      </c>
      <c r="AK56" s="88"/>
      <c r="AL56" s="88"/>
      <c r="AM56" s="88">
        <f aca="true" t="shared" si="39" ref="AM56:AS56">COUNTIF(AM8:AM48,"*Exception*")</f>
        <v>0</v>
      </c>
      <c r="AN56" s="88">
        <f t="shared" si="39"/>
        <v>0</v>
      </c>
      <c r="AO56" s="88">
        <f t="shared" si="39"/>
        <v>0</v>
      </c>
      <c r="AP56" s="88">
        <f t="shared" si="39"/>
        <v>0</v>
      </c>
      <c r="AQ56" s="88">
        <f t="shared" si="39"/>
        <v>0</v>
      </c>
      <c r="AR56" s="88">
        <f t="shared" si="39"/>
        <v>0</v>
      </c>
      <c r="AS56" s="88">
        <f t="shared" si="39"/>
        <v>0</v>
      </c>
      <c r="AT56" s="88"/>
      <c r="AU56" s="88"/>
      <c r="AV56" s="88">
        <f aca="true" t="shared" si="40" ref="AV56:BB56">COUNTIF(AV8:AV48,"*Exception*")</f>
        <v>0</v>
      </c>
      <c r="AW56" s="88">
        <f t="shared" si="40"/>
        <v>0</v>
      </c>
      <c r="AX56" s="88">
        <f t="shared" si="40"/>
        <v>0</v>
      </c>
      <c r="AY56" s="88">
        <f t="shared" si="40"/>
        <v>0</v>
      </c>
      <c r="AZ56" s="88">
        <f t="shared" si="40"/>
        <v>0</v>
      </c>
      <c r="BA56" s="88">
        <f t="shared" si="40"/>
        <v>0</v>
      </c>
      <c r="BB56" s="88">
        <f t="shared" si="40"/>
        <v>0</v>
      </c>
      <c r="BC56" s="88">
        <f aca="true" t="shared" si="41" ref="BC56:BH56">COUNTIF(BC8:BC48,"*Exception*")</f>
        <v>0</v>
      </c>
      <c r="BD56" s="88">
        <f t="shared" si="41"/>
        <v>0</v>
      </c>
      <c r="BE56" s="88">
        <f t="shared" si="41"/>
        <v>0</v>
      </c>
      <c r="BF56" s="88">
        <f t="shared" si="41"/>
        <v>0</v>
      </c>
      <c r="BG56" s="88">
        <f t="shared" si="41"/>
        <v>0</v>
      </c>
      <c r="BH56" s="88">
        <f t="shared" si="41"/>
        <v>0</v>
      </c>
    </row>
    <row r="58" spans="2:5" ht="14.25">
      <c r="B58" s="130" t="s">
        <v>84</v>
      </c>
      <c r="C58" s="130"/>
      <c r="D58" s="130"/>
      <c r="E58" s="130"/>
    </row>
    <row r="59" spans="2:6" ht="15">
      <c r="B59" s="173" t="s">
        <v>193</v>
      </c>
      <c r="C59" s="174"/>
      <c r="D59" s="174"/>
      <c r="E59" s="174"/>
      <c r="F59" s="128"/>
    </row>
    <row r="60" spans="2:6" ht="15">
      <c r="B60" s="2"/>
      <c r="C60" s="2"/>
      <c r="F60" s="129"/>
    </row>
    <row r="73" ht="14.25" hidden="1">
      <c r="B73" s="43" t="s">
        <v>25</v>
      </c>
    </row>
    <row r="74" ht="14.25" hidden="1">
      <c r="B74" s="43" t="s">
        <v>26</v>
      </c>
    </row>
    <row r="75" ht="14.25" hidden="1">
      <c r="B75" s="43" t="s">
        <v>37</v>
      </c>
    </row>
    <row r="76" ht="14.25" hidden="1">
      <c r="B76" s="43" t="s">
        <v>33</v>
      </c>
    </row>
    <row r="77" ht="14.25" hidden="1">
      <c r="B77" s="43" t="s">
        <v>34</v>
      </c>
    </row>
    <row r="78" ht="14.25" hidden="1">
      <c r="B78" s="43" t="s">
        <v>27</v>
      </c>
    </row>
    <row r="79" ht="14.25" hidden="1">
      <c r="B79" s="43" t="s">
        <v>38</v>
      </c>
    </row>
    <row r="80" ht="14.25" hidden="1">
      <c r="B80" s="43" t="s">
        <v>28</v>
      </c>
    </row>
    <row r="81" ht="14.25" hidden="1">
      <c r="B81" s="43" t="s">
        <v>29</v>
      </c>
    </row>
    <row r="82" ht="14.25" hidden="1">
      <c r="B82" s="43" t="s">
        <v>30</v>
      </c>
    </row>
    <row r="83" ht="14.25" hidden="1">
      <c r="B83" s="43" t="s">
        <v>39</v>
      </c>
    </row>
    <row r="84" ht="14.25" hidden="1">
      <c r="B84" s="43" t="s">
        <v>35</v>
      </c>
    </row>
    <row r="85" ht="14.25" hidden="1">
      <c r="B85" s="43" t="s">
        <v>36</v>
      </c>
    </row>
    <row r="86" ht="14.25" hidden="1">
      <c r="B86" s="43" t="s">
        <v>40</v>
      </c>
    </row>
    <row r="87" ht="14.25" hidden="1">
      <c r="B87" s="43" t="s">
        <v>31</v>
      </c>
    </row>
    <row r="88" ht="14.25" hidden="1">
      <c r="B88" s="43" t="s">
        <v>41</v>
      </c>
    </row>
    <row r="89" ht="14.25" hidden="1">
      <c r="B89" s="43" t="s">
        <v>32</v>
      </c>
    </row>
  </sheetData>
  <sheetProtection formatCells="0" formatColumns="0" formatRows="0" insertColumns="0" insertRows="0" insertHyperlinks="0" deleteColumns="0" deleteRows="0" sort="0" autoFilter="0" pivotTables="0"/>
  <mergeCells count="6">
    <mergeCell ref="B59:E59"/>
    <mergeCell ref="AA4:BC4"/>
    <mergeCell ref="F4:H4"/>
    <mergeCell ref="I4:Z4"/>
    <mergeCell ref="B3:I3"/>
    <mergeCell ref="B2:K2"/>
  </mergeCells>
  <conditionalFormatting sqref="U8:U48">
    <cfRule type="expression" priority="32" dxfId="4" stopIfTrue="1">
      <formula>(T8="Yes")</formula>
    </cfRule>
  </conditionalFormatting>
  <conditionalFormatting sqref="W8:W48">
    <cfRule type="expression" priority="31" dxfId="0" stopIfTrue="1">
      <formula>(T8="No")</formula>
    </cfRule>
  </conditionalFormatting>
  <conditionalFormatting sqref="X8:X48">
    <cfRule type="expression" priority="30" dxfId="0" stopIfTrue="1">
      <formula>(T8="No")</formula>
    </cfRule>
  </conditionalFormatting>
  <conditionalFormatting sqref="AJ8:AJ48">
    <cfRule type="expression" priority="29" dxfId="0" stopIfTrue="1">
      <formula>(OR(AI8="No",AI8="NA",AI8="Exception"))</formula>
    </cfRule>
  </conditionalFormatting>
  <conditionalFormatting sqref="AK8:AK48">
    <cfRule type="expression" priority="28" dxfId="0" stopIfTrue="1">
      <formula>(OR(AI8="No",AI8="NA",AI8="Exception"))</formula>
    </cfRule>
  </conditionalFormatting>
  <conditionalFormatting sqref="AL8:AL48">
    <cfRule type="expression" priority="27" dxfId="0" stopIfTrue="1">
      <formula>(OR(AI8="No",AI8="NA",AI8="Exception"))</formula>
    </cfRule>
  </conditionalFormatting>
  <conditionalFormatting sqref="AN8:AN48">
    <cfRule type="expression" priority="26" dxfId="0" stopIfTrue="1">
      <formula>(OR(AI8="No",AI8="NA",AI8="Exception"))</formula>
    </cfRule>
  </conditionalFormatting>
  <conditionalFormatting sqref="AO8:AO48">
    <cfRule type="expression" priority="25" dxfId="0" stopIfTrue="1">
      <formula>(OR(AI8="No",AI8="NA",AI8="Exception"))</formula>
    </cfRule>
  </conditionalFormatting>
  <conditionalFormatting sqref="AM8:AM48">
    <cfRule type="expression" priority="24" dxfId="0" stopIfTrue="1">
      <formula>(OR(AI8="No",AI8="NA",AI8="Exception"))</formula>
    </cfRule>
  </conditionalFormatting>
  <conditionalFormatting sqref="AP8:AP48">
    <cfRule type="expression" priority="23" dxfId="0" stopIfTrue="1">
      <formula>(OR(AI8="No",AI8="NA",AI8="Exception"))</formula>
    </cfRule>
  </conditionalFormatting>
  <conditionalFormatting sqref="AR8:AR48">
    <cfRule type="expression" priority="14" dxfId="0" stopIfTrue="1">
      <formula>(AQ8="No")</formula>
    </cfRule>
  </conditionalFormatting>
  <conditionalFormatting sqref="AS8:AS48">
    <cfRule type="expression" priority="13" dxfId="0" stopIfTrue="1">
      <formula>(AQ8="No")</formula>
    </cfRule>
  </conditionalFormatting>
  <conditionalFormatting sqref="AT8:AT48">
    <cfRule type="expression" priority="12" dxfId="0" stopIfTrue="1">
      <formula>(AQ8="No")</formula>
    </cfRule>
  </conditionalFormatting>
  <conditionalFormatting sqref="AU8:AU48">
    <cfRule type="expression" priority="11" dxfId="0" stopIfTrue="1">
      <formula>(AQ8="No")</formula>
    </cfRule>
  </conditionalFormatting>
  <conditionalFormatting sqref="AV8:AV48">
    <cfRule type="expression" priority="10" dxfId="0" stopIfTrue="1">
      <formula>(AQ8="No")</formula>
    </cfRule>
  </conditionalFormatting>
  <conditionalFormatting sqref="AW8:AW48">
    <cfRule type="expression" priority="9" dxfId="0" stopIfTrue="1">
      <formula>(AQ8="No")</formula>
    </cfRule>
  </conditionalFormatting>
  <conditionalFormatting sqref="AX8:AX48">
    <cfRule type="expression" priority="8" dxfId="0" stopIfTrue="1">
      <formula>(AQ8="No")</formula>
    </cfRule>
  </conditionalFormatting>
  <conditionalFormatting sqref="AY8:AY48">
    <cfRule type="expression" priority="7" dxfId="0" stopIfTrue="1">
      <formula>(AQ8="No")</formula>
    </cfRule>
  </conditionalFormatting>
  <conditionalFormatting sqref="AZ8:AZ48">
    <cfRule type="expression" priority="6" dxfId="0" stopIfTrue="1">
      <formula>(AQ8="No")</formula>
    </cfRule>
  </conditionalFormatting>
  <conditionalFormatting sqref="BA8:BA48">
    <cfRule type="expression" priority="5" dxfId="0" stopIfTrue="1">
      <formula>(AQ8="No")</formula>
    </cfRule>
  </conditionalFormatting>
  <conditionalFormatting sqref="BB8:BB48">
    <cfRule type="expression" priority="4" dxfId="0" stopIfTrue="1">
      <formula>(AQ8="No")</formula>
    </cfRule>
  </conditionalFormatting>
  <conditionalFormatting sqref="BB8:BB48">
    <cfRule type="expression" priority="3" dxfId="0" stopIfTrue="1">
      <formula>(AR8="No")</formula>
    </cfRule>
  </conditionalFormatting>
  <conditionalFormatting sqref="BA8:BA48">
    <cfRule type="expression" priority="2" dxfId="0" stopIfTrue="1">
      <formula>(AR8="Yes")</formula>
    </cfRule>
  </conditionalFormatting>
  <conditionalFormatting sqref="AX8:AX48">
    <cfRule type="expression" priority="36" dxfId="4" stopIfTrue="1">
      <formula>(AND('Data collection'!#REF!="Yes",AR8="Yes"))</formula>
    </cfRule>
  </conditionalFormatting>
  <conditionalFormatting sqref="AY8:AY48">
    <cfRule type="expression" priority="37" dxfId="0" stopIfTrue="1">
      <formula>(AND('Data collection'!#REF!="Yes",AR8="No"))</formula>
    </cfRule>
  </conditionalFormatting>
  <conditionalFormatting sqref="AZ8:AZ48">
    <cfRule type="expression" priority="38" dxfId="0" stopIfTrue="1">
      <formula>(AND('Data collection'!#REF!="Yes",AR8="No"))</formula>
    </cfRule>
    <cfRule type="expression" priority="39" dxfId="0" stopIfTrue="1">
      <formula>('Data collection'!#REF!="No")</formula>
    </cfRule>
  </conditionalFormatting>
  <conditionalFormatting sqref="AX8:AX48">
    <cfRule type="expression" priority="1" dxfId="0" stopIfTrue="1">
      <formula>(AR8="Yes")</formula>
    </cfRule>
  </conditionalFormatting>
  <dataValidations count="8">
    <dataValidation type="list" allowBlank="1" showInputMessage="1" showErrorMessage="1" sqref="D8:D48">
      <formula1>"Male,Female"</formula1>
    </dataValidation>
    <dataValidation type="list" allowBlank="1" showInputMessage="1" showErrorMessage="1" sqref="E8:E48">
      <formula1>$B$73:$B$89</formula1>
    </dataValidation>
    <dataValidation type="list" allowBlank="1" showInputMessage="1" showErrorMessage="1" sqref="G8:I48 AQ8:AS48 T8:X48 P8:P48 AA8:AB48 AF8:AF48 BC8:BH48 AJ8:AJ48 AW8:AZ48">
      <formula1>"Yes, No, NA, Exception"</formula1>
    </dataValidation>
    <dataValidation type="list" allowBlank="1" showInputMessage="1" showErrorMessage="1" sqref="F8:F48">
      <formula1>"Carbon-13 urea breath test, Stool antigen test, Laboratory-based serology, No, NA, Exception"</formula1>
    </dataValidation>
    <dataValidation type="list" allowBlank="1" showInputMessage="1" showErrorMessage="1" sqref="J8:J48 Q8:Q48 AC8:AC48 AK8:AK48 AT8:AT48">
      <formula1>"Esomeprazole, Lansoprazole, Omeprazole, Pantoprazole, Rabeprazole"</formula1>
    </dataValidation>
    <dataValidation type="list" allowBlank="1" showInputMessage="1" showErrorMessage="1" sqref="N8:N48 AG8:AG48 AI8:AI48">
      <formula1>"Clarithromycin, Metronidazole, No, NA, Exception"</formula1>
    </dataValidation>
    <dataValidation type="list" allowBlank="1" showInputMessage="1" showErrorMessage="1" sqref="AO8:AO48">
      <formula1>"Quinolone, Tetracycline, No, NA, Exception"</formula1>
    </dataValidation>
    <dataValidation type="list" allowBlank="1" showInputMessage="1" showErrorMessage="1" sqref="M8:M48 AN8:AN48">
      <formula1>"Yes, No, NA, Exception A, Exception"</formula1>
    </dataValidation>
  </dataValidations>
  <printOptions/>
  <pageMargins left="0.7086614173228347" right="0.7086614173228347" top="0.7480314960629921" bottom="0.7480314960629921" header="0.31496062992125984" footer="0.31496062992125984"/>
  <pageSetup fitToHeight="2" fitToWidth="6" horizontalDpi="300" verticalDpi="300" orientation="landscape" paperSize="9" scale="59" r:id="rId1"/>
  <ignoredErrors>
    <ignoredError sqref="B1 BC49 BC51:BC52 BC55:BC56 F55:I56 F51:I52 G49:I49 M55:N56 M51:N52 M49:N49 AA55:AB56 AA51:AB52 AA49:AB49 AN55:AO56 AN51:AO52 AN49:AO49 BD49:BH49 BD51:BH52 BD55:BH56" unlockedFormula="1"/>
  </ignoredErrors>
</worksheet>
</file>

<file path=xl/worksheets/sheet6.xml><?xml version="1.0" encoding="utf-8"?>
<worksheet xmlns="http://schemas.openxmlformats.org/spreadsheetml/2006/main" xmlns:r="http://schemas.openxmlformats.org/officeDocument/2006/relationships">
  <sheetPr codeName="Sheet10">
    <pageSetUpPr fitToPage="1"/>
  </sheetPr>
  <dimension ref="B1:N122"/>
  <sheetViews>
    <sheetView showGridLines="0" zoomScale="90" zoomScaleNormal="90" zoomScalePageLayoutView="0" workbookViewId="0" topLeftCell="A29">
      <selection activeCell="A1" sqref="A1"/>
    </sheetView>
  </sheetViews>
  <sheetFormatPr defaultColWidth="9.140625" defaultRowHeight="15"/>
  <cols>
    <col min="1" max="1" width="9.140625" style="30" customWidth="1"/>
    <col min="2" max="2" width="29.7109375" style="30" customWidth="1"/>
    <col min="3" max="4" width="11.421875" style="30" customWidth="1"/>
    <col min="5" max="5" width="30.57421875" style="30" customWidth="1"/>
    <col min="6" max="9" width="13.00390625" style="30" customWidth="1"/>
    <col min="10" max="16384" width="9.140625" style="30" customWidth="1"/>
  </cols>
  <sheetData>
    <row r="1" spans="2:9" ht="45.75" customHeight="1">
      <c r="B1" s="198" t="str">
        <f>'Hidden sheet'!B3&amp;": "&amp;'Hidden sheet'!B4&amp;" clinical audit report"</f>
        <v>Dyspepsia and GORD: Helicobacter pylori testing and eradication clinical audit report</v>
      </c>
      <c r="C1" s="199"/>
      <c r="D1" s="199"/>
      <c r="E1" s="199"/>
      <c r="F1" s="199"/>
      <c r="G1" s="199"/>
      <c r="H1" s="199"/>
      <c r="I1" s="199"/>
    </row>
    <row r="2" spans="2:9" ht="15">
      <c r="B2" s="200"/>
      <c r="C2" s="200"/>
      <c r="D2" s="200"/>
      <c r="E2" s="200"/>
      <c r="F2" s="200"/>
      <c r="G2" s="200"/>
      <c r="H2" s="200"/>
      <c r="I2" s="164"/>
    </row>
    <row r="3" spans="2:14" s="81" customFormat="1" ht="15.75">
      <c r="B3" s="188" t="s">
        <v>44</v>
      </c>
      <c r="C3" s="188"/>
      <c r="D3" s="188"/>
      <c r="E3" s="201"/>
      <c r="F3" s="201"/>
      <c r="G3" s="201"/>
      <c r="H3" s="191"/>
      <c r="I3" s="191"/>
      <c r="J3" s="102"/>
      <c r="K3" s="102"/>
      <c r="L3" s="102"/>
      <c r="M3" s="102"/>
      <c r="N3" s="102"/>
    </row>
    <row r="4" spans="2:14" s="81" customFormat="1" ht="15.75" customHeight="1">
      <c r="B4" s="183" t="str">
        <f>Introduction!B1&amp;"."</f>
        <v>Dyspepsia and GORD: Helicobacter pylori testing and eradication clinical audit.</v>
      </c>
      <c r="C4" s="183"/>
      <c r="D4" s="183"/>
      <c r="E4" s="189"/>
      <c r="F4" s="189"/>
      <c r="G4" s="189"/>
      <c r="H4" s="190"/>
      <c r="I4" s="190"/>
      <c r="J4" s="102"/>
      <c r="K4" s="102"/>
      <c r="L4" s="102"/>
      <c r="M4" s="102"/>
      <c r="N4" s="102"/>
    </row>
    <row r="5" spans="2:14" s="81" customFormat="1" ht="15.75" customHeight="1">
      <c r="B5" s="183"/>
      <c r="C5" s="183"/>
      <c r="D5" s="183"/>
      <c r="E5" s="189"/>
      <c r="F5" s="189"/>
      <c r="G5" s="189"/>
      <c r="H5" s="190"/>
      <c r="I5" s="190"/>
      <c r="J5" s="102"/>
      <c r="K5" s="102"/>
      <c r="L5" s="102"/>
      <c r="M5" s="102"/>
      <c r="N5" s="102"/>
    </row>
    <row r="6" spans="2:14" s="81" customFormat="1" ht="15.75">
      <c r="B6" s="188" t="s">
        <v>45</v>
      </c>
      <c r="C6" s="188"/>
      <c r="D6" s="188"/>
      <c r="E6" s="201"/>
      <c r="F6" s="201"/>
      <c r="G6" s="201"/>
      <c r="H6" s="191"/>
      <c r="I6" s="191"/>
      <c r="J6" s="102"/>
      <c r="K6" s="102"/>
      <c r="L6" s="102"/>
      <c r="M6" s="102"/>
      <c r="N6" s="102"/>
    </row>
    <row r="7" spans="2:14" s="81" customFormat="1" ht="18.75" customHeight="1">
      <c r="B7" s="183" t="str">
        <f>"The aim of this clinical audit is "&amp;'Hidden sheet'!B7&amp;"."</f>
        <v>The aim of this clinical audit is to improve the testing and treatment of Helicobacter pylori (H pylori).</v>
      </c>
      <c r="C7" s="183"/>
      <c r="D7" s="183"/>
      <c r="E7" s="189"/>
      <c r="F7" s="189"/>
      <c r="G7" s="189"/>
      <c r="H7" s="190"/>
      <c r="I7" s="190"/>
      <c r="J7" s="102"/>
      <c r="K7" s="102"/>
      <c r="L7" s="102"/>
      <c r="M7" s="102"/>
      <c r="N7" s="102"/>
    </row>
    <row r="8" spans="2:14" s="81" customFormat="1" ht="15.75" customHeight="1">
      <c r="B8" s="183"/>
      <c r="C8" s="183"/>
      <c r="D8" s="183"/>
      <c r="E8" s="189"/>
      <c r="F8" s="189"/>
      <c r="G8" s="189"/>
      <c r="H8" s="190"/>
      <c r="I8" s="190"/>
      <c r="J8" s="102"/>
      <c r="K8" s="102"/>
      <c r="L8" s="102"/>
      <c r="M8" s="102"/>
      <c r="N8" s="102"/>
    </row>
    <row r="9" spans="2:14" s="81" customFormat="1" ht="15.75">
      <c r="B9" s="188" t="s">
        <v>68</v>
      </c>
      <c r="C9" s="188"/>
      <c r="D9" s="188"/>
      <c r="E9" s="201"/>
      <c r="F9" s="201"/>
      <c r="G9" s="201"/>
      <c r="H9" s="191"/>
      <c r="I9" s="191"/>
      <c r="J9" s="102"/>
      <c r="K9" s="102"/>
      <c r="L9" s="102"/>
      <c r="M9" s="102"/>
      <c r="N9" s="102"/>
    </row>
    <row r="10" spans="2:14" s="81" customFormat="1" ht="32.25" customHeight="1">
      <c r="B10" s="183" t="str">
        <f>"The audit standards are based on "&amp;'Hidden sheet'!B2&amp;". NICE clinical guideline "&amp;'Hidden sheet'!B5&amp;" ("&amp;'Hidden sheet'!B6&amp;")."</f>
        <v>The audit standards are based on Dyspepsia and gastro-oesophageal reflux disease: investigation and management of dyspepsia, symptoms suggestive of gastro-oesophageal reflux disease, or both. NICE clinical guideline 184 (2014).</v>
      </c>
      <c r="C10" s="183"/>
      <c r="D10" s="183"/>
      <c r="E10" s="189"/>
      <c r="F10" s="189"/>
      <c r="G10" s="189"/>
      <c r="H10" s="190"/>
      <c r="I10" s="190"/>
      <c r="J10" s="102"/>
      <c r="K10" s="102"/>
      <c r="L10" s="102"/>
      <c r="M10" s="102"/>
      <c r="N10" s="102"/>
    </row>
    <row r="11" spans="2:14" s="81" customFormat="1" ht="15.75" customHeight="1">
      <c r="B11" s="183"/>
      <c r="C11" s="183"/>
      <c r="D11" s="183"/>
      <c r="E11" s="189"/>
      <c r="F11" s="189"/>
      <c r="G11" s="189"/>
      <c r="H11" s="190"/>
      <c r="I11" s="190"/>
      <c r="J11" s="102"/>
      <c r="K11" s="102"/>
      <c r="L11" s="102"/>
      <c r="M11" s="102"/>
      <c r="N11" s="102"/>
    </row>
    <row r="12" spans="2:14" s="81" customFormat="1" ht="15.75">
      <c r="B12" s="188" t="s">
        <v>46</v>
      </c>
      <c r="C12" s="188"/>
      <c r="D12" s="188"/>
      <c r="E12" s="201"/>
      <c r="F12" s="201"/>
      <c r="G12" s="201"/>
      <c r="H12" s="191"/>
      <c r="I12" s="191"/>
      <c r="J12" s="102"/>
      <c r="K12" s="102"/>
      <c r="L12" s="102"/>
      <c r="M12" s="102"/>
      <c r="N12" s="102"/>
    </row>
    <row r="13" spans="2:14" s="81" customFormat="1" ht="31.5" customHeight="1">
      <c r="B13" s="183" t="str">
        <f>"The audit sample includes "&amp;'Hidden sheet'!B11&amp;"."</f>
        <v>The audit sample includes adults (18 years and older) with symptoms of dyspepsia and/or symptoms suggestive of GORD, who have been tested for H pylori.
The following ICD 10 codes may be helpful for identifying your sample:
K20   Oesophagitis
K21   GORD
K25   Gastric ulcer
K26   Duodenal ulcer
K27   Peptic ulcer (site unspecified)
K30   Dyspepsia
B98.0   Helicobacter pylori as cause of diseases classified to other chapters.
The following Read codes may be helpful for identifying your sample:
J10..    GORD
J11..    Gastric ulcer
J12..    Duodenal ulcer
J13z.   Peptic ulcer
J15..    Gastritis
J151    Chronic gastritis
J1544  Helicobater gastritis
J16y4  Dyspepsia.</v>
      </c>
      <c r="C13" s="183"/>
      <c r="D13" s="183"/>
      <c r="E13" s="189"/>
      <c r="F13" s="189"/>
      <c r="G13" s="189"/>
      <c r="H13" s="190"/>
      <c r="I13" s="190"/>
      <c r="J13" s="102"/>
      <c r="K13" s="102"/>
      <c r="L13" s="102"/>
      <c r="M13" s="102"/>
      <c r="N13" s="102"/>
    </row>
    <row r="14" spans="2:14" s="81" customFormat="1" ht="15">
      <c r="B14" s="183"/>
      <c r="C14" s="183"/>
      <c r="D14" s="183"/>
      <c r="E14" s="189"/>
      <c r="F14" s="189"/>
      <c r="G14" s="189"/>
      <c r="H14" s="190"/>
      <c r="I14" s="190"/>
      <c r="J14" s="102"/>
      <c r="K14" s="102"/>
      <c r="L14" s="102"/>
      <c r="M14" s="102"/>
      <c r="N14" s="102"/>
    </row>
    <row r="15" spans="2:14" s="81" customFormat="1" ht="20.25" customHeight="1">
      <c r="B15" s="188" t="s">
        <v>52</v>
      </c>
      <c r="C15" s="188"/>
      <c r="D15" s="188"/>
      <c r="E15" s="188"/>
      <c r="F15" s="188"/>
      <c r="G15" s="188"/>
      <c r="H15" s="191"/>
      <c r="I15" s="191"/>
      <c r="J15" s="102"/>
      <c r="K15" s="102"/>
      <c r="L15" s="102"/>
      <c r="M15" s="102"/>
      <c r="N15" s="102"/>
    </row>
    <row r="16" spans="2:9" s="81" customFormat="1" ht="15">
      <c r="B16" s="204"/>
      <c r="C16" s="174"/>
      <c r="D16" s="174"/>
      <c r="E16" s="174"/>
      <c r="F16" s="32" t="s">
        <v>19</v>
      </c>
      <c r="G16" s="33">
        <f>COUNTA('Data collection'!F8:F48)</f>
        <v>0</v>
      </c>
      <c r="H16" s="32" t="s">
        <v>20</v>
      </c>
      <c r="I16" s="36">
        <f>COUNTA('Re-audit'!F8:F48)</f>
        <v>0</v>
      </c>
    </row>
    <row r="17" spans="2:9" s="81" customFormat="1" ht="15.75" thickBot="1">
      <c r="B17" s="202"/>
      <c r="C17" s="203"/>
      <c r="D17" s="203"/>
      <c r="E17" s="203"/>
      <c r="F17" s="203"/>
      <c r="G17" s="203"/>
      <c r="H17" s="203"/>
      <c r="I17" s="203"/>
    </row>
    <row r="18" spans="2:9" ht="15.75" thickBot="1">
      <c r="B18" s="192" t="s">
        <v>68</v>
      </c>
      <c r="C18" s="193"/>
      <c r="D18" s="193"/>
      <c r="E18" s="194"/>
      <c r="F18" s="192" t="s">
        <v>53</v>
      </c>
      <c r="G18" s="193"/>
      <c r="H18" s="192" t="s">
        <v>54</v>
      </c>
      <c r="I18" s="194"/>
    </row>
    <row r="19" spans="2:9" s="105" customFormat="1" ht="17.25" customHeight="1" thickBot="1">
      <c r="B19" s="195" t="str">
        <f>'Audit standards'!B12</f>
        <v>H pylori testing</v>
      </c>
      <c r="C19" s="196"/>
      <c r="D19" s="196"/>
      <c r="E19" s="197"/>
      <c r="F19" s="125"/>
      <c r="G19" s="126"/>
      <c r="H19" s="127"/>
      <c r="I19" s="126"/>
    </row>
    <row r="20" spans="2:9" ht="46.5" customHeight="1" thickBot="1">
      <c r="B20" s="184" t="str">
        <f>'Audit standards'!B13</f>
        <v>1. H pylori is tested for using a carbon-13 urea breath test or a stool antigen test or laboratory-based serology.</v>
      </c>
      <c r="C20" s="185"/>
      <c r="D20" s="185"/>
      <c r="E20" s="186"/>
      <c r="F20" s="37" t="str">
        <f>'Data collection'!F52</f>
        <v>%</v>
      </c>
      <c r="G20" s="38" t="str">
        <f>'Data collection'!F49&amp;"/"&amp;'Data collection'!F51</f>
        <v>0/0</v>
      </c>
      <c r="H20" s="37" t="str">
        <f>'Re-audit'!F52</f>
        <v>%</v>
      </c>
      <c r="I20" s="38" t="str">
        <f>'Re-audit'!F49&amp;"/"&amp;'Re-audit'!F51</f>
        <v>0/0</v>
      </c>
    </row>
    <row r="21" spans="2:9" ht="46.5" customHeight="1" thickBot="1">
      <c r="B21" s="184" t="str">
        <f>'Audit standards'!B14</f>
        <v>2. Re-testing for H pylori is performed using a carbon-13 urea breath test.</v>
      </c>
      <c r="C21" s="185"/>
      <c r="D21" s="185"/>
      <c r="E21" s="186"/>
      <c r="F21" s="37" t="str">
        <f>'Data collection'!G52</f>
        <v>%</v>
      </c>
      <c r="G21" s="38" t="str">
        <f>'Data collection'!G49&amp;"/"&amp;'Data collection'!G51</f>
        <v>0/0</v>
      </c>
      <c r="H21" s="37" t="str">
        <f>'Re-audit'!G52</f>
        <v>%</v>
      </c>
      <c r="I21" s="38" t="str">
        <f>'Re-audit'!G49&amp;"/"&amp;'Re-audit'!G51</f>
        <v>0/0</v>
      </c>
    </row>
    <row r="22" spans="2:9" ht="46.5" customHeight="1" thickBot="1">
      <c r="B22" s="184" t="str">
        <f>'Audit standards'!B15&amp;"  (The aim for this standard is 0%)"</f>
        <v>3. Office-based serological tests are not used.  (The aim for this standard is 0%)</v>
      </c>
      <c r="C22" s="185"/>
      <c r="D22" s="185"/>
      <c r="E22" s="186"/>
      <c r="F22" s="37" t="str">
        <f>'Data collection'!H52</f>
        <v>%</v>
      </c>
      <c r="G22" s="38" t="str">
        <f>'Data collection'!H49&amp;"/"&amp;'Data collection'!H51</f>
        <v>0/0</v>
      </c>
      <c r="H22" s="37" t="str">
        <f>'Re-audit'!H52</f>
        <v>%</v>
      </c>
      <c r="I22" s="38" t="str">
        <f>'Re-audit'!H49&amp;"/"&amp;'Re-audit'!H51</f>
        <v>0/0</v>
      </c>
    </row>
    <row r="23" spans="2:9" ht="17.25" customHeight="1" thickBot="1">
      <c r="B23" s="195" t="str">
        <f>'Audit standards'!B16</f>
        <v>First-line treatment</v>
      </c>
      <c r="C23" s="196"/>
      <c r="D23" s="196"/>
      <c r="E23" s="197"/>
      <c r="F23" s="125"/>
      <c r="G23" s="126"/>
      <c r="H23" s="127"/>
      <c r="I23" s="126"/>
    </row>
    <row r="24" spans="2:9" ht="76.5" customHeight="1" thickBot="1">
      <c r="B24" s="184" t="str">
        <f>'Audit standards'!B17</f>
        <v>4. People who test positive for H pylori are offered a 7-day, twice-daily course of treatment with:
• a PPI and
• amoxicillin and
• either clarithromycin or metronidazole.</v>
      </c>
      <c r="C24" s="185"/>
      <c r="D24" s="185"/>
      <c r="E24" s="186"/>
      <c r="F24" s="37" t="str">
        <f>'Data collection'!O52</f>
        <v>%</v>
      </c>
      <c r="G24" s="38" t="str">
        <f>'Data collection'!O49&amp;"/"&amp;'Data collection'!O51</f>
        <v>0/0</v>
      </c>
      <c r="H24" s="37" t="str">
        <f>'Re-audit'!O52</f>
        <v>%</v>
      </c>
      <c r="I24" s="38" t="str">
        <f>'Re-audit'!O49&amp;"/"&amp;'Re-audit'!O51</f>
        <v>0/0</v>
      </c>
    </row>
    <row r="25" spans="2:9" ht="78" customHeight="1" thickBot="1">
      <c r="B25" s="184" t="str">
        <f>'Audit standards'!B18</f>
        <v>5. People who are allergic to penicillin are offered a 7-day, twice-daily course of treatment with:
• a PPI and
• clarithromycin and
• metronidazole.</v>
      </c>
      <c r="C25" s="185"/>
      <c r="D25" s="185"/>
      <c r="E25" s="186"/>
      <c r="F25" s="38" t="str">
        <f>'Data collection'!Y52</f>
        <v>%</v>
      </c>
      <c r="G25" s="38" t="str">
        <f>'Data collection'!Y49&amp;"/"&amp;'Data collection'!Y51</f>
        <v>0/0</v>
      </c>
      <c r="H25" s="38" t="str">
        <f>'Re-audit'!Y52</f>
        <v>%</v>
      </c>
      <c r="I25" s="38" t="str">
        <f>'Re-audit'!Y49&amp;"/"&amp;'Re-audit'!Y51</f>
        <v>0/0</v>
      </c>
    </row>
    <row r="26" spans="2:9" ht="90.75" customHeight="1" thickBot="1">
      <c r="B26" s="184" t="str">
        <f>'Audit standards'!B19</f>
        <v>6. People who are allergic to penicillin and who have had previous exposure to clarithromycin are offered a 7-day, twice-daily course of treatment with:
• a PPI and
• bismuth and
• metronidazole and
• tetracycline.</v>
      </c>
      <c r="C26" s="185"/>
      <c r="D26" s="185"/>
      <c r="E26" s="186"/>
      <c r="F26" s="38" t="str">
        <f>'Data collection'!Z52</f>
        <v>%</v>
      </c>
      <c r="G26" s="38" t="str">
        <f>'Data collection'!Z49&amp;"/"&amp;'Data collection'!Z51</f>
        <v>0/0</v>
      </c>
      <c r="H26" s="38" t="str">
        <f>'Re-audit'!Z52</f>
        <v>%</v>
      </c>
      <c r="I26" s="38" t="str">
        <f>'Re-audit'!Z49&amp;"/"&amp;'Re-audit'!Z51</f>
        <v>0/0</v>
      </c>
    </row>
    <row r="27" spans="2:9" ht="18" customHeight="1" thickBot="1">
      <c r="B27" s="195" t="str">
        <f>'Audit standards'!B20</f>
        <v>Second-line treatment</v>
      </c>
      <c r="C27" s="196"/>
      <c r="D27" s="196"/>
      <c r="E27" s="197"/>
      <c r="F27" s="127"/>
      <c r="G27" s="126"/>
      <c r="H27" s="127"/>
      <c r="I27" s="126"/>
    </row>
    <row r="28" spans="2:9" ht="80.25" customHeight="1" thickBot="1">
      <c r="B28" s="184" t="str">
        <f>'Audit standards'!B21</f>
        <v>7. People who still have symptoms after first-line eradication treatment are offered a 7-day, twice-daily course of treatment with:
• a PPI and
• amoxicillin and
• either clarithromycin or metronidazole (whichever was not used first-line).</v>
      </c>
      <c r="C28" s="185"/>
      <c r="D28" s="185"/>
      <c r="E28" s="186"/>
      <c r="F28" s="38" t="str">
        <f>'Data collection'!AH52</f>
        <v>%</v>
      </c>
      <c r="G28" s="38" t="str">
        <f>'Data collection'!AH49&amp;"/"&amp;'Data collection'!AH51</f>
        <v>0/0</v>
      </c>
      <c r="H28" s="38" t="str">
        <f>'Re-audit'!AH52</f>
        <v>%</v>
      </c>
      <c r="I28" s="38" t="str">
        <f>'Re-audit'!AH49&amp;"/"&amp;'Re-audit'!AH51</f>
        <v>0/0</v>
      </c>
    </row>
    <row r="29" spans="2:9" ht="77.25" customHeight="1" thickBot="1">
      <c r="B29" s="184" t="str">
        <f>'Audit standards'!B22</f>
        <v>8. People who have had previous exposure to clarithromycin and metronidazole are offered a 7-day, twice-daily course of treatment with:
• a PPI and
• amoxicillin and
• a quinolone or tetracycline.</v>
      </c>
      <c r="C29" s="185"/>
      <c r="D29" s="185"/>
      <c r="E29" s="186"/>
      <c r="F29" s="38" t="str">
        <f>'Data collection'!AP52</f>
        <v>%</v>
      </c>
      <c r="G29" s="38" t="str">
        <f>'Data collection'!AP49&amp;"/"&amp;'Data collection'!AP51</f>
        <v>0/0</v>
      </c>
      <c r="H29" s="38" t="str">
        <f>'Re-audit'!AP52</f>
        <v>%</v>
      </c>
      <c r="I29" s="38" t="str">
        <f>'Re-audit'!AP49&amp;"/"&amp;'Re-audit'!AP51</f>
        <v>0/0</v>
      </c>
    </row>
    <row r="30" spans="2:9" ht="80.25" customHeight="1" thickBot="1">
      <c r="B30" s="184" t="str">
        <f>'Audit standards'!B23</f>
        <v>9. People who are allergic to penicillin (and who have not had previous exposure to a quinolone) are offered a 7-day, twice-daily course of treatment with:
• a PPI and
• metronidazole and
• levofloxacin.</v>
      </c>
      <c r="C30" s="185"/>
      <c r="D30" s="185"/>
      <c r="E30" s="186"/>
      <c r="F30" s="38" t="str">
        <f>'Data collection'!BA52</f>
        <v>%</v>
      </c>
      <c r="G30" s="38" t="str">
        <f>'Data collection'!BA49&amp;"/"&amp;'Data collection'!BA51</f>
        <v>0/0</v>
      </c>
      <c r="H30" s="38" t="str">
        <f>'Re-audit'!BA52</f>
        <v>%</v>
      </c>
      <c r="I30" s="38" t="str">
        <f>'Re-audit'!BA49&amp;"/"&amp;'Re-audit'!BA51</f>
        <v>0/0</v>
      </c>
    </row>
    <row r="31" spans="2:9" ht="92.25" customHeight="1" thickBot="1">
      <c r="B31" s="184" t="str">
        <f>'Audit standards'!B24</f>
        <v>10. People who are allergic to penicillin and who have had previous exposure to a quinolone are offered:
• a PPI and
• bismuth and
• metronidazole and
• tetracycline.</v>
      </c>
      <c r="C31" s="185"/>
      <c r="D31" s="185"/>
      <c r="E31" s="186"/>
      <c r="F31" s="38" t="str">
        <f>'Data collection'!BB52</f>
        <v>%</v>
      </c>
      <c r="G31" s="38" t="str">
        <f>'Data collection'!BB49&amp;"/"&amp;'Data collection'!BB51</f>
        <v>0/0</v>
      </c>
      <c r="H31" s="38" t="str">
        <f>'Re-audit'!BB52</f>
        <v>%</v>
      </c>
      <c r="I31" s="38" t="str">
        <f>'Re-audit'!BB49&amp;"/"&amp;'Re-audit'!BB51</f>
        <v>0/0</v>
      </c>
    </row>
    <row r="32" spans="2:9" s="81" customFormat="1" ht="46.5" customHeight="1" thickBot="1">
      <c r="B32" s="184" t="str">
        <f>'Audit standards'!B25</f>
        <v>11. If eradication of H pylori is not successful with second-line treatment, advice is sought from a gastroenterologist.</v>
      </c>
      <c r="C32" s="185"/>
      <c r="D32" s="185"/>
      <c r="E32" s="186"/>
      <c r="F32" s="38" t="str">
        <f>'Data collection'!BC52</f>
        <v>%</v>
      </c>
      <c r="G32" s="38" t="str">
        <f>'Data collection'!BC49&amp;"/"&amp;'Data collection'!BC51</f>
        <v>0/0</v>
      </c>
      <c r="H32" s="38" t="str">
        <f>'Re-audit'!BC52</f>
        <v>%</v>
      </c>
      <c r="I32" s="38" t="str">
        <f>'Re-audit'!BC49&amp;"/"&amp;'Re-audit'!BC51</f>
        <v>0/0</v>
      </c>
    </row>
    <row r="33" spans="2:9" ht="46.5" customHeight="1" thickBot="1">
      <c r="B33" s="184" t="str">
        <f>'Audit standards'!B26</f>
        <v>Local standard</v>
      </c>
      <c r="C33" s="185"/>
      <c r="D33" s="185"/>
      <c r="E33" s="186"/>
      <c r="F33" s="37" t="str">
        <f>'Data collection'!BD52</f>
        <v>%</v>
      </c>
      <c r="G33" s="37" t="str">
        <f>'Data collection'!BD49&amp;"/"&amp;'Data collection'!BD51</f>
        <v>0/0</v>
      </c>
      <c r="H33" s="37" t="str">
        <f>'Re-audit'!BD52</f>
        <v>%</v>
      </c>
      <c r="I33" s="37" t="str">
        <f>'Re-audit'!BD49&amp;"/"&amp;'Re-audit'!BD51</f>
        <v>0/0</v>
      </c>
    </row>
    <row r="34" spans="2:9" ht="46.5" customHeight="1" thickBot="1">
      <c r="B34" s="184" t="str">
        <f>'Audit standards'!B27</f>
        <v>Local standard</v>
      </c>
      <c r="C34" s="185"/>
      <c r="D34" s="185"/>
      <c r="E34" s="186"/>
      <c r="F34" s="37" t="str">
        <f>'Data collection'!BE52</f>
        <v>%</v>
      </c>
      <c r="G34" s="37" t="str">
        <f>'Data collection'!BE49&amp;"/"&amp;'Data collection'!BE51</f>
        <v>0/0</v>
      </c>
      <c r="H34" s="37" t="str">
        <f>'Re-audit'!BE52</f>
        <v>%</v>
      </c>
      <c r="I34" s="37" t="str">
        <f>'Re-audit'!BE49&amp;"/"&amp;'Re-audit'!BE51</f>
        <v>0/0</v>
      </c>
    </row>
    <row r="35" spans="2:9" ht="46.5" customHeight="1" thickBot="1">
      <c r="B35" s="184" t="str">
        <f>'Audit standards'!B28</f>
        <v>Local standard</v>
      </c>
      <c r="C35" s="185"/>
      <c r="D35" s="185"/>
      <c r="E35" s="186"/>
      <c r="F35" s="37" t="str">
        <f>'Data collection'!BF52</f>
        <v>%</v>
      </c>
      <c r="G35" s="37" t="str">
        <f>'Data collection'!BF49&amp;"/"&amp;'Data collection'!BF51</f>
        <v>0/0</v>
      </c>
      <c r="H35" s="37" t="str">
        <f>'Re-audit'!BF52</f>
        <v>%</v>
      </c>
      <c r="I35" s="37" t="str">
        <f>'Re-audit'!BF49&amp;"/"&amp;'Re-audit'!BF51</f>
        <v>0/0</v>
      </c>
    </row>
    <row r="36" spans="2:9" s="104" customFormat="1" ht="46.5" customHeight="1" thickBot="1">
      <c r="B36" s="184" t="str">
        <f>'Audit standards'!B29</f>
        <v>Local standard</v>
      </c>
      <c r="C36" s="185"/>
      <c r="D36" s="185"/>
      <c r="E36" s="186"/>
      <c r="F36" s="37" t="str">
        <f>'Data collection'!BG52</f>
        <v>%</v>
      </c>
      <c r="G36" s="37" t="str">
        <f>'Data collection'!BG49&amp;"/"&amp;'Data collection'!BG51</f>
        <v>0/0</v>
      </c>
      <c r="H36" s="37" t="str">
        <f>'Re-audit'!BG52</f>
        <v>%</v>
      </c>
      <c r="I36" s="37" t="str">
        <f>'Re-audit'!BG49&amp;"/"&amp;'Re-audit'!BG51</f>
        <v>0/0</v>
      </c>
    </row>
    <row r="37" spans="2:9" s="104" customFormat="1" ht="46.5" customHeight="1" thickBot="1">
      <c r="B37" s="184" t="str">
        <f>'Audit standards'!B30</f>
        <v>Local standard</v>
      </c>
      <c r="C37" s="185"/>
      <c r="D37" s="185"/>
      <c r="E37" s="186"/>
      <c r="F37" s="37" t="str">
        <f>'Data collection'!BH52</f>
        <v>%</v>
      </c>
      <c r="G37" s="37" t="str">
        <f>'Data collection'!BH49&amp;"/"&amp;'Data collection'!BH51</f>
        <v>0/0</v>
      </c>
      <c r="H37" s="37" t="str">
        <f>'Re-audit'!BH52</f>
        <v>%</v>
      </c>
      <c r="I37" s="37" t="str">
        <f>'Re-audit'!BH49&amp;"/"&amp;'Re-audit'!BH51</f>
        <v>0/0</v>
      </c>
    </row>
    <row r="38" s="81" customFormat="1" ht="14.25"/>
    <row r="39" spans="2:9" s="81" customFormat="1" ht="15.75">
      <c r="B39" s="188" t="s">
        <v>48</v>
      </c>
      <c r="C39" s="188"/>
      <c r="D39" s="188"/>
      <c r="E39" s="188"/>
      <c r="F39" s="188"/>
      <c r="G39" s="188"/>
      <c r="H39" s="188"/>
      <c r="I39" s="102"/>
    </row>
    <row r="40" spans="2:9" s="81" customFormat="1" ht="32.25" customHeight="1">
      <c r="B40" s="183" t="s">
        <v>128</v>
      </c>
      <c r="C40" s="183"/>
      <c r="D40" s="183"/>
      <c r="E40" s="183"/>
      <c r="F40" s="183"/>
      <c r="G40" s="183"/>
      <c r="H40" s="183"/>
      <c r="I40" s="183"/>
    </row>
    <row r="41" spans="2:9" s="81" customFormat="1" ht="14.25">
      <c r="B41" s="183"/>
      <c r="C41" s="183"/>
      <c r="D41" s="183"/>
      <c r="E41" s="183"/>
      <c r="F41" s="183"/>
      <c r="G41" s="183"/>
      <c r="H41" s="183"/>
      <c r="I41" s="183"/>
    </row>
    <row r="42" spans="2:9" s="81" customFormat="1" ht="14.25">
      <c r="B42" s="183" t="s">
        <v>57</v>
      </c>
      <c r="C42" s="183"/>
      <c r="D42" s="183"/>
      <c r="E42" s="183"/>
      <c r="F42" s="183"/>
      <c r="G42" s="183"/>
      <c r="H42" s="183"/>
      <c r="I42" s="183"/>
    </row>
    <row r="43" spans="2:9" s="81" customFormat="1" ht="14.25">
      <c r="B43" s="183"/>
      <c r="C43" s="183"/>
      <c r="D43" s="183"/>
      <c r="E43" s="183"/>
      <c r="F43" s="183"/>
      <c r="G43" s="183"/>
      <c r="H43" s="183"/>
      <c r="I43" s="183"/>
    </row>
    <row r="44" spans="2:9" s="81" customFormat="1" ht="14.25">
      <c r="B44" s="187"/>
      <c r="C44" s="187"/>
      <c r="D44" s="187"/>
      <c r="E44" s="187"/>
      <c r="F44" s="187"/>
      <c r="G44" s="187"/>
      <c r="H44" s="187"/>
      <c r="I44" s="187"/>
    </row>
    <row r="45" spans="2:9" s="81" customFormat="1" ht="14.25">
      <c r="B45" s="187"/>
      <c r="C45" s="187"/>
      <c r="D45" s="187"/>
      <c r="E45" s="187"/>
      <c r="F45" s="187"/>
      <c r="G45" s="187"/>
      <c r="H45" s="187"/>
      <c r="I45" s="187"/>
    </row>
    <row r="46" spans="2:9" s="81" customFormat="1" ht="14.25">
      <c r="B46" s="187"/>
      <c r="C46" s="187"/>
      <c r="D46" s="187"/>
      <c r="E46" s="187"/>
      <c r="F46" s="187"/>
      <c r="G46" s="187"/>
      <c r="H46" s="187"/>
      <c r="I46" s="187"/>
    </row>
    <row r="47" spans="2:9" s="81" customFormat="1" ht="14.25">
      <c r="B47" s="187"/>
      <c r="C47" s="187"/>
      <c r="D47" s="187"/>
      <c r="E47" s="187"/>
      <c r="F47" s="187"/>
      <c r="G47" s="187"/>
      <c r="H47" s="187"/>
      <c r="I47" s="187"/>
    </row>
    <row r="48" spans="2:9" s="81" customFormat="1" ht="14.25">
      <c r="B48" s="187"/>
      <c r="C48" s="187"/>
      <c r="D48" s="187"/>
      <c r="E48" s="187"/>
      <c r="F48" s="187"/>
      <c r="G48" s="187"/>
      <c r="H48" s="187"/>
      <c r="I48" s="187"/>
    </row>
    <row r="49" spans="2:9" s="81" customFormat="1" ht="14.25">
      <c r="B49" s="187"/>
      <c r="C49" s="187"/>
      <c r="D49" s="187"/>
      <c r="E49" s="187"/>
      <c r="F49" s="187"/>
      <c r="G49" s="187"/>
      <c r="H49" s="187"/>
      <c r="I49" s="187"/>
    </row>
    <row r="50" spans="2:9" s="81" customFormat="1" ht="14.25">
      <c r="B50" s="187"/>
      <c r="C50" s="187"/>
      <c r="D50" s="187"/>
      <c r="E50" s="187"/>
      <c r="F50" s="187"/>
      <c r="G50" s="187"/>
      <c r="H50" s="187"/>
      <c r="I50" s="187"/>
    </row>
    <row r="51" spans="2:9" s="81" customFormat="1" ht="14.25">
      <c r="B51" s="187"/>
      <c r="C51" s="187"/>
      <c r="D51" s="187"/>
      <c r="E51" s="187"/>
      <c r="F51" s="187"/>
      <c r="G51" s="187"/>
      <c r="H51" s="187"/>
      <c r="I51" s="187"/>
    </row>
    <row r="52" spans="2:9" s="81" customFormat="1" ht="14.25">
      <c r="B52" s="187"/>
      <c r="C52" s="187"/>
      <c r="D52" s="187"/>
      <c r="E52" s="187"/>
      <c r="F52" s="187"/>
      <c r="G52" s="187"/>
      <c r="H52" s="187"/>
      <c r="I52" s="187"/>
    </row>
    <row r="53" spans="2:9" s="81" customFormat="1" ht="14.25">
      <c r="B53" s="187"/>
      <c r="C53" s="187"/>
      <c r="D53" s="187"/>
      <c r="E53" s="187"/>
      <c r="F53" s="187"/>
      <c r="G53" s="187"/>
      <c r="H53" s="187"/>
      <c r="I53" s="187"/>
    </row>
    <row r="54" spans="2:9" s="81" customFormat="1" ht="14.25">
      <c r="B54" s="187"/>
      <c r="C54" s="187"/>
      <c r="D54" s="187"/>
      <c r="E54" s="187"/>
      <c r="F54" s="187"/>
      <c r="G54" s="187"/>
      <c r="H54" s="187"/>
      <c r="I54" s="187"/>
    </row>
    <row r="55" spans="2:9" s="81" customFormat="1" ht="14.25">
      <c r="B55" s="187"/>
      <c r="C55" s="187"/>
      <c r="D55" s="187"/>
      <c r="E55" s="187"/>
      <c r="F55" s="187"/>
      <c r="G55" s="187"/>
      <c r="H55" s="187"/>
      <c r="I55" s="187"/>
    </row>
    <row r="56" spans="2:9" s="81" customFormat="1" ht="14.25">
      <c r="B56" s="187"/>
      <c r="C56" s="187"/>
      <c r="D56" s="187"/>
      <c r="E56" s="187"/>
      <c r="F56" s="187"/>
      <c r="G56" s="187"/>
      <c r="H56" s="187"/>
      <c r="I56" s="187"/>
    </row>
    <row r="57" spans="2:9" s="81" customFormat="1" ht="14.25">
      <c r="B57" s="187"/>
      <c r="C57" s="187"/>
      <c r="D57" s="187"/>
      <c r="E57" s="187"/>
      <c r="F57" s="187"/>
      <c r="G57" s="187"/>
      <c r="H57" s="187"/>
      <c r="I57" s="187"/>
    </row>
    <row r="58" spans="2:9" s="81" customFormat="1" ht="14.25">
      <c r="B58" s="78"/>
      <c r="C58" s="78"/>
      <c r="D58" s="78"/>
      <c r="E58" s="78"/>
      <c r="F58" s="78"/>
      <c r="G58" s="78"/>
      <c r="H58" s="78"/>
      <c r="I58" s="78"/>
    </row>
    <row r="59" spans="2:9" s="81" customFormat="1" ht="14.25">
      <c r="B59" s="78"/>
      <c r="C59" s="78"/>
      <c r="D59" s="78"/>
      <c r="E59" s="78"/>
      <c r="F59" s="78"/>
      <c r="G59" s="78"/>
      <c r="H59" s="78"/>
      <c r="I59" s="78"/>
    </row>
    <row r="60" spans="2:9" s="81" customFormat="1" ht="14.25">
      <c r="B60" s="78"/>
      <c r="C60" s="78"/>
      <c r="D60" s="78"/>
      <c r="E60" s="78"/>
      <c r="F60" s="78"/>
      <c r="G60" s="78"/>
      <c r="H60" s="78"/>
      <c r="I60" s="78"/>
    </row>
    <row r="61" spans="2:9" s="81" customFormat="1" ht="14.25">
      <c r="B61" s="78"/>
      <c r="C61" s="78"/>
      <c r="D61" s="78"/>
      <c r="E61" s="78"/>
      <c r="F61" s="78"/>
      <c r="G61" s="78"/>
      <c r="H61" s="78"/>
      <c r="I61" s="78"/>
    </row>
    <row r="62" spans="2:9" s="81" customFormat="1" ht="14.25">
      <c r="B62" s="78"/>
      <c r="C62" s="78"/>
      <c r="D62" s="78"/>
      <c r="E62" s="78"/>
      <c r="F62" s="78"/>
      <c r="G62" s="78"/>
      <c r="H62" s="78"/>
      <c r="I62" s="78"/>
    </row>
    <row r="63" spans="2:9" s="81" customFormat="1" ht="14.25">
      <c r="B63" s="78"/>
      <c r="C63" s="78"/>
      <c r="D63" s="78"/>
      <c r="E63" s="78"/>
      <c r="F63" s="78"/>
      <c r="G63" s="78"/>
      <c r="H63" s="78"/>
      <c r="I63" s="78"/>
    </row>
    <row r="64" spans="2:9" s="81" customFormat="1" ht="14.25">
      <c r="B64" s="78"/>
      <c r="C64" s="78"/>
      <c r="D64" s="78"/>
      <c r="E64" s="78"/>
      <c r="F64" s="78"/>
      <c r="G64" s="78"/>
      <c r="H64" s="78"/>
      <c r="I64" s="78"/>
    </row>
    <row r="65" spans="2:9" s="81" customFormat="1" ht="14.25">
      <c r="B65" s="78"/>
      <c r="C65" s="78"/>
      <c r="D65" s="78"/>
      <c r="E65" s="78"/>
      <c r="F65" s="78"/>
      <c r="G65" s="78"/>
      <c r="H65" s="78"/>
      <c r="I65" s="78"/>
    </row>
    <row r="66" spans="2:9" s="81" customFormat="1" ht="14.25">
      <c r="B66" s="78"/>
      <c r="C66" s="78"/>
      <c r="D66" s="78"/>
      <c r="E66" s="78"/>
      <c r="F66" s="78"/>
      <c r="G66" s="78"/>
      <c r="H66" s="78"/>
      <c r="I66" s="78"/>
    </row>
    <row r="67" spans="2:9" s="81" customFormat="1" ht="14.25">
      <c r="B67" s="78"/>
      <c r="C67" s="78"/>
      <c r="D67" s="78"/>
      <c r="E67" s="78"/>
      <c r="F67" s="78"/>
      <c r="G67" s="78"/>
      <c r="H67" s="78"/>
      <c r="I67" s="78"/>
    </row>
    <row r="68" spans="2:9" s="81" customFormat="1" ht="14.25">
      <c r="B68" s="78"/>
      <c r="C68" s="78"/>
      <c r="D68" s="78"/>
      <c r="E68" s="78"/>
      <c r="F68" s="78"/>
      <c r="G68" s="78"/>
      <c r="H68" s="78"/>
      <c r="I68" s="78"/>
    </row>
    <row r="69" spans="2:9" s="81" customFormat="1" ht="14.25">
      <c r="B69" s="78"/>
      <c r="C69" s="78"/>
      <c r="D69" s="78"/>
      <c r="E69" s="78"/>
      <c r="F69" s="78"/>
      <c r="G69" s="78"/>
      <c r="H69" s="78"/>
      <c r="I69" s="78"/>
    </row>
    <row r="70" spans="2:9" s="81" customFormat="1" ht="14.25">
      <c r="B70" s="78"/>
      <c r="C70" s="78"/>
      <c r="D70" s="78"/>
      <c r="E70" s="78"/>
      <c r="F70" s="78"/>
      <c r="G70" s="78"/>
      <c r="H70" s="78"/>
      <c r="I70" s="78"/>
    </row>
    <row r="71" spans="2:9" s="81" customFormat="1" ht="14.25">
      <c r="B71" s="78"/>
      <c r="C71" s="78"/>
      <c r="D71" s="78"/>
      <c r="E71" s="78"/>
      <c r="F71" s="78"/>
      <c r="G71" s="78"/>
      <c r="H71" s="78"/>
      <c r="I71" s="78"/>
    </row>
    <row r="72" spans="2:9" s="81" customFormat="1" ht="14.25">
      <c r="B72" s="78"/>
      <c r="C72" s="78"/>
      <c r="D72" s="78"/>
      <c r="E72" s="78"/>
      <c r="F72" s="78"/>
      <c r="G72" s="78"/>
      <c r="H72" s="78"/>
      <c r="I72" s="78"/>
    </row>
    <row r="73" spans="2:9" s="81" customFormat="1" ht="14.25">
      <c r="B73" s="78"/>
      <c r="C73" s="78"/>
      <c r="D73" s="78"/>
      <c r="E73" s="78"/>
      <c r="F73" s="78"/>
      <c r="G73" s="78"/>
      <c r="H73" s="78"/>
      <c r="I73" s="78"/>
    </row>
    <row r="74" spans="2:9" s="81" customFormat="1" ht="14.25">
      <c r="B74" s="78"/>
      <c r="C74" s="78"/>
      <c r="D74" s="78"/>
      <c r="E74" s="78"/>
      <c r="F74" s="78"/>
      <c r="G74" s="78"/>
      <c r="H74" s="78"/>
      <c r="I74" s="78"/>
    </row>
    <row r="75" spans="2:9" s="81" customFormat="1" ht="14.25">
      <c r="B75" s="78"/>
      <c r="C75" s="78"/>
      <c r="D75" s="78"/>
      <c r="E75" s="78"/>
      <c r="F75" s="78"/>
      <c r="G75" s="78"/>
      <c r="H75" s="78"/>
      <c r="I75" s="78"/>
    </row>
    <row r="76" spans="2:9" s="81" customFormat="1" ht="14.25">
      <c r="B76" s="78"/>
      <c r="C76" s="78"/>
      <c r="D76" s="78"/>
      <c r="E76" s="78"/>
      <c r="F76" s="78"/>
      <c r="G76" s="78"/>
      <c r="H76" s="78"/>
      <c r="I76" s="78"/>
    </row>
    <row r="77" spans="2:9" s="81" customFormat="1" ht="14.25">
      <c r="B77" s="78"/>
      <c r="C77" s="78"/>
      <c r="D77" s="78"/>
      <c r="E77" s="78"/>
      <c r="F77" s="78"/>
      <c r="G77" s="78"/>
      <c r="H77" s="78"/>
      <c r="I77" s="78"/>
    </row>
    <row r="78" spans="2:9" s="81" customFormat="1" ht="14.25">
      <c r="B78" s="78"/>
      <c r="C78" s="78"/>
      <c r="D78" s="78"/>
      <c r="E78" s="78"/>
      <c r="F78" s="78"/>
      <c r="G78" s="78"/>
      <c r="H78" s="78"/>
      <c r="I78" s="78"/>
    </row>
    <row r="79" spans="2:9" s="81" customFormat="1" ht="14.25">
      <c r="B79" s="78"/>
      <c r="C79" s="78"/>
      <c r="D79" s="78"/>
      <c r="E79" s="78"/>
      <c r="F79" s="78"/>
      <c r="G79" s="78"/>
      <c r="H79" s="78"/>
      <c r="I79" s="78"/>
    </row>
    <row r="80" spans="2:9" s="81" customFormat="1" ht="14.25">
      <c r="B80" s="78"/>
      <c r="C80" s="78"/>
      <c r="D80" s="78"/>
      <c r="E80" s="78"/>
      <c r="F80" s="78"/>
      <c r="G80" s="78"/>
      <c r="H80" s="78"/>
      <c r="I80" s="78"/>
    </row>
    <row r="81" spans="2:9" s="81" customFormat="1" ht="14.25">
      <c r="B81" s="78"/>
      <c r="C81" s="78"/>
      <c r="D81" s="78"/>
      <c r="E81" s="78"/>
      <c r="F81" s="78"/>
      <c r="G81" s="78"/>
      <c r="H81" s="78"/>
      <c r="I81" s="78"/>
    </row>
    <row r="82" spans="2:9" s="81" customFormat="1" ht="14.25">
      <c r="B82" s="78"/>
      <c r="C82" s="78"/>
      <c r="D82" s="78"/>
      <c r="E82" s="78"/>
      <c r="F82" s="78"/>
      <c r="G82" s="78"/>
      <c r="H82" s="78"/>
      <c r="I82" s="78"/>
    </row>
    <row r="83" spans="2:9" s="81" customFormat="1" ht="14.25">
      <c r="B83" s="78"/>
      <c r="C83" s="78"/>
      <c r="D83" s="78"/>
      <c r="E83" s="78"/>
      <c r="F83" s="78"/>
      <c r="G83" s="78"/>
      <c r="H83" s="78"/>
      <c r="I83" s="78"/>
    </row>
    <row r="84" spans="2:9" s="81" customFormat="1" ht="14.25">
      <c r="B84" s="78"/>
      <c r="C84" s="78"/>
      <c r="D84" s="78"/>
      <c r="E84" s="78"/>
      <c r="F84" s="78"/>
      <c r="G84" s="78"/>
      <c r="H84" s="78"/>
      <c r="I84" s="78"/>
    </row>
    <row r="85" spans="2:9" s="81" customFormat="1" ht="14.25">
      <c r="B85" s="78"/>
      <c r="C85" s="78"/>
      <c r="D85" s="78"/>
      <c r="E85" s="78"/>
      <c r="F85" s="78"/>
      <c r="G85" s="78"/>
      <c r="H85" s="78"/>
      <c r="I85" s="78"/>
    </row>
    <row r="86" spans="2:9" s="81" customFormat="1" ht="14.25">
      <c r="B86" s="78"/>
      <c r="C86" s="78"/>
      <c r="D86" s="78"/>
      <c r="E86" s="78"/>
      <c r="F86" s="78"/>
      <c r="G86" s="78"/>
      <c r="H86" s="78"/>
      <c r="I86" s="78"/>
    </row>
    <row r="87" spans="2:9" s="81" customFormat="1" ht="14.25">
      <c r="B87" s="78"/>
      <c r="C87" s="78"/>
      <c r="D87" s="78"/>
      <c r="E87" s="78"/>
      <c r="F87" s="78"/>
      <c r="G87" s="78"/>
      <c r="H87" s="78"/>
      <c r="I87" s="78"/>
    </row>
    <row r="88" spans="2:9" s="81" customFormat="1" ht="14.25">
      <c r="B88" s="78"/>
      <c r="C88" s="78"/>
      <c r="D88" s="78"/>
      <c r="E88" s="78"/>
      <c r="F88" s="78"/>
      <c r="G88" s="78"/>
      <c r="H88" s="78"/>
      <c r="I88" s="78"/>
    </row>
    <row r="89" spans="2:9" s="81" customFormat="1" ht="14.25">
      <c r="B89" s="78"/>
      <c r="C89" s="78"/>
      <c r="D89" s="78"/>
      <c r="E89" s="78"/>
      <c r="F89" s="78"/>
      <c r="G89" s="78"/>
      <c r="H89" s="78"/>
      <c r="I89" s="78"/>
    </row>
    <row r="90" spans="2:9" s="81" customFormat="1" ht="14.25">
      <c r="B90" s="78"/>
      <c r="C90" s="78"/>
      <c r="D90" s="78"/>
      <c r="E90" s="78"/>
      <c r="F90" s="78"/>
      <c r="G90" s="78"/>
      <c r="H90" s="78"/>
      <c r="I90" s="78"/>
    </row>
    <row r="91" spans="2:9" s="81" customFormat="1" ht="14.25">
      <c r="B91" s="78"/>
      <c r="C91" s="78"/>
      <c r="D91" s="78"/>
      <c r="E91" s="78"/>
      <c r="F91" s="78"/>
      <c r="G91" s="78"/>
      <c r="H91" s="78"/>
      <c r="I91" s="78"/>
    </row>
    <row r="92" spans="2:9" s="81" customFormat="1" ht="14.25">
      <c r="B92" s="78"/>
      <c r="C92" s="78"/>
      <c r="D92" s="78"/>
      <c r="E92" s="78"/>
      <c r="F92" s="78"/>
      <c r="G92" s="78"/>
      <c r="H92" s="78"/>
      <c r="I92" s="78"/>
    </row>
    <row r="93" spans="2:9" s="81" customFormat="1" ht="14.25">
      <c r="B93" s="78"/>
      <c r="C93" s="78"/>
      <c r="D93" s="78"/>
      <c r="E93" s="78"/>
      <c r="F93" s="78"/>
      <c r="G93" s="78"/>
      <c r="H93" s="78"/>
      <c r="I93" s="78"/>
    </row>
    <row r="94" spans="2:9" s="81" customFormat="1" ht="14.25">
      <c r="B94" s="78"/>
      <c r="C94" s="78"/>
      <c r="D94" s="78"/>
      <c r="E94" s="78"/>
      <c r="F94" s="78"/>
      <c r="G94" s="78"/>
      <c r="H94" s="78"/>
      <c r="I94" s="78"/>
    </row>
    <row r="95" spans="2:9" s="81" customFormat="1" ht="14.25">
      <c r="B95" s="78"/>
      <c r="C95" s="78"/>
      <c r="D95" s="78"/>
      <c r="E95" s="78"/>
      <c r="F95" s="78"/>
      <c r="G95" s="78"/>
      <c r="H95" s="78"/>
      <c r="I95" s="78"/>
    </row>
    <row r="96" spans="2:9" s="81" customFormat="1" ht="14.25">
      <c r="B96" s="78"/>
      <c r="C96" s="78"/>
      <c r="D96" s="78"/>
      <c r="E96" s="78"/>
      <c r="F96" s="78"/>
      <c r="G96" s="78"/>
      <c r="H96" s="78"/>
      <c r="I96" s="78"/>
    </row>
    <row r="97" spans="2:9" s="81" customFormat="1" ht="14.25">
      <c r="B97" s="78"/>
      <c r="C97" s="78"/>
      <c r="D97" s="78"/>
      <c r="E97" s="78"/>
      <c r="F97" s="78"/>
      <c r="G97" s="78"/>
      <c r="H97" s="78"/>
      <c r="I97" s="78"/>
    </row>
    <row r="98" spans="2:9" s="81" customFormat="1" ht="14.25">
      <c r="B98" s="78"/>
      <c r="C98" s="78"/>
      <c r="D98" s="78"/>
      <c r="E98" s="78"/>
      <c r="F98" s="78"/>
      <c r="G98" s="78"/>
      <c r="H98" s="78"/>
      <c r="I98" s="78"/>
    </row>
    <row r="99" spans="2:9" s="81" customFormat="1" ht="14.25">
      <c r="B99" s="78"/>
      <c r="C99" s="78"/>
      <c r="D99" s="78"/>
      <c r="E99" s="78"/>
      <c r="F99" s="78"/>
      <c r="G99" s="78"/>
      <c r="H99" s="78"/>
      <c r="I99" s="78"/>
    </row>
    <row r="100" spans="2:9" s="81" customFormat="1" ht="14.25">
      <c r="B100" s="78"/>
      <c r="C100" s="78"/>
      <c r="D100" s="78"/>
      <c r="E100" s="78"/>
      <c r="F100" s="78"/>
      <c r="G100" s="78"/>
      <c r="H100" s="78"/>
      <c r="I100" s="78"/>
    </row>
    <row r="101" spans="2:9" s="81" customFormat="1" ht="14.25">
      <c r="B101" s="78"/>
      <c r="C101" s="78"/>
      <c r="D101" s="78"/>
      <c r="E101" s="78"/>
      <c r="F101" s="78"/>
      <c r="G101" s="78"/>
      <c r="H101" s="78"/>
      <c r="I101" s="78"/>
    </row>
    <row r="102" spans="2:9" s="81" customFormat="1" ht="14.25">
      <c r="B102" s="78"/>
      <c r="C102" s="78"/>
      <c r="D102" s="78"/>
      <c r="E102" s="78"/>
      <c r="F102" s="78"/>
      <c r="G102" s="78"/>
      <c r="H102" s="78"/>
      <c r="I102" s="78"/>
    </row>
    <row r="103" spans="2:9" s="81" customFormat="1" ht="14.25">
      <c r="B103" s="78"/>
      <c r="C103" s="78"/>
      <c r="D103" s="78"/>
      <c r="E103" s="78"/>
      <c r="F103" s="78"/>
      <c r="G103" s="78"/>
      <c r="H103" s="78"/>
      <c r="I103" s="78"/>
    </row>
    <row r="104" spans="2:9" ht="14.25">
      <c r="B104" s="61"/>
      <c r="C104" s="61"/>
      <c r="D104" s="61"/>
      <c r="E104" s="61"/>
      <c r="F104" s="61"/>
      <c r="G104" s="61"/>
      <c r="H104" s="61"/>
      <c r="I104" s="61"/>
    </row>
    <row r="105" spans="2:9" ht="14.25">
      <c r="B105" s="61"/>
      <c r="C105" s="61"/>
      <c r="D105" s="61"/>
      <c r="E105" s="61"/>
      <c r="F105" s="61"/>
      <c r="G105" s="61"/>
      <c r="H105" s="61"/>
      <c r="I105" s="61"/>
    </row>
    <row r="106" spans="2:9" ht="14.25">
      <c r="B106" s="61"/>
      <c r="C106" s="61"/>
      <c r="D106" s="61"/>
      <c r="E106" s="61"/>
      <c r="F106" s="61"/>
      <c r="G106" s="61"/>
      <c r="H106" s="61"/>
      <c r="I106" s="61"/>
    </row>
    <row r="107" spans="2:9" ht="14.25">
      <c r="B107" s="61"/>
      <c r="C107" s="61"/>
      <c r="D107" s="61"/>
      <c r="E107" s="61"/>
      <c r="F107" s="61"/>
      <c r="G107" s="61"/>
      <c r="H107" s="61"/>
      <c r="I107" s="61"/>
    </row>
    <row r="108" spans="2:9" ht="14.25">
      <c r="B108" s="61"/>
      <c r="C108" s="61"/>
      <c r="D108" s="61"/>
      <c r="E108" s="61"/>
      <c r="F108" s="61"/>
      <c r="G108" s="61"/>
      <c r="H108" s="61"/>
      <c r="I108" s="61"/>
    </row>
    <row r="109" spans="2:9" ht="14.25">
      <c r="B109" s="61"/>
      <c r="C109" s="61"/>
      <c r="D109" s="61"/>
      <c r="E109" s="61"/>
      <c r="F109" s="61"/>
      <c r="G109" s="61"/>
      <c r="H109" s="61"/>
      <c r="I109" s="61"/>
    </row>
    <row r="110" spans="2:9" ht="14.25">
      <c r="B110" s="61"/>
      <c r="C110" s="61"/>
      <c r="D110" s="61"/>
      <c r="E110" s="61"/>
      <c r="F110" s="61"/>
      <c r="G110" s="61"/>
      <c r="H110" s="61"/>
      <c r="I110" s="61"/>
    </row>
    <row r="111" spans="2:9" ht="14.25">
      <c r="B111" s="61"/>
      <c r="C111" s="61"/>
      <c r="D111" s="61"/>
      <c r="E111" s="61"/>
      <c r="F111" s="61"/>
      <c r="G111" s="61"/>
      <c r="H111" s="61"/>
      <c r="I111" s="61"/>
    </row>
    <row r="112" spans="2:9" ht="14.25">
      <c r="B112" s="61"/>
      <c r="C112" s="61"/>
      <c r="D112" s="61"/>
      <c r="E112" s="61"/>
      <c r="F112" s="61"/>
      <c r="G112" s="61"/>
      <c r="H112" s="61"/>
      <c r="I112" s="61"/>
    </row>
    <row r="113" spans="2:9" ht="14.25">
      <c r="B113" s="61"/>
      <c r="C113" s="61"/>
      <c r="D113" s="61"/>
      <c r="E113" s="61"/>
      <c r="F113" s="61"/>
      <c r="G113" s="61"/>
      <c r="H113" s="61"/>
      <c r="I113" s="61"/>
    </row>
    <row r="114" spans="2:9" ht="14.25">
      <c r="B114" s="61"/>
      <c r="C114" s="61"/>
      <c r="D114" s="61"/>
      <c r="E114" s="61"/>
      <c r="F114" s="61"/>
      <c r="G114" s="61"/>
      <c r="H114" s="61"/>
      <c r="I114" s="61"/>
    </row>
    <row r="115" spans="2:9" ht="14.25">
      <c r="B115" s="61"/>
      <c r="C115" s="61"/>
      <c r="D115" s="61"/>
      <c r="E115" s="61"/>
      <c r="F115" s="61"/>
      <c r="G115" s="61"/>
      <c r="H115" s="61"/>
      <c r="I115" s="61"/>
    </row>
    <row r="116" spans="2:9" ht="14.25">
      <c r="B116" s="61"/>
      <c r="C116" s="61"/>
      <c r="D116" s="61"/>
      <c r="E116" s="61"/>
      <c r="F116" s="61"/>
      <c r="G116" s="61"/>
      <c r="H116" s="61"/>
      <c r="I116" s="61"/>
    </row>
    <row r="117" spans="2:9" ht="14.25">
      <c r="B117" s="61"/>
      <c r="C117" s="61"/>
      <c r="D117" s="61"/>
      <c r="E117" s="61"/>
      <c r="F117" s="61"/>
      <c r="G117" s="61"/>
      <c r="H117" s="61"/>
      <c r="I117" s="61"/>
    </row>
    <row r="118" spans="2:9" ht="14.25">
      <c r="B118" s="61"/>
      <c r="C118" s="61"/>
      <c r="D118" s="61"/>
      <c r="E118" s="61"/>
      <c r="F118" s="61"/>
      <c r="G118" s="61"/>
      <c r="H118" s="61"/>
      <c r="I118" s="61"/>
    </row>
    <row r="119" spans="2:9" ht="14.25">
      <c r="B119" s="61"/>
      <c r="C119" s="61"/>
      <c r="D119" s="61"/>
      <c r="E119" s="61"/>
      <c r="F119" s="61"/>
      <c r="G119" s="61"/>
      <c r="H119" s="61"/>
      <c r="I119" s="61"/>
    </row>
    <row r="120" spans="2:9" ht="14.25">
      <c r="B120" s="61"/>
      <c r="C120" s="61"/>
      <c r="D120" s="61"/>
      <c r="E120" s="61"/>
      <c r="F120" s="61"/>
      <c r="G120" s="61"/>
      <c r="H120" s="61"/>
      <c r="I120" s="61"/>
    </row>
    <row r="121" spans="2:9" ht="14.25">
      <c r="B121" s="61"/>
      <c r="C121" s="61"/>
      <c r="D121" s="61"/>
      <c r="E121" s="61"/>
      <c r="F121" s="61"/>
      <c r="G121" s="61"/>
      <c r="H121" s="61"/>
      <c r="I121" s="61"/>
    </row>
    <row r="122" spans="2:9" ht="14.25">
      <c r="B122" s="187"/>
      <c r="C122" s="187"/>
      <c r="D122" s="187"/>
      <c r="E122" s="187"/>
      <c r="F122" s="187"/>
      <c r="G122" s="187"/>
      <c r="H122" s="187"/>
      <c r="I122" s="187"/>
    </row>
  </sheetData>
  <sheetProtection formatCells="0" formatColumns="0" formatRows="0" insertColumns="0" insertRows="0" insertHyperlinks="0" deleteColumns="0" deleteRows="0" sort="0" autoFilter="0" pivotTables="0"/>
  <mergeCells count="59">
    <mergeCell ref="B9:I9"/>
    <mergeCell ref="B6:I6"/>
    <mergeCell ref="B7:I7"/>
    <mergeCell ref="B8:I8"/>
    <mergeCell ref="B24:E24"/>
    <mergeCell ref="B20:E20"/>
    <mergeCell ref="B13:I13"/>
    <mergeCell ref="B12:I12"/>
    <mergeCell ref="B19:E19"/>
    <mergeCell ref="B14:I14"/>
    <mergeCell ref="B16:E16"/>
    <mergeCell ref="B56:I56"/>
    <mergeCell ref="B46:I46"/>
    <mergeCell ref="B47:I47"/>
    <mergeCell ref="B57:I57"/>
    <mergeCell ref="B50:I50"/>
    <mergeCell ref="B26:E26"/>
    <mergeCell ref="B27:E27"/>
    <mergeCell ref="B32:E32"/>
    <mergeCell ref="B42:I42"/>
    <mergeCell ref="B1:I1"/>
    <mergeCell ref="B2:I2"/>
    <mergeCell ref="B3:I3"/>
    <mergeCell ref="B4:I4"/>
    <mergeCell ref="B5:I5"/>
    <mergeCell ref="B48:I48"/>
    <mergeCell ref="B17:I17"/>
    <mergeCell ref="B28:E28"/>
    <mergeCell ref="B33:E33"/>
    <mergeCell ref="B21:E21"/>
    <mergeCell ref="B29:E29"/>
    <mergeCell ref="B22:E22"/>
    <mergeCell ref="B122:I122"/>
    <mergeCell ref="B44:I44"/>
    <mergeCell ref="B53:I53"/>
    <mergeCell ref="B54:I54"/>
    <mergeCell ref="B55:I55"/>
    <mergeCell ref="B43:I43"/>
    <mergeCell ref="B51:I51"/>
    <mergeCell ref="B40:I40"/>
    <mergeCell ref="B10:I10"/>
    <mergeCell ref="B11:I11"/>
    <mergeCell ref="B15:I15"/>
    <mergeCell ref="B30:E30"/>
    <mergeCell ref="B31:E31"/>
    <mergeCell ref="F18:G18"/>
    <mergeCell ref="H18:I18"/>
    <mergeCell ref="B23:E23"/>
    <mergeCell ref="B18:E18"/>
    <mergeCell ref="B25:E25"/>
    <mergeCell ref="B41:I41"/>
    <mergeCell ref="B37:E37"/>
    <mergeCell ref="B52:I52"/>
    <mergeCell ref="B34:E34"/>
    <mergeCell ref="B35:E35"/>
    <mergeCell ref="B36:E36"/>
    <mergeCell ref="B45:I45"/>
    <mergeCell ref="B49:I49"/>
    <mergeCell ref="B39:H39"/>
  </mergeCells>
  <printOptions/>
  <pageMargins left="0.7086614173228347" right="0.7086614173228347" top="0.7480314960629921" bottom="0.7480314960629921" header="0.31496062992125984" footer="0.31496062992125984"/>
  <pageSetup fitToHeight="3" fitToWidth="1" horizontalDpi="600" verticalDpi="600" orientation="portrait" paperSize="9" scale="64" r:id="rId1"/>
  <rowBreaks count="1" manualBreakCount="1">
    <brk id="38" min="1" max="8" man="1"/>
  </rowBreaks>
  <ignoredErrors>
    <ignoredError sqref="F20" evalError="1"/>
  </ignoredErrors>
</worksheet>
</file>

<file path=xl/worksheets/sheet7.xml><?xml version="1.0" encoding="utf-8"?>
<worksheet xmlns="http://schemas.openxmlformats.org/spreadsheetml/2006/main" xmlns:r="http://schemas.openxmlformats.org/officeDocument/2006/relationships">
  <sheetPr codeName="Sheet8">
    <pageSetUpPr fitToPage="1"/>
  </sheetPr>
  <dimension ref="B1:G21"/>
  <sheetViews>
    <sheetView showGridLines="0" zoomScale="90" zoomScaleNormal="90" zoomScalePageLayoutView="0" workbookViewId="0" topLeftCell="A1">
      <selection activeCell="E18" sqref="E18:G18"/>
    </sheetView>
  </sheetViews>
  <sheetFormatPr defaultColWidth="9.140625" defaultRowHeight="15"/>
  <cols>
    <col min="1" max="1" width="9.140625" style="2" customWidth="1"/>
    <col min="2" max="3" width="49.7109375" style="2" customWidth="1"/>
    <col min="4" max="4" width="14.8515625" style="2" customWidth="1"/>
    <col min="5" max="5" width="23.140625" style="2" customWidth="1"/>
    <col min="6" max="6" width="52.57421875" style="2" customWidth="1"/>
    <col min="7" max="7" width="19.00390625" style="2" customWidth="1"/>
    <col min="8" max="16384" width="9.140625" style="2" customWidth="1"/>
  </cols>
  <sheetData>
    <row r="1" spans="2:7" s="1" customFormat="1" ht="23.25">
      <c r="B1" s="207" t="str">
        <f>"Action plan for "&amp;Introduction!B1</f>
        <v>Action plan for Dyspepsia and GORD: Helicobacter pylori testing and eradication clinical audit</v>
      </c>
      <c r="C1" s="208"/>
      <c r="D1" s="208"/>
      <c r="E1" s="208"/>
      <c r="F1" s="208"/>
      <c r="G1" s="208"/>
    </row>
    <row r="2" spans="2:6" ht="15.75" thickBot="1">
      <c r="B2" s="101"/>
      <c r="C2" s="101"/>
      <c r="D2" s="101"/>
      <c r="E2" s="101"/>
      <c r="F2" s="101"/>
    </row>
    <row r="3" spans="2:7" ht="15.75" thickBot="1">
      <c r="B3" s="14" t="s">
        <v>43</v>
      </c>
      <c r="C3" s="26" t="s">
        <v>64</v>
      </c>
      <c r="D3" s="209" t="s">
        <v>65</v>
      </c>
      <c r="E3" s="210"/>
      <c r="F3" s="209" t="s">
        <v>66</v>
      </c>
      <c r="G3" s="210"/>
    </row>
    <row r="4" spans="2:7" ht="15" customHeight="1">
      <c r="B4" s="205"/>
      <c r="C4" s="206"/>
      <c r="D4" s="206"/>
      <c r="E4" s="206"/>
      <c r="F4" s="206"/>
      <c r="G4" s="206"/>
    </row>
    <row r="5" spans="2:7" ht="15" customHeight="1">
      <c r="B5" s="205" t="s">
        <v>125</v>
      </c>
      <c r="C5" s="206"/>
      <c r="D5" s="206"/>
      <c r="E5" s="206"/>
      <c r="F5" s="206"/>
      <c r="G5" s="206"/>
    </row>
    <row r="6" ht="15" thickBot="1"/>
    <row r="7" spans="2:7" ht="74.25" customHeight="1" thickBot="1">
      <c r="B7" s="17" t="s">
        <v>1</v>
      </c>
      <c r="C7" s="14" t="s">
        <v>14</v>
      </c>
      <c r="D7" s="14" t="s">
        <v>130</v>
      </c>
      <c r="E7" s="15" t="s">
        <v>12</v>
      </c>
      <c r="F7" s="16" t="s">
        <v>121</v>
      </c>
      <c r="G7" s="16" t="s">
        <v>131</v>
      </c>
    </row>
    <row r="8" spans="2:7" ht="15" customHeight="1" thickBot="1">
      <c r="B8" s="82"/>
      <c r="C8" s="26"/>
      <c r="D8" s="28"/>
      <c r="E8" s="26"/>
      <c r="F8" s="26"/>
      <c r="G8" s="26"/>
    </row>
    <row r="9" spans="2:7" ht="15" customHeight="1" thickBot="1">
      <c r="B9" s="82"/>
      <c r="C9" s="26"/>
      <c r="D9" s="28"/>
      <c r="E9" s="26"/>
      <c r="F9" s="26"/>
      <c r="G9" s="26"/>
    </row>
    <row r="10" spans="2:7" ht="15" customHeight="1" thickBot="1">
      <c r="B10" s="82"/>
      <c r="C10" s="26"/>
      <c r="D10" s="27"/>
      <c r="E10" s="26"/>
      <c r="F10" s="26"/>
      <c r="G10" s="26"/>
    </row>
    <row r="11" spans="2:7" ht="15" thickBot="1">
      <c r="B11" s="82"/>
      <c r="C11" s="26"/>
      <c r="D11" s="27"/>
      <c r="E11" s="26"/>
      <c r="F11" s="26"/>
      <c r="G11" s="26"/>
    </row>
    <row r="12" spans="2:7" ht="15" thickBot="1">
      <c r="B12" s="82"/>
      <c r="C12" s="26"/>
      <c r="D12" s="27"/>
      <c r="E12" s="26"/>
      <c r="F12" s="26"/>
      <c r="G12" s="26"/>
    </row>
    <row r="13" spans="2:7" ht="15" thickBot="1">
      <c r="B13" s="82"/>
      <c r="C13" s="26"/>
      <c r="D13" s="27"/>
      <c r="E13" s="26"/>
      <c r="F13" s="26"/>
      <c r="G13" s="26"/>
    </row>
    <row r="14" spans="2:7" ht="15" thickBot="1">
      <c r="B14" s="82"/>
      <c r="C14" s="26"/>
      <c r="D14" s="27"/>
      <c r="E14" s="26"/>
      <c r="F14" s="26"/>
      <c r="G14" s="26"/>
    </row>
    <row r="15" spans="2:7" ht="15" thickBot="1">
      <c r="B15" s="82"/>
      <c r="C15" s="26"/>
      <c r="D15" s="27"/>
      <c r="E15" s="26"/>
      <c r="F15" s="26"/>
      <c r="G15" s="26"/>
    </row>
    <row r="16" spans="2:7" ht="15" thickBot="1">
      <c r="B16" s="82"/>
      <c r="C16" s="26"/>
      <c r="D16" s="27"/>
      <c r="E16" s="26"/>
      <c r="F16" s="26"/>
      <c r="G16" s="26"/>
    </row>
    <row r="18" spans="2:7" ht="14.25">
      <c r="B18" s="200" t="s">
        <v>132</v>
      </c>
      <c r="C18" s="200"/>
      <c r="D18" s="200"/>
      <c r="E18" s="212" t="str">
        <f>'Hidden sheet'!B3</f>
        <v>Dyspepsia and GORD</v>
      </c>
      <c r="F18" s="212"/>
      <c r="G18" s="212"/>
    </row>
    <row r="20" spans="2:7" ht="15">
      <c r="B20" s="167" t="s">
        <v>105</v>
      </c>
      <c r="C20" s="211"/>
      <c r="D20" s="211"/>
      <c r="E20" s="211"/>
      <c r="F20" s="211"/>
      <c r="G20" s="211"/>
    </row>
    <row r="21" spans="2:7" ht="15">
      <c r="B21" s="97"/>
      <c r="C21" s="97"/>
      <c r="D21" s="97"/>
      <c r="E21" s="97"/>
      <c r="F21" s="97"/>
      <c r="G21" s="97"/>
    </row>
  </sheetData>
  <sheetProtection/>
  <mergeCells count="8">
    <mergeCell ref="B5:G5"/>
    <mergeCell ref="B1:G1"/>
    <mergeCell ref="D3:E3"/>
    <mergeCell ref="F3:G3"/>
    <mergeCell ref="B20:G20"/>
    <mergeCell ref="B4:G4"/>
    <mergeCell ref="B18:D18"/>
    <mergeCell ref="E18:G18"/>
  </mergeCells>
  <dataValidations count="1">
    <dataValidation type="list" allowBlank="1" showInputMessage="1" showErrorMessage="1" sqref="G8:G16">
      <formula1>"Not yet actioned, Action in progress, Action completed, Never actioned"</formula1>
    </dataValidation>
  </dataValidations>
  <hyperlinks>
    <hyperlink ref="B20" r:id="rId1" display="NICE has adapted the action plan template produced by the Healthcare Quality Improvement Partnership (HQIP) in their template clinical audit report."/>
    <hyperlink ref="E18:G18" r:id="rId2" display="http://www.nice.org.uk/guidance/CG184"/>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3"/>
</worksheet>
</file>

<file path=xl/worksheets/sheet8.xml><?xml version="1.0" encoding="utf-8"?>
<worksheet xmlns="http://schemas.openxmlformats.org/spreadsheetml/2006/main" xmlns:r="http://schemas.openxmlformats.org/officeDocument/2006/relationships">
  <sheetPr codeName="Sheet5"/>
  <dimension ref="B1:BK89"/>
  <sheetViews>
    <sheetView showGridLines="0" zoomScale="90" zoomScaleNormal="90" zoomScalePageLayoutView="0" workbookViewId="0" topLeftCell="O2">
      <selection activeCell="Y7" sqref="Y7"/>
    </sheetView>
  </sheetViews>
  <sheetFormatPr defaultColWidth="9.140625" defaultRowHeight="15"/>
  <cols>
    <col min="1" max="1" width="9.140625" style="2" customWidth="1"/>
    <col min="2" max="2" width="13.421875" style="43" customWidth="1"/>
    <col min="3" max="3" width="9.140625" style="13" customWidth="1"/>
    <col min="4" max="4" width="15.00390625" style="2" customWidth="1"/>
    <col min="5" max="5" width="29.7109375" style="2" customWidth="1"/>
    <col min="6" max="6" width="25.7109375" style="2" customWidth="1"/>
    <col min="7" max="13" width="22.7109375" style="2" customWidth="1"/>
    <col min="14" max="14" width="25.57421875" style="2" customWidth="1"/>
    <col min="15" max="18" width="22.7109375" style="2" customWidth="1"/>
    <col min="19" max="19" width="17.00390625" style="2" customWidth="1"/>
    <col min="20" max="21" width="22.7109375" style="2" customWidth="1"/>
    <col min="22" max="24" width="21.8515625" style="2" customWidth="1"/>
    <col min="25" max="25" width="17.57421875" style="2" customWidth="1"/>
    <col min="26" max="26" width="18.57421875" style="2" customWidth="1"/>
    <col min="27" max="30" width="22.7109375" style="2" customWidth="1"/>
    <col min="31" max="31" width="17.00390625" style="2" customWidth="1"/>
    <col min="32" max="32" width="22.7109375" style="2" customWidth="1"/>
    <col min="33" max="33" width="24.00390625" style="2" customWidth="1"/>
    <col min="34" max="38" width="22.7109375" style="2" customWidth="1"/>
    <col min="39" max="39" width="17.00390625" style="2" customWidth="1"/>
    <col min="40" max="47" width="22.7109375" style="2" customWidth="1"/>
    <col min="48" max="48" width="17.00390625" style="2" customWidth="1"/>
    <col min="49" max="49" width="21.8515625" style="2" customWidth="1"/>
    <col min="50" max="50" width="22.7109375" style="2" customWidth="1"/>
    <col min="51" max="52" width="21.8515625" style="2" customWidth="1"/>
    <col min="53" max="53" width="17.57421875" style="2" customWidth="1"/>
    <col min="54" max="54" width="18.57421875" style="2" customWidth="1"/>
    <col min="55" max="55" width="25.00390625" style="2" customWidth="1"/>
    <col min="56" max="60" width="22.7109375" style="2" customWidth="1"/>
    <col min="61" max="61" width="9.140625" style="2" customWidth="1"/>
    <col min="62" max="62" width="31.00390625" style="2" bestFit="1" customWidth="1"/>
    <col min="63" max="16384" width="9.140625" style="2" customWidth="1"/>
  </cols>
  <sheetData>
    <row r="1" spans="2:54" s="1" customFormat="1" ht="30" customHeight="1">
      <c r="B1" s="112" t="str">
        <f>"Data collection for "&amp;Introduction!B1</f>
        <v>Data collection for Dyspepsia and GORD: Helicobacter pylori testing and eradication clinical audit</v>
      </c>
      <c r="C1" s="112"/>
      <c r="D1" s="112"/>
      <c r="E1" s="112"/>
      <c r="F1" s="112"/>
      <c r="G1" s="112"/>
      <c r="H1" s="112"/>
      <c r="I1" s="112"/>
      <c r="J1" s="112"/>
      <c r="K1" s="112"/>
      <c r="L1" s="112"/>
      <c r="M1" s="145"/>
      <c r="N1" s="145"/>
      <c r="O1" s="112"/>
      <c r="P1" s="112"/>
      <c r="Q1" s="112"/>
      <c r="R1" s="112"/>
      <c r="S1" s="112"/>
      <c r="T1" s="145"/>
      <c r="U1" s="145"/>
      <c r="V1" s="145"/>
      <c r="W1" s="145"/>
      <c r="X1" s="145"/>
      <c r="Y1" s="112"/>
      <c r="Z1" s="112"/>
      <c r="AA1" s="145"/>
      <c r="AB1" s="145"/>
      <c r="AC1" s="112"/>
      <c r="AD1" s="112"/>
      <c r="AE1" s="112"/>
      <c r="AF1" s="145"/>
      <c r="AG1" s="145"/>
      <c r="AH1" s="112"/>
      <c r="AI1" s="145"/>
      <c r="AJ1" s="145"/>
      <c r="AK1" s="112"/>
      <c r="AL1" s="112"/>
      <c r="AM1" s="112"/>
      <c r="AN1" s="145"/>
      <c r="AO1" s="145"/>
      <c r="AP1" s="112"/>
      <c r="AS1" s="112"/>
      <c r="AT1" s="112"/>
      <c r="AU1" s="112"/>
      <c r="AV1" s="112"/>
      <c r="AW1" s="145"/>
      <c r="AX1" s="145"/>
      <c r="AY1" s="145"/>
      <c r="AZ1" s="145"/>
      <c r="BA1" s="112"/>
      <c r="BB1" s="112"/>
    </row>
    <row r="2" spans="2:11" s="1" customFormat="1" ht="35.25" customHeight="1">
      <c r="B2" s="182" t="s">
        <v>191</v>
      </c>
      <c r="C2" s="182"/>
      <c r="D2" s="182"/>
      <c r="E2" s="182"/>
      <c r="F2" s="182"/>
      <c r="G2" s="182"/>
      <c r="H2" s="182"/>
      <c r="I2" s="182"/>
      <c r="J2" s="182"/>
      <c r="K2" s="182"/>
    </row>
    <row r="3" spans="2:54" s="1" customFormat="1" ht="15" customHeight="1" thickBot="1">
      <c r="B3" s="181"/>
      <c r="C3" s="181"/>
      <c r="D3" s="181"/>
      <c r="E3" s="181"/>
      <c r="F3" s="181"/>
      <c r="G3" s="181"/>
      <c r="H3" s="181"/>
      <c r="I3" s="181"/>
      <c r="J3" s="147"/>
      <c r="K3" s="147"/>
      <c r="L3" s="147"/>
      <c r="O3" s="147"/>
      <c r="P3" s="147"/>
      <c r="Q3" s="147"/>
      <c r="R3" s="147"/>
      <c r="S3" s="147"/>
      <c r="Y3" s="147"/>
      <c r="Z3" s="147"/>
      <c r="AC3" s="147"/>
      <c r="AD3" s="147"/>
      <c r="AE3" s="147"/>
      <c r="AH3" s="147"/>
      <c r="AK3" s="147"/>
      <c r="AL3" s="147"/>
      <c r="AM3" s="147"/>
      <c r="AP3" s="147"/>
      <c r="AS3" s="147"/>
      <c r="AT3" s="147"/>
      <c r="AU3" s="147"/>
      <c r="AV3" s="147"/>
      <c r="BA3" s="147"/>
      <c r="BB3" s="147"/>
    </row>
    <row r="4" spans="2:60" s="45" customFormat="1" ht="15.75" customHeight="1" thickBot="1">
      <c r="B4" s="58"/>
      <c r="C4" s="59"/>
      <c r="D4" s="58"/>
      <c r="E4" s="60"/>
      <c r="F4" s="175" t="s">
        <v>190</v>
      </c>
      <c r="G4" s="176"/>
      <c r="H4" s="177"/>
      <c r="I4" s="178" t="s">
        <v>150</v>
      </c>
      <c r="J4" s="179"/>
      <c r="K4" s="179"/>
      <c r="L4" s="179"/>
      <c r="M4" s="179"/>
      <c r="N4" s="179"/>
      <c r="O4" s="179"/>
      <c r="P4" s="179"/>
      <c r="Q4" s="179"/>
      <c r="R4" s="179"/>
      <c r="S4" s="179"/>
      <c r="T4" s="179"/>
      <c r="U4" s="179"/>
      <c r="V4" s="179"/>
      <c r="W4" s="179"/>
      <c r="X4" s="179"/>
      <c r="Y4" s="179"/>
      <c r="Z4" s="180"/>
      <c r="AA4" s="175" t="s">
        <v>151</v>
      </c>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7"/>
      <c r="BD4" s="123"/>
      <c r="BE4" s="123"/>
      <c r="BF4" s="123"/>
      <c r="BG4" s="123"/>
      <c r="BH4" s="123"/>
    </row>
    <row r="5" spans="2:60" s="45" customFormat="1" ht="13.5" thickBot="1">
      <c r="B5" s="58"/>
      <c r="C5" s="59"/>
      <c r="D5" s="58"/>
      <c r="E5" s="60"/>
      <c r="F5" s="41">
        <v>1</v>
      </c>
      <c r="G5" s="116">
        <v>2</v>
      </c>
      <c r="H5" s="41">
        <v>3</v>
      </c>
      <c r="I5" s="116">
        <v>4</v>
      </c>
      <c r="J5" s="116">
        <v>5</v>
      </c>
      <c r="K5" s="116">
        <v>6</v>
      </c>
      <c r="L5" s="116"/>
      <c r="M5" s="116">
        <v>7</v>
      </c>
      <c r="N5" s="116">
        <v>8</v>
      </c>
      <c r="O5" s="116"/>
      <c r="P5" s="41">
        <v>9</v>
      </c>
      <c r="Q5" s="41">
        <v>10</v>
      </c>
      <c r="R5" s="41">
        <v>11</v>
      </c>
      <c r="S5" s="41"/>
      <c r="T5" s="41">
        <v>12</v>
      </c>
      <c r="U5" s="41">
        <v>13</v>
      </c>
      <c r="V5" s="41">
        <v>14</v>
      </c>
      <c r="W5" s="41">
        <v>15</v>
      </c>
      <c r="X5" s="41">
        <v>16</v>
      </c>
      <c r="Y5" s="41"/>
      <c r="Z5" s="41"/>
      <c r="AA5" s="116">
        <v>17</v>
      </c>
      <c r="AB5" s="116">
        <v>18</v>
      </c>
      <c r="AC5" s="116">
        <v>19</v>
      </c>
      <c r="AD5" s="116">
        <v>20</v>
      </c>
      <c r="AE5" s="116"/>
      <c r="AF5" s="116">
        <v>21</v>
      </c>
      <c r="AG5" s="116">
        <v>22</v>
      </c>
      <c r="AH5" s="116"/>
      <c r="AI5" s="41">
        <v>23</v>
      </c>
      <c r="AJ5" s="41">
        <v>24</v>
      </c>
      <c r="AK5" s="41">
        <v>25</v>
      </c>
      <c r="AL5" s="41">
        <v>26</v>
      </c>
      <c r="AM5" s="41"/>
      <c r="AN5" s="41">
        <v>27</v>
      </c>
      <c r="AO5" s="41">
        <v>28</v>
      </c>
      <c r="AP5" s="41"/>
      <c r="AQ5" s="116">
        <v>29</v>
      </c>
      <c r="AR5" s="116">
        <v>30</v>
      </c>
      <c r="AS5" s="116">
        <v>31</v>
      </c>
      <c r="AT5" s="116">
        <v>32</v>
      </c>
      <c r="AU5" s="116">
        <v>33</v>
      </c>
      <c r="AV5" s="116"/>
      <c r="AW5" s="116">
        <v>34</v>
      </c>
      <c r="AX5" s="116">
        <v>35</v>
      </c>
      <c r="AY5" s="116">
        <v>36</v>
      </c>
      <c r="AZ5" s="116">
        <v>37</v>
      </c>
      <c r="BA5" s="116"/>
      <c r="BB5" s="116"/>
      <c r="BC5" s="41">
        <v>38</v>
      </c>
      <c r="BD5" s="42">
        <v>39</v>
      </c>
      <c r="BE5" s="42">
        <v>40</v>
      </c>
      <c r="BF5" s="42">
        <v>41</v>
      </c>
      <c r="BG5" s="42">
        <v>42</v>
      </c>
      <c r="BH5" s="42">
        <v>43</v>
      </c>
    </row>
    <row r="6" spans="2:60" s="141" customFormat="1" ht="123" customHeight="1">
      <c r="B6" s="134" t="s">
        <v>15</v>
      </c>
      <c r="C6" s="135" t="s">
        <v>2</v>
      </c>
      <c r="D6" s="136" t="s">
        <v>3</v>
      </c>
      <c r="E6" s="137" t="s">
        <v>4</v>
      </c>
      <c r="F6" s="138" t="s">
        <v>168</v>
      </c>
      <c r="G6" s="139" t="s">
        <v>169</v>
      </c>
      <c r="H6" s="138" t="s">
        <v>170</v>
      </c>
      <c r="I6" s="139" t="s">
        <v>213</v>
      </c>
      <c r="J6" s="139" t="s">
        <v>173</v>
      </c>
      <c r="K6" s="139" t="s">
        <v>233</v>
      </c>
      <c r="L6" s="139" t="s">
        <v>234</v>
      </c>
      <c r="M6" s="139" t="s">
        <v>219</v>
      </c>
      <c r="N6" s="139" t="s">
        <v>214</v>
      </c>
      <c r="O6" s="143" t="s">
        <v>175</v>
      </c>
      <c r="P6" s="138" t="s">
        <v>215</v>
      </c>
      <c r="Q6" s="138" t="s">
        <v>173</v>
      </c>
      <c r="R6" s="138" t="s">
        <v>233</v>
      </c>
      <c r="S6" s="138" t="s">
        <v>234</v>
      </c>
      <c r="T6" s="138" t="s">
        <v>177</v>
      </c>
      <c r="U6" s="138" t="s">
        <v>216</v>
      </c>
      <c r="V6" s="138" t="s">
        <v>217</v>
      </c>
      <c r="W6" s="138" t="s">
        <v>218</v>
      </c>
      <c r="X6" s="138" t="s">
        <v>178</v>
      </c>
      <c r="Y6" s="144" t="s">
        <v>176</v>
      </c>
      <c r="Z6" s="144" t="s">
        <v>179</v>
      </c>
      <c r="AA6" s="139" t="s">
        <v>180</v>
      </c>
      <c r="AB6" s="139" t="s">
        <v>235</v>
      </c>
      <c r="AC6" s="139" t="s">
        <v>236</v>
      </c>
      <c r="AD6" s="139" t="s">
        <v>233</v>
      </c>
      <c r="AE6" s="139" t="s">
        <v>234</v>
      </c>
      <c r="AF6" s="139" t="s">
        <v>221</v>
      </c>
      <c r="AG6" s="139" t="s">
        <v>223</v>
      </c>
      <c r="AH6" s="143" t="s">
        <v>181</v>
      </c>
      <c r="AI6" s="138" t="s">
        <v>182</v>
      </c>
      <c r="AJ6" s="138" t="s">
        <v>220</v>
      </c>
      <c r="AK6" s="138" t="s">
        <v>237</v>
      </c>
      <c r="AL6" s="138" t="s">
        <v>233</v>
      </c>
      <c r="AM6" s="138" t="s">
        <v>234</v>
      </c>
      <c r="AN6" s="138" t="s">
        <v>221</v>
      </c>
      <c r="AO6" s="138" t="s">
        <v>222</v>
      </c>
      <c r="AP6" s="144" t="s">
        <v>184</v>
      </c>
      <c r="AQ6" s="139" t="s">
        <v>185</v>
      </c>
      <c r="AR6" s="139" t="s">
        <v>186</v>
      </c>
      <c r="AS6" s="139" t="s">
        <v>225</v>
      </c>
      <c r="AT6" s="139" t="s">
        <v>226</v>
      </c>
      <c r="AU6" s="139" t="s">
        <v>233</v>
      </c>
      <c r="AV6" s="139" t="s">
        <v>234</v>
      </c>
      <c r="AW6" s="139" t="s">
        <v>227</v>
      </c>
      <c r="AX6" s="139" t="s">
        <v>228</v>
      </c>
      <c r="AY6" s="139" t="s">
        <v>229</v>
      </c>
      <c r="AZ6" s="139" t="s">
        <v>230</v>
      </c>
      <c r="BA6" s="143" t="s">
        <v>187</v>
      </c>
      <c r="BB6" s="143" t="s">
        <v>188</v>
      </c>
      <c r="BC6" s="138" t="s">
        <v>189</v>
      </c>
      <c r="BD6" s="140" t="s">
        <v>103</v>
      </c>
      <c r="BE6" s="140" t="s">
        <v>103</v>
      </c>
      <c r="BF6" s="140" t="s">
        <v>103</v>
      </c>
      <c r="BG6" s="140" t="s">
        <v>103</v>
      </c>
      <c r="BH6" s="140" t="s">
        <v>103</v>
      </c>
    </row>
    <row r="7" spans="2:60" s="130" customFormat="1" ht="71.25" customHeight="1" thickBot="1">
      <c r="B7" s="108"/>
      <c r="C7" s="63" t="s">
        <v>72</v>
      </c>
      <c r="D7" s="63" t="s">
        <v>104</v>
      </c>
      <c r="E7" s="64" t="s">
        <v>74</v>
      </c>
      <c r="F7" s="68" t="s">
        <v>239</v>
      </c>
      <c r="G7" s="117" t="s">
        <v>73</v>
      </c>
      <c r="H7" s="68" t="s">
        <v>73</v>
      </c>
      <c r="I7" s="117" t="s">
        <v>73</v>
      </c>
      <c r="J7" s="117" t="s">
        <v>171</v>
      </c>
      <c r="K7" s="117" t="s">
        <v>172</v>
      </c>
      <c r="L7" s="117"/>
      <c r="M7" s="117" t="s">
        <v>238</v>
      </c>
      <c r="N7" s="117" t="s">
        <v>174</v>
      </c>
      <c r="O7" s="117"/>
      <c r="P7" s="68" t="s">
        <v>73</v>
      </c>
      <c r="Q7" s="68" t="s">
        <v>171</v>
      </c>
      <c r="R7" s="68" t="s">
        <v>172</v>
      </c>
      <c r="S7" s="68"/>
      <c r="T7" s="68" t="s">
        <v>73</v>
      </c>
      <c r="U7" s="68" t="s">
        <v>73</v>
      </c>
      <c r="V7" s="68" t="s">
        <v>73</v>
      </c>
      <c r="W7" s="68" t="s">
        <v>73</v>
      </c>
      <c r="X7" s="68" t="s">
        <v>73</v>
      </c>
      <c r="Y7" s="68"/>
      <c r="Z7" s="68"/>
      <c r="AA7" s="117" t="s">
        <v>73</v>
      </c>
      <c r="AB7" s="117" t="s">
        <v>73</v>
      </c>
      <c r="AC7" s="117" t="s">
        <v>171</v>
      </c>
      <c r="AD7" s="117" t="s">
        <v>172</v>
      </c>
      <c r="AE7" s="117"/>
      <c r="AF7" s="117" t="s">
        <v>73</v>
      </c>
      <c r="AG7" s="117" t="s">
        <v>174</v>
      </c>
      <c r="AH7" s="117"/>
      <c r="AI7" s="68" t="s">
        <v>174</v>
      </c>
      <c r="AJ7" s="68" t="s">
        <v>73</v>
      </c>
      <c r="AK7" s="68" t="s">
        <v>171</v>
      </c>
      <c r="AL7" s="68" t="s">
        <v>172</v>
      </c>
      <c r="AM7" s="68"/>
      <c r="AN7" s="68" t="s">
        <v>238</v>
      </c>
      <c r="AO7" s="68" t="s">
        <v>183</v>
      </c>
      <c r="AP7" s="68"/>
      <c r="AQ7" s="117" t="s">
        <v>73</v>
      </c>
      <c r="AR7" s="117" t="s">
        <v>73</v>
      </c>
      <c r="AS7" s="117" t="s">
        <v>73</v>
      </c>
      <c r="AT7" s="117" t="s">
        <v>171</v>
      </c>
      <c r="AU7" s="117" t="s">
        <v>172</v>
      </c>
      <c r="AV7" s="117"/>
      <c r="AW7" s="117" t="s">
        <v>73</v>
      </c>
      <c r="AX7" s="117" t="s">
        <v>73</v>
      </c>
      <c r="AY7" s="117" t="s">
        <v>73</v>
      </c>
      <c r="AZ7" s="117" t="s">
        <v>73</v>
      </c>
      <c r="BA7" s="117"/>
      <c r="BB7" s="117"/>
      <c r="BC7" s="68" t="s">
        <v>73</v>
      </c>
      <c r="BD7" s="110" t="s">
        <v>73</v>
      </c>
      <c r="BE7" s="110" t="s">
        <v>73</v>
      </c>
      <c r="BF7" s="110" t="s">
        <v>73</v>
      </c>
      <c r="BG7" s="110" t="s">
        <v>73</v>
      </c>
      <c r="BH7" s="110" t="s">
        <v>73</v>
      </c>
    </row>
    <row r="8" spans="2:63" s="43" customFormat="1" ht="30" customHeight="1" thickBot="1">
      <c r="B8" s="86">
        <v>1</v>
      </c>
      <c r="C8" s="84"/>
      <c r="D8" s="84"/>
      <c r="E8" s="84"/>
      <c r="F8" s="84"/>
      <c r="G8" s="84"/>
      <c r="H8" s="84"/>
      <c r="I8" s="84"/>
      <c r="J8" s="84"/>
      <c r="K8" s="84"/>
      <c r="L8" s="118">
        <f>IF(OR(J8="",K8=""),"",IF(OR(AND(J8="Esomeprazole",K8=20),AND(J8="Lansoprazole",K8=30),AND(J8="Omeprazole",K8&gt;19,K8&lt;41),AND(J8="Pantoprazole",K8=40),AND(J8="Rabeprazole",K8=20)),"Yes","No"))</f>
      </c>
      <c r="M8" s="84"/>
      <c r="N8" s="84"/>
      <c r="O8" s="118">
        <f>IF(OR(I8="",L8="",M8="",N8=""),"",IF(OR(I8="NA",L8="NA",M8="NA",N8="NA"),"NA",IF(OR(I8="Exception",L8="Exception",M8="Exception",N8="Exception"),"Exception",IF(OR(I8="Exception A",L8="Exception A",M8="Exception A",N8="Exception A"),"Exception A",IF(AND(I8="Yes",L8="Yes",M8="Yes",OR(N8="Clarithromycin",N8="Metronidazole")),"Yes","No")))))</f>
      </c>
      <c r="P8" s="84"/>
      <c r="Q8" s="84"/>
      <c r="R8" s="84"/>
      <c r="S8" s="118">
        <f>IF(OR(Q8="",R8=""),"",IF(OR(AND(Q8="Esomeprazole",R8=20),AND(Q8="Lansoprazole",R8=30),AND(Q8="Omeprazole",R8&gt;19,R8&lt;41),AND(Q8="Pantoprazole",R8=40),AND(Q8="Rabeprazole",R8=20)),"Yes","No"))</f>
      </c>
      <c r="T8" s="84"/>
      <c r="U8" s="84"/>
      <c r="V8" s="84"/>
      <c r="W8" s="84"/>
      <c r="X8" s="84"/>
      <c r="Y8" s="118">
        <f>IF(OR(P8="",S8="",U8="",V8=""),"",IF(T8="Yes","",IF(OR(P8="NA",S8="NA",U8="NA",V8="NA"),"NA",IF(OR(P8="Exception",S8="Exception",U8="Exception",V8="Exception"),"Exception",IF(AND(P8="Yes",S8="Yes",U8="Yes",V8="Yes"),"Yes","No")))))</f>
      </c>
      <c r="Z8" s="118">
        <f>IF(OR(P8="",S8="",T8="",V8="",W8="",X8=""),"",IF(T8="No","",IF(OR(P8="NA",S8="NA",T8="NA",V8="NA",W8="NA",X8="NA"),"NA",IF(OR(P8="Exception",S8="Exception",T8="Exception",V8="Exception",W8="Exception",X8="Exception"),"Exception",IF(AND(P8="Yes",S8="Yes",T8="Yes",V8="Yes",W8="Yes",X8="Yes"),"Yes","No")))))</f>
      </c>
      <c r="AA8" s="84"/>
      <c r="AB8" s="84"/>
      <c r="AC8" s="84"/>
      <c r="AD8" s="84"/>
      <c r="AE8" s="118">
        <f>IF(OR(AC8="",AD8=""),"",IF(OR(AND(AC8="Esomeprazole",AD8=20),AND(AC8="Lansoprazole",AD8=30),AND(AC8="Omeprazole",AD8&gt;19,AD8&lt;41),AND(AC8="Pantoprazole",AD8=40),AND(AC8="Rabeprazole",AD8=20)),"Yes","No"))</f>
      </c>
      <c r="AF8" s="84"/>
      <c r="AG8" s="84"/>
      <c r="AH8" s="118">
        <f>IF(OR(AA8="",AB8="",AE8="",AF8="",AG8=""),"",IF(OR(AA8="NA",AB8="NA",AE8="NA",AF8="NA",AG8="NA"),"NA",IF(OR(AA8="Exception",AB8="Exception",AE8="Exception",AF8="Exception",AG8="Exception"),"Exception",IF(AND(AA8="Yes",AB8="Yes",AE8="Yes",AF8="Yes",OR(AG8="Clarithromycin",AG8="Metronidazole")),"Yes","No"))))</f>
      </c>
      <c r="AI8" s="84"/>
      <c r="AJ8" s="84"/>
      <c r="AK8" s="84"/>
      <c r="AL8" s="84"/>
      <c r="AM8" s="118">
        <f>IF(OR(AK8="",AL8=""),"",IF(OR(AND(AK8="Esomeprazole",AL8=20),AND(AK8="Lansoprazole",AL8=30),AND(AK8="Omeprazole",AL8&gt;19,AL8&lt;41),AND(AK8="Pantoprazole",AL8=40),AND(AK8="Rabeprazole",AL8=20)),"Yes","No"))</f>
      </c>
      <c r="AN8" s="84"/>
      <c r="AO8" s="84"/>
      <c r="AP8" s="118">
        <f>IF(OR(AI8="",AJ8="",AM8="",AN8="",AO8=""),"",IF(OR(AI8="NA",AJ8="NA",AM8="NA",AN8="NA",AO8="NA"),"NA",IF(OR(AI8="Exception",AJ8="Exception",AM8="Exception",AN8="Exception",AO8="Exception"),"Exception",IF(OR(AI8="Exception A",AJ8="Exception A",AM8="Exception A",AN8="Exception A",AO8="Exception A"),"Exception A",IF(AND(AJ8="Yes",AM8="Yes",AN8="Yes",OR(AO8="Quinolone",AO8="Tetracycline"),OR(AI8="Clarithromycin",AI8="Metronidazole")),"Yes","No")))))</f>
      </c>
      <c r="AQ8" s="84"/>
      <c r="AR8" s="84"/>
      <c r="AS8" s="84"/>
      <c r="AT8" s="84"/>
      <c r="AU8" s="84"/>
      <c r="AV8" s="118">
        <f>IF(OR(AT8="",AU8=""),"",IF(OR(AND(AT8="Esomeprazole",AU8=20),AND(AT8="Lansoprazole",AU8=30),AND(AT8="Omeprazole",AU8&gt;19,AU8&lt;41),AND(AT8="Pantoprazole",AU8=40),AND(AT8="Rabeprazole",AU8=20)),"Yes","No"))</f>
      </c>
      <c r="AW8" s="84"/>
      <c r="AX8" s="84"/>
      <c r="AY8" s="84"/>
      <c r="AZ8" s="84"/>
      <c r="BA8" s="118">
        <f>IF(OR(AQ8="",AR8="",AS8="",AV8="",AW8="",AX8=""),"",IF(OR(AQ8="NA",AR8="NA",AS8="NA",AV8="NA",AX8="NA",AW8="NA"),"NA",IF(OR(AQ8="Exception",AR8="Exception",AS8="Exception",AV8="Exception",AX8="Exception",AW8="Exception"),"Exception",IF(AND(AQ8="Yes",AR8="No",AS8="Yes",AV8="Yes",AW8="Yes",AX8="Yes"),"Yes","No"))))</f>
      </c>
      <c r="BB8" s="118">
        <f>IF(OR(AQ8="",AR8="",AS8="",AV8="",AW8="",AY8="",AZ8=""),"",IF(OR(AQ8="NA",AR8="NA",AS8="NA",AV8="NA",AW8="NA",AY8="NA",AZ8="NA"),"NA",IF(OR(AQ8="Exception",AR8="Exception",AS8="Exception",AV8="Exception",AW8="Exception",AY8="Exception",AZ8="Exception"),"Exception",IF(AND(AQ8="Yes",AR8="Yes",AS8="Yes",AV8="Yes",AW8="Yes",AY8="Yes",AZ8="Yes"),"Yes","No"))))</f>
      </c>
      <c r="BC8" s="84"/>
      <c r="BD8" s="84"/>
      <c r="BE8" s="84"/>
      <c r="BF8" s="84"/>
      <c r="BG8" s="84"/>
      <c r="BH8" s="44"/>
      <c r="BJ8" s="45" t="s">
        <v>47</v>
      </c>
      <c r="BK8" s="46"/>
    </row>
    <row r="9" spans="2:63" s="43" customFormat="1" ht="30" customHeight="1" thickBot="1">
      <c r="B9" s="86">
        <v>2</v>
      </c>
      <c r="C9" s="84"/>
      <c r="D9" s="84"/>
      <c r="E9" s="84"/>
      <c r="F9" s="85"/>
      <c r="G9" s="85"/>
      <c r="H9" s="85"/>
      <c r="I9" s="84"/>
      <c r="J9" s="85"/>
      <c r="K9" s="85"/>
      <c r="L9" s="118">
        <f aca="true" t="shared" si="0" ref="L9:L48">IF(OR(J9="",K9=""),"",IF(OR(AND(J9="Esomeprazole",K9=20),AND(J9="Lansoprazole",K9=30),AND(J9="Omeprazole",K9&gt;19,K9&lt;41),AND(J9="Pantoprazole",K9=40),AND(J9="Rabeprazole",K9=20)),"Yes","No"))</f>
      </c>
      <c r="M9" s="84"/>
      <c r="N9" s="84"/>
      <c r="O9" s="118">
        <f aca="true" t="shared" si="1" ref="O9:O48">IF(OR(I9="",L9="",M9="",N9=""),"",IF(OR(I9="NA",L9="NA",M9="NA",N9="NA"),"NA",IF(OR(I9="Exception",L9="Exception",M9="Exception",N9="Exception"),"Exception",IF(OR(I9="Exception A",L9="Exception A",M9="Exception A",N9="Exception A"),"Exception A",IF(AND(I9="Yes",L9="Yes",M9="Yes",OR(N9="Clarithromycin",N9="Metronidazole")),"Yes","No")))))</f>
      </c>
      <c r="P9" s="84"/>
      <c r="Q9" s="85"/>
      <c r="R9" s="85"/>
      <c r="S9" s="118">
        <f aca="true" t="shared" si="2" ref="S9:S48">IF(OR(Q9="",R9=""),"",IF(OR(AND(Q9="Esomeprazole",R9=20),AND(Q9="Lansoprazole",R9=30),AND(Q9="Omeprazole",R9&gt;19,R9&lt;41),AND(Q9="Pantoprazole",R9=40),AND(Q9="Rabeprazole",R9=20)),"Yes","No"))</f>
      </c>
      <c r="T9" s="84"/>
      <c r="U9" s="84"/>
      <c r="V9" s="84"/>
      <c r="W9" s="84"/>
      <c r="X9" s="84"/>
      <c r="Y9" s="118">
        <f aca="true" t="shared" si="3" ref="Y9:Y48">IF(OR(P9="",S9="",U9="",V9=""),"",IF(T9="Yes","",IF(OR(P9="NA",S9="NA",U9="NA",V9="NA"),"NA",IF(OR(P9="Exception",S9="Exception",U9="Exception",V9="Exception"),"Exception",IF(AND(P9="Yes",S9="Yes",U9="Yes",V9="Yes"),"Yes","No")))))</f>
      </c>
      <c r="Z9" s="118">
        <f aca="true" t="shared" si="4" ref="Z9:Z48">IF(OR(P9="",S9="",T9="",V9="",W9="",X9=""),"",IF(T9="No","",IF(OR(P9="NA",S9="NA",T9="NA",V9="NA",W9="NA",X9="NA"),"NA",IF(OR(P9="Exception",S9="Exception",T9="Exception",V9="Exception",W9="Exception",X9="Exception"),"Exception",IF(AND(P9="Yes",S9="Yes",T9="Yes",V9="Yes",W9="Yes",X9="Yes"),"Yes","No")))))</f>
      </c>
      <c r="AA9" s="85"/>
      <c r="AB9" s="84"/>
      <c r="AC9" s="85"/>
      <c r="AD9" s="85"/>
      <c r="AE9" s="118">
        <f aca="true" t="shared" si="5" ref="AE9:AE48">IF(OR(AC9="",AD9=""),"",IF(OR(AND(AC9="Esomeprazole",AD9=20),AND(AC9="Lansoprazole",AD9=30),AND(AC9="Omeprazole",AD9&gt;19,AD9&lt;41),AND(AC9="Pantoprazole",AD9=40),AND(AC9="Rabeprazole",AD9=20)),"Yes","No"))</f>
      </c>
      <c r="AF9" s="84"/>
      <c r="AG9" s="84"/>
      <c r="AH9" s="118">
        <f aca="true" t="shared" si="6" ref="AH9:AH48">IF(OR(AB9="",AE9="",AF9="",AG9=""),"",IF(OR(AB9="NA",AE9="NA",AF9="NA",AG9="NA"),"NA",IF(OR(AB9="Exception",AE9="Exception",AF9="Exception",AG9="Exception"),"Exception",IF(AND(AB9="Yes",AE9="Yes",AF9="Yes",OR(AG9="Clarithromycin",AG9="Metronidazole")),"Yes","No"))))</f>
      </c>
      <c r="AI9" s="84"/>
      <c r="AJ9" s="84"/>
      <c r="AK9" s="84"/>
      <c r="AL9" s="84"/>
      <c r="AM9" s="118">
        <f aca="true" t="shared" si="7" ref="AM9:AM48">IF(OR(AK9="",AL9=""),"",IF(OR(AND(AK9="Esomeprazole",AL9=20),AND(AK9="Lansoprazole",AL9=30),AND(AK9="Omeprazole",AL9&gt;19,AL9&lt;41),AND(AK9="Pantoprazole",AL9=40),AND(AK9="Rabeprazole",AL9=20)),"Yes","No"))</f>
      </c>
      <c r="AN9" s="84"/>
      <c r="AO9" s="84"/>
      <c r="AP9" s="118">
        <f aca="true" t="shared" si="8" ref="AP9:AP48">IF(OR(AI9="",AJ9="",AM9="",AN9="",AO9=""),"",IF(OR(AI9="NA",AJ9="NA",AM9="NA",AN9="NA",AO9="NA"),"NA",IF(OR(AI9="Exception",AJ9="Exception",AM9="Exception",AN9="Exception",AO9="Exception"),"Exception",IF(OR(AI9="Exception A",AJ9="Exception A",AM9="Exception A",AN9="Exception A",AO9="Exception A"),"Exception A",IF(AND(AJ9="Yes",AM9="Yes",AN9="Yes",OR(AO9="Quinolone",AO9="Tetracycline"),OR(AI9="Clarithromycin",AI9="Metronidazole")),"Yes","No")))))</f>
      </c>
      <c r="AQ9" s="84"/>
      <c r="AR9" s="84"/>
      <c r="AS9" s="84"/>
      <c r="AT9" s="84"/>
      <c r="AU9" s="84"/>
      <c r="AV9" s="118">
        <f aca="true" t="shared" si="9" ref="AV9:AV48">IF(OR(AT9="",AU9=""),"",IF(OR(AND(AT9="Esomeprazole",AU9=20),AND(AT9="Lansoprazole",AU9=30),AND(AT9="Omeprazole",AU9&gt;19,AU9&lt;41),AND(AT9="Pantoprazole",AU9=40),AND(AT9="Rabeprazole",AU9=20)),"Yes","No"))</f>
      </c>
      <c r="AW9" s="84"/>
      <c r="AX9" s="84"/>
      <c r="AY9" s="84"/>
      <c r="AZ9" s="84"/>
      <c r="BA9" s="118">
        <f aca="true" t="shared" si="10" ref="BA9:BA48">IF(OR(AQ9="",AR9="",AS9="",AV9="",AW9="",AX9=""),"",IF(OR(AQ9="NA",AR9="NA",AS9="NA",AV9="NA",AX9="NA",AW9="NA"),"NA",IF(OR(AQ9="Exception",AR9="Exception",AS9="Exception",AV9="Exception",AX9="Exception",AW9="Exception"),"Exception",IF(AND(AQ9="Yes",AR9="No",AS9="Yes",AV9="Yes",AW9="Yes",AX9="Yes"),"Yes","No"))))</f>
      </c>
      <c r="BB9" s="118">
        <f aca="true" t="shared" si="11" ref="BB9:BB48">IF(OR(AQ9="",AR9="",AS9="",AV9="",AW9="",AY9="",AZ9=""),"",IF(OR(AQ9="NA",AR9="NA",AS9="NA",AV9="NA",AW9="NA",AY9="NA",AZ9="NA"),"NA",IF(OR(AQ9="Exception",AR9="Exception",AS9="Exception",AV9="Exception",AW9="Exception",AY9="Exception",AZ9="Exception"),"Exception",IF(AND(AQ9="Yes",AR9="Yes",AS9="Yes",AV9="Yes",AW9="Yes",AY9="Yes",AZ9="Yes"),"Yes","No"))))</f>
      </c>
      <c r="BC9" s="84"/>
      <c r="BD9" s="84"/>
      <c r="BE9" s="84"/>
      <c r="BF9" s="84"/>
      <c r="BG9" s="84"/>
      <c r="BH9" s="44"/>
      <c r="BJ9" s="45"/>
      <c r="BK9" s="47"/>
    </row>
    <row r="10" spans="2:63" s="43" customFormat="1" ht="30" customHeight="1" thickBot="1">
      <c r="B10" s="86">
        <v>3</v>
      </c>
      <c r="C10" s="84"/>
      <c r="D10" s="84"/>
      <c r="E10" s="84"/>
      <c r="F10" s="85"/>
      <c r="G10" s="85"/>
      <c r="H10" s="85"/>
      <c r="I10" s="84"/>
      <c r="J10" s="85"/>
      <c r="K10" s="85"/>
      <c r="L10" s="118">
        <f t="shared" si="0"/>
      </c>
      <c r="M10" s="84"/>
      <c r="N10" s="84"/>
      <c r="O10" s="118">
        <f t="shared" si="1"/>
      </c>
      <c r="P10" s="84"/>
      <c r="Q10" s="85"/>
      <c r="R10" s="85"/>
      <c r="S10" s="118">
        <f t="shared" si="2"/>
      </c>
      <c r="T10" s="84"/>
      <c r="U10" s="84"/>
      <c r="V10" s="84"/>
      <c r="W10" s="84"/>
      <c r="X10" s="84"/>
      <c r="Y10" s="118">
        <f t="shared" si="3"/>
      </c>
      <c r="Z10" s="118">
        <f t="shared" si="4"/>
      </c>
      <c r="AA10" s="85"/>
      <c r="AB10" s="84"/>
      <c r="AC10" s="85"/>
      <c r="AD10" s="85"/>
      <c r="AE10" s="118">
        <f t="shared" si="5"/>
      </c>
      <c r="AF10" s="84"/>
      <c r="AG10" s="84"/>
      <c r="AH10" s="118">
        <f t="shared" si="6"/>
      </c>
      <c r="AI10" s="84"/>
      <c r="AJ10" s="84"/>
      <c r="AK10" s="84"/>
      <c r="AL10" s="84"/>
      <c r="AM10" s="118">
        <f t="shared" si="7"/>
      </c>
      <c r="AN10" s="84"/>
      <c r="AO10" s="84"/>
      <c r="AP10" s="118">
        <f t="shared" si="8"/>
      </c>
      <c r="AQ10" s="84"/>
      <c r="AR10" s="84"/>
      <c r="AS10" s="84"/>
      <c r="AT10" s="84"/>
      <c r="AU10" s="84"/>
      <c r="AV10" s="118">
        <f t="shared" si="9"/>
      </c>
      <c r="AW10" s="84"/>
      <c r="AX10" s="84"/>
      <c r="AY10" s="84"/>
      <c r="AZ10" s="84"/>
      <c r="BA10" s="118">
        <f t="shared" si="10"/>
      </c>
      <c r="BB10" s="118">
        <f t="shared" si="11"/>
      </c>
      <c r="BC10" s="84"/>
      <c r="BD10" s="84"/>
      <c r="BE10" s="84"/>
      <c r="BF10" s="84"/>
      <c r="BG10" s="84"/>
      <c r="BH10" s="44"/>
      <c r="BJ10" s="91" t="s">
        <v>11</v>
      </c>
      <c r="BK10" s="96" t="str">
        <f>MIN(Age)&amp;" - "&amp;MAX(Age)</f>
        <v>0 - 0</v>
      </c>
    </row>
    <row r="11" spans="2:63" s="43" customFormat="1" ht="30" customHeight="1" thickBot="1">
      <c r="B11" s="86">
        <v>4</v>
      </c>
      <c r="C11" s="84"/>
      <c r="D11" s="84"/>
      <c r="E11" s="84"/>
      <c r="F11" s="85"/>
      <c r="G11" s="85"/>
      <c r="H11" s="85"/>
      <c r="I11" s="84"/>
      <c r="J11" s="85"/>
      <c r="K11" s="85"/>
      <c r="L11" s="118">
        <f t="shared" si="0"/>
      </c>
      <c r="M11" s="84"/>
      <c r="N11" s="84"/>
      <c r="O11" s="118">
        <f t="shared" si="1"/>
      </c>
      <c r="P11" s="84"/>
      <c r="Q11" s="85"/>
      <c r="R11" s="85"/>
      <c r="S11" s="118">
        <f t="shared" si="2"/>
      </c>
      <c r="T11" s="84"/>
      <c r="U11" s="84"/>
      <c r="V11" s="84"/>
      <c r="W11" s="84"/>
      <c r="X11" s="84"/>
      <c r="Y11" s="118">
        <f t="shared" si="3"/>
      </c>
      <c r="Z11" s="118">
        <f t="shared" si="4"/>
      </c>
      <c r="AA11" s="85"/>
      <c r="AB11" s="84"/>
      <c r="AC11" s="85"/>
      <c r="AD11" s="85"/>
      <c r="AE11" s="118">
        <f t="shared" si="5"/>
      </c>
      <c r="AF11" s="84"/>
      <c r="AG11" s="84"/>
      <c r="AH11" s="118">
        <f t="shared" si="6"/>
      </c>
      <c r="AI11" s="84"/>
      <c r="AJ11" s="84"/>
      <c r="AK11" s="84"/>
      <c r="AL11" s="84"/>
      <c r="AM11" s="118">
        <f t="shared" si="7"/>
      </c>
      <c r="AN11" s="84"/>
      <c r="AO11" s="84"/>
      <c r="AP11" s="118">
        <f t="shared" si="8"/>
      </c>
      <c r="AQ11" s="84"/>
      <c r="AR11" s="84"/>
      <c r="AS11" s="84"/>
      <c r="AT11" s="84"/>
      <c r="AU11" s="84"/>
      <c r="AV11" s="118">
        <f t="shared" si="9"/>
      </c>
      <c r="AW11" s="84"/>
      <c r="AX11" s="84"/>
      <c r="AY11" s="84"/>
      <c r="AZ11" s="84"/>
      <c r="BA11" s="118">
        <f t="shared" si="10"/>
      </c>
      <c r="BB11" s="118">
        <f t="shared" si="11"/>
      </c>
      <c r="BC11" s="84"/>
      <c r="BD11" s="84"/>
      <c r="BE11" s="84"/>
      <c r="BF11" s="84"/>
      <c r="BG11" s="84"/>
      <c r="BH11" s="44"/>
      <c r="BJ11" s="92"/>
      <c r="BK11" s="90"/>
    </row>
    <row r="12" spans="2:63" s="43" customFormat="1" ht="30" customHeight="1" thickBot="1">
      <c r="B12" s="86">
        <v>5</v>
      </c>
      <c r="C12" s="84"/>
      <c r="D12" s="84"/>
      <c r="E12" s="84"/>
      <c r="F12" s="85"/>
      <c r="G12" s="85"/>
      <c r="H12" s="85"/>
      <c r="I12" s="84"/>
      <c r="J12" s="85"/>
      <c r="K12" s="85"/>
      <c r="L12" s="118">
        <f t="shared" si="0"/>
      </c>
      <c r="M12" s="84"/>
      <c r="N12" s="84"/>
      <c r="O12" s="118">
        <f t="shared" si="1"/>
      </c>
      <c r="P12" s="84"/>
      <c r="Q12" s="85"/>
      <c r="R12" s="85"/>
      <c r="S12" s="118">
        <f t="shared" si="2"/>
      </c>
      <c r="T12" s="84"/>
      <c r="U12" s="84"/>
      <c r="V12" s="84"/>
      <c r="W12" s="84"/>
      <c r="X12" s="84"/>
      <c r="Y12" s="118">
        <f t="shared" si="3"/>
      </c>
      <c r="Z12" s="118">
        <f t="shared" si="4"/>
      </c>
      <c r="AA12" s="85"/>
      <c r="AB12" s="84"/>
      <c r="AC12" s="85"/>
      <c r="AD12" s="85"/>
      <c r="AE12" s="118">
        <f t="shared" si="5"/>
      </c>
      <c r="AF12" s="84"/>
      <c r="AG12" s="84"/>
      <c r="AH12" s="118">
        <f t="shared" si="6"/>
      </c>
      <c r="AI12" s="84"/>
      <c r="AJ12" s="84"/>
      <c r="AK12" s="84"/>
      <c r="AL12" s="84"/>
      <c r="AM12" s="118">
        <f t="shared" si="7"/>
      </c>
      <c r="AN12" s="84"/>
      <c r="AO12" s="84"/>
      <c r="AP12" s="118">
        <f t="shared" si="8"/>
      </c>
      <c r="AQ12" s="84"/>
      <c r="AR12" s="84"/>
      <c r="AS12" s="84"/>
      <c r="AT12" s="84"/>
      <c r="AU12" s="84"/>
      <c r="AV12" s="118">
        <f t="shared" si="9"/>
      </c>
      <c r="AW12" s="84"/>
      <c r="AX12" s="84"/>
      <c r="AY12" s="84"/>
      <c r="AZ12" s="84"/>
      <c r="BA12" s="118">
        <f t="shared" si="10"/>
      </c>
      <c r="BB12" s="118">
        <f t="shared" si="11"/>
      </c>
      <c r="BC12" s="84"/>
      <c r="BD12" s="84"/>
      <c r="BE12" s="84"/>
      <c r="BF12" s="84"/>
      <c r="BG12" s="84"/>
      <c r="BH12" s="44"/>
      <c r="BJ12" s="93" t="s">
        <v>9</v>
      </c>
      <c r="BK12" s="96">
        <f>COUNTIF(Sex,"Male")</f>
        <v>0</v>
      </c>
    </row>
    <row r="13" spans="2:63" s="43" customFormat="1" ht="30" customHeight="1" thickBot="1">
      <c r="B13" s="86">
        <v>6</v>
      </c>
      <c r="C13" s="84"/>
      <c r="D13" s="84"/>
      <c r="E13" s="84"/>
      <c r="F13" s="85"/>
      <c r="G13" s="85"/>
      <c r="H13" s="85"/>
      <c r="I13" s="84"/>
      <c r="J13" s="85"/>
      <c r="K13" s="85"/>
      <c r="L13" s="118">
        <f t="shared" si="0"/>
      </c>
      <c r="M13" s="84"/>
      <c r="N13" s="84"/>
      <c r="O13" s="118">
        <f t="shared" si="1"/>
      </c>
      <c r="P13" s="84"/>
      <c r="Q13" s="85"/>
      <c r="R13" s="85"/>
      <c r="S13" s="118">
        <f t="shared" si="2"/>
      </c>
      <c r="T13" s="84"/>
      <c r="U13" s="84"/>
      <c r="V13" s="84"/>
      <c r="W13" s="84"/>
      <c r="X13" s="84"/>
      <c r="Y13" s="118">
        <f t="shared" si="3"/>
      </c>
      <c r="Z13" s="118">
        <f t="shared" si="4"/>
      </c>
      <c r="AA13" s="85"/>
      <c r="AB13" s="84"/>
      <c r="AC13" s="85"/>
      <c r="AD13" s="85"/>
      <c r="AE13" s="118">
        <f t="shared" si="5"/>
      </c>
      <c r="AF13" s="84"/>
      <c r="AG13" s="84"/>
      <c r="AH13" s="118">
        <f t="shared" si="6"/>
      </c>
      <c r="AI13" s="84"/>
      <c r="AJ13" s="84"/>
      <c r="AK13" s="84"/>
      <c r="AL13" s="84"/>
      <c r="AM13" s="118">
        <f t="shared" si="7"/>
      </c>
      <c r="AN13" s="84"/>
      <c r="AO13" s="84"/>
      <c r="AP13" s="118">
        <f t="shared" si="8"/>
      </c>
      <c r="AQ13" s="84"/>
      <c r="AR13" s="84"/>
      <c r="AS13" s="84"/>
      <c r="AT13" s="84"/>
      <c r="AU13" s="84"/>
      <c r="AV13" s="118">
        <f t="shared" si="9"/>
      </c>
      <c r="AW13" s="84"/>
      <c r="AX13" s="84"/>
      <c r="AY13" s="84"/>
      <c r="AZ13" s="84"/>
      <c r="BA13" s="118">
        <f t="shared" si="10"/>
      </c>
      <c r="BB13" s="118">
        <f t="shared" si="11"/>
      </c>
      <c r="BC13" s="84"/>
      <c r="BD13" s="84"/>
      <c r="BE13" s="84"/>
      <c r="BF13" s="84"/>
      <c r="BG13" s="84"/>
      <c r="BH13" s="44"/>
      <c r="BJ13" s="94" t="s">
        <v>10</v>
      </c>
      <c r="BK13" s="96">
        <f>COUNTIF(Sex,"Female")</f>
        <v>0</v>
      </c>
    </row>
    <row r="14" spans="2:63" s="43" customFormat="1" ht="30" customHeight="1" thickBot="1">
      <c r="B14" s="86">
        <v>7</v>
      </c>
      <c r="C14" s="84"/>
      <c r="D14" s="84"/>
      <c r="E14" s="84"/>
      <c r="F14" s="85"/>
      <c r="G14" s="85"/>
      <c r="H14" s="85"/>
      <c r="I14" s="84"/>
      <c r="J14" s="85"/>
      <c r="K14" s="85"/>
      <c r="L14" s="118">
        <f t="shared" si="0"/>
      </c>
      <c r="M14" s="84"/>
      <c r="N14" s="84"/>
      <c r="O14" s="118">
        <f t="shared" si="1"/>
      </c>
      <c r="P14" s="84"/>
      <c r="Q14" s="85"/>
      <c r="R14" s="85"/>
      <c r="S14" s="118">
        <f t="shared" si="2"/>
      </c>
      <c r="T14" s="84"/>
      <c r="U14" s="84"/>
      <c r="V14" s="84"/>
      <c r="W14" s="84"/>
      <c r="X14" s="84"/>
      <c r="Y14" s="118">
        <f t="shared" si="3"/>
      </c>
      <c r="Z14" s="118">
        <f t="shared" si="4"/>
      </c>
      <c r="AA14" s="85"/>
      <c r="AB14" s="84"/>
      <c r="AC14" s="85"/>
      <c r="AD14" s="85"/>
      <c r="AE14" s="118">
        <f t="shared" si="5"/>
      </c>
      <c r="AF14" s="84"/>
      <c r="AG14" s="84"/>
      <c r="AH14" s="118">
        <f t="shared" si="6"/>
      </c>
      <c r="AI14" s="84"/>
      <c r="AJ14" s="84"/>
      <c r="AK14" s="84"/>
      <c r="AL14" s="84"/>
      <c r="AM14" s="118">
        <f t="shared" si="7"/>
      </c>
      <c r="AN14" s="84"/>
      <c r="AO14" s="84"/>
      <c r="AP14" s="118">
        <f t="shared" si="8"/>
      </c>
      <c r="AQ14" s="84"/>
      <c r="AR14" s="84"/>
      <c r="AS14" s="84"/>
      <c r="AT14" s="84"/>
      <c r="AU14" s="84"/>
      <c r="AV14" s="118">
        <f t="shared" si="9"/>
      </c>
      <c r="AW14" s="84"/>
      <c r="AX14" s="84"/>
      <c r="AY14" s="84"/>
      <c r="AZ14" s="84"/>
      <c r="BA14" s="118">
        <f t="shared" si="10"/>
      </c>
      <c r="BB14" s="118">
        <f t="shared" si="11"/>
      </c>
      <c r="BC14" s="84"/>
      <c r="BD14" s="84"/>
      <c r="BE14" s="84"/>
      <c r="BF14" s="84"/>
      <c r="BG14" s="84"/>
      <c r="BH14" s="44"/>
      <c r="BJ14" s="95"/>
      <c r="BK14" s="90"/>
    </row>
    <row r="15" spans="2:63" s="43" customFormat="1" ht="30" customHeight="1" thickBot="1">
      <c r="B15" s="86">
        <v>8</v>
      </c>
      <c r="C15" s="84"/>
      <c r="D15" s="84"/>
      <c r="E15" s="84"/>
      <c r="F15" s="85"/>
      <c r="G15" s="85"/>
      <c r="H15" s="85"/>
      <c r="I15" s="84"/>
      <c r="J15" s="85"/>
      <c r="K15" s="85"/>
      <c r="L15" s="118">
        <f t="shared" si="0"/>
      </c>
      <c r="M15" s="84"/>
      <c r="N15" s="84"/>
      <c r="O15" s="118">
        <f t="shared" si="1"/>
      </c>
      <c r="P15" s="84"/>
      <c r="Q15" s="85"/>
      <c r="R15" s="85"/>
      <c r="S15" s="118">
        <f t="shared" si="2"/>
      </c>
      <c r="T15" s="84"/>
      <c r="U15" s="84"/>
      <c r="V15" s="84"/>
      <c r="W15" s="84"/>
      <c r="X15" s="84"/>
      <c r="Y15" s="118">
        <f t="shared" si="3"/>
      </c>
      <c r="Z15" s="118">
        <f t="shared" si="4"/>
      </c>
      <c r="AA15" s="85"/>
      <c r="AB15" s="84"/>
      <c r="AC15" s="85"/>
      <c r="AD15" s="85"/>
      <c r="AE15" s="118">
        <f t="shared" si="5"/>
      </c>
      <c r="AF15" s="84"/>
      <c r="AG15" s="84"/>
      <c r="AH15" s="118">
        <f t="shared" si="6"/>
      </c>
      <c r="AI15" s="84"/>
      <c r="AJ15" s="84"/>
      <c r="AK15" s="84"/>
      <c r="AL15" s="84"/>
      <c r="AM15" s="118">
        <f t="shared" si="7"/>
      </c>
      <c r="AN15" s="84"/>
      <c r="AO15" s="84"/>
      <c r="AP15" s="118">
        <f t="shared" si="8"/>
      </c>
      <c r="AQ15" s="84"/>
      <c r="AR15" s="84"/>
      <c r="AS15" s="84"/>
      <c r="AT15" s="84"/>
      <c r="AU15" s="84"/>
      <c r="AV15" s="118">
        <f t="shared" si="9"/>
      </c>
      <c r="AW15" s="84"/>
      <c r="AX15" s="84"/>
      <c r="AY15" s="84"/>
      <c r="AZ15" s="84"/>
      <c r="BA15" s="118">
        <f t="shared" si="10"/>
      </c>
      <c r="BB15" s="118">
        <f t="shared" si="11"/>
      </c>
      <c r="BC15" s="84"/>
      <c r="BD15" s="84"/>
      <c r="BE15" s="84"/>
      <c r="BF15" s="84"/>
      <c r="BG15" s="84"/>
      <c r="BH15" s="44"/>
      <c r="BJ15" s="94" t="s">
        <v>25</v>
      </c>
      <c r="BK15" s="96">
        <f>COUNTIF(Ethnicity,"White British")</f>
        <v>0</v>
      </c>
    </row>
    <row r="16" spans="2:63" s="43" customFormat="1" ht="30" customHeight="1" thickBot="1">
      <c r="B16" s="86">
        <v>9</v>
      </c>
      <c r="C16" s="84"/>
      <c r="D16" s="84"/>
      <c r="E16" s="84"/>
      <c r="F16" s="85"/>
      <c r="G16" s="85"/>
      <c r="H16" s="85"/>
      <c r="I16" s="84"/>
      <c r="J16" s="85"/>
      <c r="K16" s="85"/>
      <c r="L16" s="118">
        <f t="shared" si="0"/>
      </c>
      <c r="M16" s="84"/>
      <c r="N16" s="84"/>
      <c r="O16" s="118">
        <f t="shared" si="1"/>
      </c>
      <c r="P16" s="84"/>
      <c r="Q16" s="85"/>
      <c r="R16" s="85"/>
      <c r="S16" s="118">
        <f t="shared" si="2"/>
      </c>
      <c r="T16" s="84"/>
      <c r="U16" s="84"/>
      <c r="V16" s="84"/>
      <c r="W16" s="84"/>
      <c r="X16" s="84"/>
      <c r="Y16" s="118">
        <f t="shared" si="3"/>
      </c>
      <c r="Z16" s="118">
        <f t="shared" si="4"/>
      </c>
      <c r="AA16" s="85"/>
      <c r="AB16" s="84"/>
      <c r="AC16" s="85"/>
      <c r="AD16" s="85"/>
      <c r="AE16" s="118">
        <f t="shared" si="5"/>
      </c>
      <c r="AF16" s="84"/>
      <c r="AG16" s="84"/>
      <c r="AH16" s="118">
        <f t="shared" si="6"/>
      </c>
      <c r="AI16" s="84"/>
      <c r="AJ16" s="84"/>
      <c r="AK16" s="84"/>
      <c r="AL16" s="84"/>
      <c r="AM16" s="118">
        <f t="shared" si="7"/>
      </c>
      <c r="AN16" s="84"/>
      <c r="AO16" s="84"/>
      <c r="AP16" s="118">
        <f t="shared" si="8"/>
      </c>
      <c r="AQ16" s="84"/>
      <c r="AR16" s="84"/>
      <c r="AS16" s="84"/>
      <c r="AT16" s="84"/>
      <c r="AU16" s="84"/>
      <c r="AV16" s="118">
        <f t="shared" si="9"/>
      </c>
      <c r="AW16" s="84"/>
      <c r="AX16" s="84"/>
      <c r="AY16" s="84"/>
      <c r="AZ16" s="84"/>
      <c r="BA16" s="118">
        <f t="shared" si="10"/>
      </c>
      <c r="BB16" s="118">
        <f t="shared" si="11"/>
      </c>
      <c r="BC16" s="84"/>
      <c r="BD16" s="84"/>
      <c r="BE16" s="84"/>
      <c r="BF16" s="84"/>
      <c r="BG16" s="84"/>
      <c r="BH16" s="44"/>
      <c r="BJ16" s="94" t="s">
        <v>26</v>
      </c>
      <c r="BK16" s="96">
        <f>COUNTIF(Ethnicity,"White Irish")</f>
        <v>0</v>
      </c>
    </row>
    <row r="17" spans="2:63" s="43" customFormat="1" ht="30" customHeight="1" thickBot="1">
      <c r="B17" s="86">
        <v>10</v>
      </c>
      <c r="C17" s="84"/>
      <c r="D17" s="84"/>
      <c r="E17" s="84"/>
      <c r="F17" s="85"/>
      <c r="G17" s="85"/>
      <c r="H17" s="85"/>
      <c r="I17" s="84"/>
      <c r="J17" s="85"/>
      <c r="K17" s="85"/>
      <c r="L17" s="118">
        <f t="shared" si="0"/>
      </c>
      <c r="M17" s="84"/>
      <c r="N17" s="84"/>
      <c r="O17" s="118">
        <f t="shared" si="1"/>
      </c>
      <c r="P17" s="84"/>
      <c r="Q17" s="85"/>
      <c r="R17" s="85"/>
      <c r="S17" s="118">
        <f t="shared" si="2"/>
      </c>
      <c r="T17" s="84"/>
      <c r="U17" s="84"/>
      <c r="V17" s="84"/>
      <c r="W17" s="84"/>
      <c r="X17" s="84"/>
      <c r="Y17" s="118">
        <f t="shared" si="3"/>
      </c>
      <c r="Z17" s="118">
        <f t="shared" si="4"/>
      </c>
      <c r="AA17" s="85"/>
      <c r="AB17" s="84"/>
      <c r="AC17" s="85"/>
      <c r="AD17" s="85"/>
      <c r="AE17" s="118">
        <f t="shared" si="5"/>
      </c>
      <c r="AF17" s="84"/>
      <c r="AG17" s="84"/>
      <c r="AH17" s="118">
        <f t="shared" si="6"/>
      </c>
      <c r="AI17" s="84"/>
      <c r="AJ17" s="84"/>
      <c r="AK17" s="84"/>
      <c r="AL17" s="84"/>
      <c r="AM17" s="118">
        <f t="shared" si="7"/>
      </c>
      <c r="AN17" s="84"/>
      <c r="AO17" s="84"/>
      <c r="AP17" s="118">
        <f t="shared" si="8"/>
      </c>
      <c r="AQ17" s="84"/>
      <c r="AR17" s="84"/>
      <c r="AS17" s="84"/>
      <c r="AT17" s="84"/>
      <c r="AU17" s="84"/>
      <c r="AV17" s="118">
        <f t="shared" si="9"/>
      </c>
      <c r="AW17" s="84"/>
      <c r="AX17" s="84"/>
      <c r="AY17" s="84"/>
      <c r="AZ17" s="84"/>
      <c r="BA17" s="118">
        <f t="shared" si="10"/>
      </c>
      <c r="BB17" s="118">
        <f t="shared" si="11"/>
      </c>
      <c r="BC17" s="84"/>
      <c r="BD17" s="84"/>
      <c r="BE17" s="84"/>
      <c r="BF17" s="84"/>
      <c r="BG17" s="84"/>
      <c r="BH17" s="44"/>
      <c r="BJ17" s="94" t="s">
        <v>37</v>
      </c>
      <c r="BK17" s="96">
        <f>COUNTIF(Ethnicity,"Any other white background")</f>
        <v>0</v>
      </c>
    </row>
    <row r="18" spans="2:63" s="43" customFormat="1" ht="30" customHeight="1" thickBot="1">
      <c r="B18" s="86">
        <v>11</v>
      </c>
      <c r="C18" s="84"/>
      <c r="D18" s="84"/>
      <c r="E18" s="84"/>
      <c r="F18" s="85"/>
      <c r="G18" s="85"/>
      <c r="H18" s="85"/>
      <c r="I18" s="84"/>
      <c r="J18" s="85"/>
      <c r="K18" s="85"/>
      <c r="L18" s="118">
        <f t="shared" si="0"/>
      </c>
      <c r="M18" s="84"/>
      <c r="N18" s="84"/>
      <c r="O18" s="118">
        <f t="shared" si="1"/>
      </c>
      <c r="P18" s="84"/>
      <c r="Q18" s="85"/>
      <c r="R18" s="85"/>
      <c r="S18" s="118">
        <f t="shared" si="2"/>
      </c>
      <c r="T18" s="84"/>
      <c r="U18" s="84"/>
      <c r="V18" s="84"/>
      <c r="W18" s="84"/>
      <c r="X18" s="84"/>
      <c r="Y18" s="118">
        <f t="shared" si="3"/>
      </c>
      <c r="Z18" s="118">
        <f t="shared" si="4"/>
      </c>
      <c r="AA18" s="85"/>
      <c r="AB18" s="84"/>
      <c r="AC18" s="85"/>
      <c r="AD18" s="85"/>
      <c r="AE18" s="118">
        <f t="shared" si="5"/>
      </c>
      <c r="AF18" s="84"/>
      <c r="AG18" s="84"/>
      <c r="AH18" s="118">
        <f t="shared" si="6"/>
      </c>
      <c r="AI18" s="84"/>
      <c r="AJ18" s="84"/>
      <c r="AK18" s="84"/>
      <c r="AL18" s="84"/>
      <c r="AM18" s="118">
        <f t="shared" si="7"/>
      </c>
      <c r="AN18" s="84"/>
      <c r="AO18" s="84"/>
      <c r="AP18" s="118">
        <f t="shared" si="8"/>
      </c>
      <c r="AQ18" s="84"/>
      <c r="AR18" s="84"/>
      <c r="AS18" s="84"/>
      <c r="AT18" s="84"/>
      <c r="AU18" s="84"/>
      <c r="AV18" s="118">
        <f t="shared" si="9"/>
      </c>
      <c r="AW18" s="84"/>
      <c r="AX18" s="84"/>
      <c r="AY18" s="84"/>
      <c r="AZ18" s="84"/>
      <c r="BA18" s="118">
        <f t="shared" si="10"/>
      </c>
      <c r="BB18" s="118">
        <f t="shared" si="11"/>
      </c>
      <c r="BC18" s="84"/>
      <c r="BD18" s="84"/>
      <c r="BE18" s="84"/>
      <c r="BF18" s="84"/>
      <c r="BG18" s="84"/>
      <c r="BH18" s="44"/>
      <c r="BJ18" s="94" t="s">
        <v>33</v>
      </c>
      <c r="BK18" s="96">
        <f>COUNTIF(Ethnicity,"Mixed: White and black Caribbean")</f>
        <v>0</v>
      </c>
    </row>
    <row r="19" spans="2:63" s="43" customFormat="1" ht="30" customHeight="1" thickBot="1">
      <c r="B19" s="86">
        <v>12</v>
      </c>
      <c r="C19" s="84"/>
      <c r="D19" s="84"/>
      <c r="E19" s="84"/>
      <c r="F19" s="84"/>
      <c r="G19" s="84"/>
      <c r="H19" s="84"/>
      <c r="I19" s="84"/>
      <c r="J19" s="84"/>
      <c r="K19" s="84"/>
      <c r="L19" s="118">
        <f t="shared" si="0"/>
      </c>
      <c r="M19" s="84"/>
      <c r="N19" s="84"/>
      <c r="O19" s="118">
        <f t="shared" si="1"/>
      </c>
      <c r="P19" s="84"/>
      <c r="Q19" s="84"/>
      <c r="R19" s="84"/>
      <c r="S19" s="118">
        <f t="shared" si="2"/>
      </c>
      <c r="T19" s="84"/>
      <c r="U19" s="84"/>
      <c r="V19" s="84"/>
      <c r="W19" s="84"/>
      <c r="X19" s="84"/>
      <c r="Y19" s="118">
        <f t="shared" si="3"/>
      </c>
      <c r="Z19" s="118">
        <f t="shared" si="4"/>
      </c>
      <c r="AA19" s="84"/>
      <c r="AB19" s="84"/>
      <c r="AC19" s="84"/>
      <c r="AD19" s="84"/>
      <c r="AE19" s="118">
        <f t="shared" si="5"/>
      </c>
      <c r="AF19" s="84"/>
      <c r="AG19" s="84"/>
      <c r="AH19" s="118">
        <f t="shared" si="6"/>
      </c>
      <c r="AI19" s="84"/>
      <c r="AJ19" s="84"/>
      <c r="AK19" s="84"/>
      <c r="AL19" s="84"/>
      <c r="AM19" s="118">
        <f t="shared" si="7"/>
      </c>
      <c r="AN19" s="84"/>
      <c r="AO19" s="84"/>
      <c r="AP19" s="118">
        <f t="shared" si="8"/>
      </c>
      <c r="AQ19" s="84"/>
      <c r="AR19" s="84"/>
      <c r="AS19" s="84"/>
      <c r="AT19" s="84"/>
      <c r="AU19" s="84"/>
      <c r="AV19" s="118">
        <f t="shared" si="9"/>
      </c>
      <c r="AW19" s="84"/>
      <c r="AX19" s="84"/>
      <c r="AY19" s="84"/>
      <c r="AZ19" s="84"/>
      <c r="BA19" s="118">
        <f t="shared" si="10"/>
      </c>
      <c r="BB19" s="118">
        <f t="shared" si="11"/>
      </c>
      <c r="BC19" s="84"/>
      <c r="BD19" s="84"/>
      <c r="BE19" s="84"/>
      <c r="BF19" s="84"/>
      <c r="BG19" s="84"/>
      <c r="BH19" s="44"/>
      <c r="BJ19" s="94" t="s">
        <v>34</v>
      </c>
      <c r="BK19" s="96">
        <f>COUNTIF(Ethnicity,"Mixed: White and black African")</f>
        <v>0</v>
      </c>
    </row>
    <row r="20" spans="2:63" s="43" customFormat="1" ht="30" customHeight="1" thickBot="1">
      <c r="B20" s="86">
        <v>13</v>
      </c>
      <c r="C20" s="84"/>
      <c r="D20" s="84"/>
      <c r="E20" s="84"/>
      <c r="F20" s="84"/>
      <c r="G20" s="84"/>
      <c r="H20" s="84"/>
      <c r="I20" s="84"/>
      <c r="J20" s="84"/>
      <c r="K20" s="84"/>
      <c r="L20" s="118">
        <f t="shared" si="0"/>
      </c>
      <c r="M20" s="84"/>
      <c r="N20" s="84"/>
      <c r="O20" s="118">
        <f t="shared" si="1"/>
      </c>
      <c r="P20" s="84"/>
      <c r="Q20" s="84"/>
      <c r="R20" s="84"/>
      <c r="S20" s="118">
        <f t="shared" si="2"/>
      </c>
      <c r="T20" s="84"/>
      <c r="U20" s="84"/>
      <c r="V20" s="84"/>
      <c r="W20" s="84"/>
      <c r="X20" s="84"/>
      <c r="Y20" s="118">
        <f t="shared" si="3"/>
      </c>
      <c r="Z20" s="118">
        <f t="shared" si="4"/>
      </c>
      <c r="AA20" s="84"/>
      <c r="AB20" s="84"/>
      <c r="AC20" s="84"/>
      <c r="AD20" s="84"/>
      <c r="AE20" s="118">
        <f t="shared" si="5"/>
      </c>
      <c r="AF20" s="84"/>
      <c r="AG20" s="84"/>
      <c r="AH20" s="118">
        <f t="shared" si="6"/>
      </c>
      <c r="AI20" s="84"/>
      <c r="AJ20" s="84"/>
      <c r="AK20" s="84"/>
      <c r="AL20" s="84"/>
      <c r="AM20" s="118">
        <f t="shared" si="7"/>
      </c>
      <c r="AN20" s="84"/>
      <c r="AO20" s="84"/>
      <c r="AP20" s="118">
        <f t="shared" si="8"/>
      </c>
      <c r="AQ20" s="84"/>
      <c r="AR20" s="84"/>
      <c r="AS20" s="84"/>
      <c r="AT20" s="84"/>
      <c r="AU20" s="84"/>
      <c r="AV20" s="118">
        <f t="shared" si="9"/>
      </c>
      <c r="AW20" s="84"/>
      <c r="AX20" s="84"/>
      <c r="AY20" s="84"/>
      <c r="AZ20" s="84"/>
      <c r="BA20" s="118">
        <f t="shared" si="10"/>
      </c>
      <c r="BB20" s="118">
        <f t="shared" si="11"/>
      </c>
      <c r="BC20" s="84"/>
      <c r="BD20" s="84"/>
      <c r="BE20" s="84"/>
      <c r="BF20" s="84"/>
      <c r="BG20" s="84"/>
      <c r="BH20" s="44"/>
      <c r="BJ20" s="94" t="s">
        <v>27</v>
      </c>
      <c r="BK20" s="96">
        <f>COUNTIF(Ethnicity,"Mixed: White and Asian")</f>
        <v>0</v>
      </c>
    </row>
    <row r="21" spans="2:63" s="43" customFormat="1" ht="30" customHeight="1" thickBot="1">
      <c r="B21" s="86">
        <v>14</v>
      </c>
      <c r="C21" s="84"/>
      <c r="D21" s="84"/>
      <c r="E21" s="84"/>
      <c r="F21" s="84"/>
      <c r="G21" s="84"/>
      <c r="H21" s="84"/>
      <c r="I21" s="84"/>
      <c r="J21" s="84"/>
      <c r="K21" s="84"/>
      <c r="L21" s="118">
        <f t="shared" si="0"/>
      </c>
      <c r="M21" s="84"/>
      <c r="N21" s="84"/>
      <c r="O21" s="118">
        <f t="shared" si="1"/>
      </c>
      <c r="P21" s="84"/>
      <c r="Q21" s="84"/>
      <c r="R21" s="84"/>
      <c r="S21" s="118">
        <f t="shared" si="2"/>
      </c>
      <c r="T21" s="84"/>
      <c r="U21" s="84"/>
      <c r="V21" s="84"/>
      <c r="W21" s="84"/>
      <c r="X21" s="84"/>
      <c r="Y21" s="118">
        <f t="shared" si="3"/>
      </c>
      <c r="Z21" s="118">
        <f t="shared" si="4"/>
      </c>
      <c r="AA21" s="84"/>
      <c r="AB21" s="84"/>
      <c r="AC21" s="84"/>
      <c r="AD21" s="84"/>
      <c r="AE21" s="118">
        <f t="shared" si="5"/>
      </c>
      <c r="AF21" s="84"/>
      <c r="AG21" s="84"/>
      <c r="AH21" s="118">
        <f t="shared" si="6"/>
      </c>
      <c r="AI21" s="84"/>
      <c r="AJ21" s="84"/>
      <c r="AK21" s="84"/>
      <c r="AL21" s="84"/>
      <c r="AM21" s="118">
        <f t="shared" si="7"/>
      </c>
      <c r="AN21" s="84"/>
      <c r="AO21" s="84"/>
      <c r="AP21" s="118">
        <f t="shared" si="8"/>
      </c>
      <c r="AQ21" s="84"/>
      <c r="AR21" s="84"/>
      <c r="AS21" s="84"/>
      <c r="AT21" s="84"/>
      <c r="AU21" s="84"/>
      <c r="AV21" s="118">
        <f t="shared" si="9"/>
      </c>
      <c r="AW21" s="84"/>
      <c r="AX21" s="84"/>
      <c r="AY21" s="84"/>
      <c r="AZ21" s="84"/>
      <c r="BA21" s="118">
        <f t="shared" si="10"/>
      </c>
      <c r="BB21" s="118">
        <f t="shared" si="11"/>
      </c>
      <c r="BC21" s="84"/>
      <c r="BD21" s="84"/>
      <c r="BE21" s="84"/>
      <c r="BF21" s="84"/>
      <c r="BG21" s="84"/>
      <c r="BH21" s="44"/>
      <c r="BJ21" s="94" t="s">
        <v>38</v>
      </c>
      <c r="BK21" s="96">
        <f>COUNTIF(Ethnicity,"Any other mixed background")</f>
        <v>0</v>
      </c>
    </row>
    <row r="22" spans="2:63" s="43" customFormat="1" ht="30" customHeight="1" thickBot="1">
      <c r="B22" s="86">
        <v>15</v>
      </c>
      <c r="C22" s="84"/>
      <c r="D22" s="84"/>
      <c r="E22" s="84"/>
      <c r="F22" s="84"/>
      <c r="G22" s="84"/>
      <c r="H22" s="84"/>
      <c r="I22" s="84"/>
      <c r="J22" s="84"/>
      <c r="K22" s="84"/>
      <c r="L22" s="118">
        <f t="shared" si="0"/>
      </c>
      <c r="M22" s="84"/>
      <c r="N22" s="84"/>
      <c r="O22" s="118">
        <f t="shared" si="1"/>
      </c>
      <c r="P22" s="84"/>
      <c r="Q22" s="84"/>
      <c r="R22" s="84"/>
      <c r="S22" s="118">
        <f t="shared" si="2"/>
      </c>
      <c r="T22" s="84"/>
      <c r="U22" s="84"/>
      <c r="V22" s="84"/>
      <c r="W22" s="84"/>
      <c r="X22" s="84"/>
      <c r="Y22" s="118">
        <f t="shared" si="3"/>
      </c>
      <c r="Z22" s="118">
        <f t="shared" si="4"/>
      </c>
      <c r="AA22" s="84"/>
      <c r="AB22" s="84"/>
      <c r="AC22" s="84"/>
      <c r="AD22" s="84"/>
      <c r="AE22" s="118">
        <f t="shared" si="5"/>
      </c>
      <c r="AF22" s="84"/>
      <c r="AG22" s="84"/>
      <c r="AH22" s="118">
        <f t="shared" si="6"/>
      </c>
      <c r="AI22" s="84"/>
      <c r="AJ22" s="84"/>
      <c r="AK22" s="84"/>
      <c r="AL22" s="84"/>
      <c r="AM22" s="118">
        <f t="shared" si="7"/>
      </c>
      <c r="AN22" s="84"/>
      <c r="AO22" s="84"/>
      <c r="AP22" s="118">
        <f t="shared" si="8"/>
      </c>
      <c r="AQ22" s="84"/>
      <c r="AR22" s="84"/>
      <c r="AS22" s="84"/>
      <c r="AT22" s="84"/>
      <c r="AU22" s="84"/>
      <c r="AV22" s="118">
        <f t="shared" si="9"/>
      </c>
      <c r="AW22" s="84"/>
      <c r="AX22" s="84"/>
      <c r="AY22" s="84"/>
      <c r="AZ22" s="84"/>
      <c r="BA22" s="118">
        <f t="shared" si="10"/>
      </c>
      <c r="BB22" s="118">
        <f t="shared" si="11"/>
      </c>
      <c r="BC22" s="84"/>
      <c r="BD22" s="84"/>
      <c r="BE22" s="84"/>
      <c r="BF22" s="84"/>
      <c r="BG22" s="84"/>
      <c r="BH22" s="44"/>
      <c r="BJ22" s="94" t="s">
        <v>28</v>
      </c>
      <c r="BK22" s="96">
        <f>COUNTIF(Ethnicity,"Asian or Asian British: Indian")</f>
        <v>0</v>
      </c>
    </row>
    <row r="23" spans="2:63" s="43" customFormat="1" ht="30" customHeight="1" thickBot="1">
      <c r="B23" s="86">
        <v>16</v>
      </c>
      <c r="C23" s="84"/>
      <c r="D23" s="84"/>
      <c r="E23" s="84"/>
      <c r="F23" s="84"/>
      <c r="G23" s="84"/>
      <c r="H23" s="84"/>
      <c r="I23" s="84"/>
      <c r="J23" s="84"/>
      <c r="K23" s="84"/>
      <c r="L23" s="118">
        <f t="shared" si="0"/>
      </c>
      <c r="M23" s="84"/>
      <c r="N23" s="84"/>
      <c r="O23" s="118">
        <f t="shared" si="1"/>
      </c>
      <c r="P23" s="84"/>
      <c r="Q23" s="84"/>
      <c r="R23" s="84"/>
      <c r="S23" s="118">
        <f t="shared" si="2"/>
      </c>
      <c r="T23" s="84"/>
      <c r="U23" s="84"/>
      <c r="V23" s="84"/>
      <c r="W23" s="84"/>
      <c r="X23" s="84"/>
      <c r="Y23" s="118">
        <f t="shared" si="3"/>
      </c>
      <c r="Z23" s="118">
        <f t="shared" si="4"/>
      </c>
      <c r="AA23" s="84"/>
      <c r="AB23" s="84"/>
      <c r="AC23" s="84"/>
      <c r="AD23" s="84"/>
      <c r="AE23" s="118">
        <f t="shared" si="5"/>
      </c>
      <c r="AF23" s="84"/>
      <c r="AG23" s="84"/>
      <c r="AH23" s="118">
        <f t="shared" si="6"/>
      </c>
      <c r="AI23" s="84"/>
      <c r="AJ23" s="84"/>
      <c r="AK23" s="84"/>
      <c r="AL23" s="84"/>
      <c r="AM23" s="118">
        <f t="shared" si="7"/>
      </c>
      <c r="AN23" s="84"/>
      <c r="AO23" s="84"/>
      <c r="AP23" s="118">
        <f t="shared" si="8"/>
      </c>
      <c r="AQ23" s="84"/>
      <c r="AR23" s="84"/>
      <c r="AS23" s="84"/>
      <c r="AT23" s="84"/>
      <c r="AU23" s="84"/>
      <c r="AV23" s="118">
        <f t="shared" si="9"/>
      </c>
      <c r="AW23" s="84"/>
      <c r="AX23" s="84"/>
      <c r="AY23" s="84"/>
      <c r="AZ23" s="84"/>
      <c r="BA23" s="118">
        <f t="shared" si="10"/>
      </c>
      <c r="BB23" s="118">
        <f t="shared" si="11"/>
      </c>
      <c r="BC23" s="84"/>
      <c r="BD23" s="84"/>
      <c r="BE23" s="84"/>
      <c r="BF23" s="84"/>
      <c r="BG23" s="84"/>
      <c r="BH23" s="44"/>
      <c r="BJ23" s="94" t="s">
        <v>29</v>
      </c>
      <c r="BK23" s="96">
        <f>COUNTIF(Ethnicity,"Asian or Asian British: Pakistani")</f>
        <v>0</v>
      </c>
    </row>
    <row r="24" spans="2:63" s="43" customFormat="1" ht="30" customHeight="1" thickBot="1">
      <c r="B24" s="86">
        <v>17</v>
      </c>
      <c r="C24" s="84"/>
      <c r="D24" s="84"/>
      <c r="E24" s="84"/>
      <c r="F24" s="84"/>
      <c r="G24" s="84"/>
      <c r="H24" s="84"/>
      <c r="I24" s="84"/>
      <c r="J24" s="84"/>
      <c r="K24" s="84"/>
      <c r="L24" s="118">
        <f t="shared" si="0"/>
      </c>
      <c r="M24" s="84"/>
      <c r="N24" s="84"/>
      <c r="O24" s="118">
        <f t="shared" si="1"/>
      </c>
      <c r="P24" s="84"/>
      <c r="Q24" s="84"/>
      <c r="R24" s="84"/>
      <c r="S24" s="118">
        <f t="shared" si="2"/>
      </c>
      <c r="T24" s="84"/>
      <c r="U24" s="84"/>
      <c r="V24" s="84"/>
      <c r="W24" s="84"/>
      <c r="X24" s="84"/>
      <c r="Y24" s="118">
        <f t="shared" si="3"/>
      </c>
      <c r="Z24" s="118">
        <f t="shared" si="4"/>
      </c>
      <c r="AA24" s="84"/>
      <c r="AB24" s="84"/>
      <c r="AC24" s="84"/>
      <c r="AD24" s="84"/>
      <c r="AE24" s="118">
        <f t="shared" si="5"/>
      </c>
      <c r="AF24" s="84"/>
      <c r="AG24" s="84"/>
      <c r="AH24" s="118">
        <f t="shared" si="6"/>
      </c>
      <c r="AI24" s="84"/>
      <c r="AJ24" s="84"/>
      <c r="AK24" s="84"/>
      <c r="AL24" s="84"/>
      <c r="AM24" s="118">
        <f t="shared" si="7"/>
      </c>
      <c r="AN24" s="84"/>
      <c r="AO24" s="84"/>
      <c r="AP24" s="118">
        <f t="shared" si="8"/>
      </c>
      <c r="AQ24" s="84"/>
      <c r="AR24" s="84"/>
      <c r="AS24" s="84"/>
      <c r="AT24" s="84"/>
      <c r="AU24" s="84"/>
      <c r="AV24" s="118">
        <f t="shared" si="9"/>
      </c>
      <c r="AW24" s="84"/>
      <c r="AX24" s="84"/>
      <c r="AY24" s="84"/>
      <c r="AZ24" s="84"/>
      <c r="BA24" s="118">
        <f t="shared" si="10"/>
      </c>
      <c r="BB24" s="118">
        <f t="shared" si="11"/>
      </c>
      <c r="BC24" s="84"/>
      <c r="BD24" s="84"/>
      <c r="BE24" s="84"/>
      <c r="BF24" s="84"/>
      <c r="BG24" s="84"/>
      <c r="BH24" s="44"/>
      <c r="BJ24" s="94" t="s">
        <v>30</v>
      </c>
      <c r="BK24" s="96">
        <f>COUNTIF(Ethnicity,"Asian or Asian British: Bangladeshi")</f>
        <v>0</v>
      </c>
    </row>
    <row r="25" spans="2:63" s="43" customFormat="1" ht="30" customHeight="1" thickBot="1">
      <c r="B25" s="86">
        <v>18</v>
      </c>
      <c r="C25" s="84"/>
      <c r="D25" s="84"/>
      <c r="E25" s="84"/>
      <c r="F25" s="84"/>
      <c r="G25" s="84"/>
      <c r="H25" s="84"/>
      <c r="I25" s="84"/>
      <c r="J25" s="84"/>
      <c r="K25" s="84"/>
      <c r="L25" s="118">
        <f t="shared" si="0"/>
      </c>
      <c r="M25" s="84"/>
      <c r="N25" s="84"/>
      <c r="O25" s="118">
        <f t="shared" si="1"/>
      </c>
      <c r="P25" s="84"/>
      <c r="Q25" s="84"/>
      <c r="R25" s="84"/>
      <c r="S25" s="118">
        <f t="shared" si="2"/>
      </c>
      <c r="T25" s="84"/>
      <c r="U25" s="84"/>
      <c r="V25" s="84"/>
      <c r="W25" s="84"/>
      <c r="X25" s="84"/>
      <c r="Y25" s="118">
        <f t="shared" si="3"/>
      </c>
      <c r="Z25" s="118">
        <f t="shared" si="4"/>
      </c>
      <c r="AA25" s="84"/>
      <c r="AB25" s="84"/>
      <c r="AC25" s="84"/>
      <c r="AD25" s="84"/>
      <c r="AE25" s="118">
        <f t="shared" si="5"/>
      </c>
      <c r="AF25" s="84"/>
      <c r="AG25" s="84"/>
      <c r="AH25" s="118">
        <f t="shared" si="6"/>
      </c>
      <c r="AI25" s="84"/>
      <c r="AJ25" s="84"/>
      <c r="AK25" s="84"/>
      <c r="AL25" s="84"/>
      <c r="AM25" s="118">
        <f t="shared" si="7"/>
      </c>
      <c r="AN25" s="84"/>
      <c r="AO25" s="84"/>
      <c r="AP25" s="118">
        <f t="shared" si="8"/>
      </c>
      <c r="AQ25" s="84"/>
      <c r="AR25" s="84"/>
      <c r="AS25" s="84"/>
      <c r="AT25" s="84"/>
      <c r="AU25" s="84"/>
      <c r="AV25" s="118">
        <f t="shared" si="9"/>
      </c>
      <c r="AW25" s="84"/>
      <c r="AX25" s="84"/>
      <c r="AY25" s="84"/>
      <c r="AZ25" s="84"/>
      <c r="BA25" s="118">
        <f t="shared" si="10"/>
      </c>
      <c r="BB25" s="118">
        <f t="shared" si="11"/>
      </c>
      <c r="BC25" s="84"/>
      <c r="BD25" s="84"/>
      <c r="BE25" s="84"/>
      <c r="BF25" s="84"/>
      <c r="BG25" s="84"/>
      <c r="BH25" s="44"/>
      <c r="BJ25" s="94" t="s">
        <v>39</v>
      </c>
      <c r="BK25" s="96">
        <f>COUNTIF(Ethnicity,"Any other Asian background")</f>
        <v>0</v>
      </c>
    </row>
    <row r="26" spans="2:63" s="43" customFormat="1" ht="30" customHeight="1" thickBot="1">
      <c r="B26" s="86">
        <v>19</v>
      </c>
      <c r="C26" s="84"/>
      <c r="D26" s="84"/>
      <c r="E26" s="84"/>
      <c r="F26" s="84"/>
      <c r="G26" s="84"/>
      <c r="H26" s="84"/>
      <c r="I26" s="84"/>
      <c r="J26" s="84"/>
      <c r="K26" s="84"/>
      <c r="L26" s="118">
        <f t="shared" si="0"/>
      </c>
      <c r="M26" s="84"/>
      <c r="N26" s="84"/>
      <c r="O26" s="118">
        <f t="shared" si="1"/>
      </c>
      <c r="P26" s="84"/>
      <c r="Q26" s="84"/>
      <c r="R26" s="84"/>
      <c r="S26" s="118">
        <f t="shared" si="2"/>
      </c>
      <c r="T26" s="84"/>
      <c r="U26" s="84"/>
      <c r="V26" s="84"/>
      <c r="W26" s="84"/>
      <c r="X26" s="84"/>
      <c r="Y26" s="118">
        <f t="shared" si="3"/>
      </c>
      <c r="Z26" s="118">
        <f t="shared" si="4"/>
      </c>
      <c r="AA26" s="84"/>
      <c r="AB26" s="84"/>
      <c r="AC26" s="84"/>
      <c r="AD26" s="84"/>
      <c r="AE26" s="118">
        <f t="shared" si="5"/>
      </c>
      <c r="AF26" s="84"/>
      <c r="AG26" s="84"/>
      <c r="AH26" s="118">
        <f t="shared" si="6"/>
      </c>
      <c r="AI26" s="84"/>
      <c r="AJ26" s="84"/>
      <c r="AK26" s="84"/>
      <c r="AL26" s="84"/>
      <c r="AM26" s="118">
        <f t="shared" si="7"/>
      </c>
      <c r="AN26" s="84"/>
      <c r="AO26" s="84"/>
      <c r="AP26" s="118">
        <f t="shared" si="8"/>
      </c>
      <c r="AQ26" s="84"/>
      <c r="AR26" s="84"/>
      <c r="AS26" s="84"/>
      <c r="AT26" s="84"/>
      <c r="AU26" s="84"/>
      <c r="AV26" s="118">
        <f t="shared" si="9"/>
      </c>
      <c r="AW26" s="84"/>
      <c r="AX26" s="84"/>
      <c r="AY26" s="84"/>
      <c r="AZ26" s="84"/>
      <c r="BA26" s="118">
        <f t="shared" si="10"/>
      </c>
      <c r="BB26" s="118">
        <f t="shared" si="11"/>
      </c>
      <c r="BC26" s="84"/>
      <c r="BD26" s="84"/>
      <c r="BE26" s="84"/>
      <c r="BF26" s="84"/>
      <c r="BG26" s="84"/>
      <c r="BH26" s="44"/>
      <c r="BJ26" s="94" t="s">
        <v>35</v>
      </c>
      <c r="BK26" s="96">
        <f>COUNTIF(Ethnicity,"Black or black British: Caribbean")</f>
        <v>0</v>
      </c>
    </row>
    <row r="27" spans="2:63" s="43" customFormat="1" ht="30" customHeight="1" thickBot="1">
      <c r="B27" s="86">
        <v>20</v>
      </c>
      <c r="C27" s="84"/>
      <c r="D27" s="84"/>
      <c r="E27" s="84"/>
      <c r="F27" s="84"/>
      <c r="G27" s="84"/>
      <c r="H27" s="84"/>
      <c r="I27" s="84"/>
      <c r="J27" s="84"/>
      <c r="K27" s="84"/>
      <c r="L27" s="118">
        <f t="shared" si="0"/>
      </c>
      <c r="M27" s="84"/>
      <c r="N27" s="84"/>
      <c r="O27" s="118">
        <f t="shared" si="1"/>
      </c>
      <c r="P27" s="84"/>
      <c r="Q27" s="84"/>
      <c r="R27" s="84"/>
      <c r="S27" s="118">
        <f t="shared" si="2"/>
      </c>
      <c r="T27" s="84"/>
      <c r="U27" s="84"/>
      <c r="V27" s="84"/>
      <c r="W27" s="84"/>
      <c r="X27" s="84"/>
      <c r="Y27" s="118">
        <f t="shared" si="3"/>
      </c>
      <c r="Z27" s="118">
        <f t="shared" si="4"/>
      </c>
      <c r="AA27" s="84"/>
      <c r="AB27" s="84"/>
      <c r="AC27" s="84"/>
      <c r="AD27" s="84"/>
      <c r="AE27" s="118">
        <f t="shared" si="5"/>
      </c>
      <c r="AF27" s="84"/>
      <c r="AG27" s="84"/>
      <c r="AH27" s="118">
        <f t="shared" si="6"/>
      </c>
      <c r="AI27" s="84"/>
      <c r="AJ27" s="84"/>
      <c r="AK27" s="84"/>
      <c r="AL27" s="84"/>
      <c r="AM27" s="118">
        <f t="shared" si="7"/>
      </c>
      <c r="AN27" s="84"/>
      <c r="AO27" s="84"/>
      <c r="AP27" s="118">
        <f t="shared" si="8"/>
      </c>
      <c r="AQ27" s="84"/>
      <c r="AR27" s="84"/>
      <c r="AS27" s="84"/>
      <c r="AT27" s="84"/>
      <c r="AU27" s="84"/>
      <c r="AV27" s="118">
        <f t="shared" si="9"/>
      </c>
      <c r="AW27" s="84"/>
      <c r="AX27" s="84"/>
      <c r="AY27" s="84"/>
      <c r="AZ27" s="84"/>
      <c r="BA27" s="118">
        <f t="shared" si="10"/>
      </c>
      <c r="BB27" s="118">
        <f t="shared" si="11"/>
      </c>
      <c r="BC27" s="84"/>
      <c r="BD27" s="84"/>
      <c r="BE27" s="84"/>
      <c r="BF27" s="84"/>
      <c r="BG27" s="84"/>
      <c r="BH27" s="44"/>
      <c r="BJ27" s="94" t="s">
        <v>36</v>
      </c>
      <c r="BK27" s="96">
        <f>COUNTIF(Ethnicity,"Black or black British: African")</f>
        <v>0</v>
      </c>
    </row>
    <row r="28" spans="2:63" s="43" customFormat="1" ht="30" customHeight="1" thickBot="1">
      <c r="B28" s="86">
        <v>21</v>
      </c>
      <c r="C28" s="84"/>
      <c r="D28" s="84"/>
      <c r="E28" s="84"/>
      <c r="F28" s="84"/>
      <c r="G28" s="84"/>
      <c r="H28" s="84"/>
      <c r="I28" s="84"/>
      <c r="J28" s="84"/>
      <c r="K28" s="84"/>
      <c r="L28" s="118">
        <f t="shared" si="0"/>
      </c>
      <c r="M28" s="84"/>
      <c r="N28" s="84"/>
      <c r="O28" s="118">
        <f t="shared" si="1"/>
      </c>
      <c r="P28" s="84"/>
      <c r="Q28" s="84"/>
      <c r="R28" s="84"/>
      <c r="S28" s="118">
        <f t="shared" si="2"/>
      </c>
      <c r="T28" s="84"/>
      <c r="U28" s="84"/>
      <c r="V28" s="84"/>
      <c r="W28" s="84"/>
      <c r="X28" s="84"/>
      <c r="Y28" s="118">
        <f t="shared" si="3"/>
      </c>
      <c r="Z28" s="118">
        <f t="shared" si="4"/>
      </c>
      <c r="AA28" s="84"/>
      <c r="AB28" s="84"/>
      <c r="AC28" s="84"/>
      <c r="AD28" s="84"/>
      <c r="AE28" s="118">
        <f t="shared" si="5"/>
      </c>
      <c r="AF28" s="84"/>
      <c r="AG28" s="84"/>
      <c r="AH28" s="118">
        <f t="shared" si="6"/>
      </c>
      <c r="AI28" s="84"/>
      <c r="AJ28" s="84"/>
      <c r="AK28" s="84"/>
      <c r="AL28" s="84"/>
      <c r="AM28" s="118">
        <f t="shared" si="7"/>
      </c>
      <c r="AN28" s="84"/>
      <c r="AO28" s="84"/>
      <c r="AP28" s="118">
        <f t="shared" si="8"/>
      </c>
      <c r="AQ28" s="84"/>
      <c r="AR28" s="84"/>
      <c r="AS28" s="84"/>
      <c r="AT28" s="84"/>
      <c r="AU28" s="84"/>
      <c r="AV28" s="118">
        <f t="shared" si="9"/>
      </c>
      <c r="AW28" s="84"/>
      <c r="AX28" s="84"/>
      <c r="AY28" s="84"/>
      <c r="AZ28" s="84"/>
      <c r="BA28" s="118">
        <f t="shared" si="10"/>
      </c>
      <c r="BB28" s="118">
        <f t="shared" si="11"/>
      </c>
      <c r="BC28" s="84"/>
      <c r="BD28" s="84"/>
      <c r="BE28" s="84"/>
      <c r="BF28" s="84"/>
      <c r="BG28" s="84"/>
      <c r="BH28" s="44"/>
      <c r="BJ28" s="94" t="s">
        <v>40</v>
      </c>
      <c r="BK28" s="96">
        <f>COUNTIF(Ethnicity,"Any other black background")</f>
        <v>0</v>
      </c>
    </row>
    <row r="29" spans="2:63" s="43" customFormat="1" ht="30" customHeight="1" thickBot="1">
      <c r="B29" s="86">
        <v>22</v>
      </c>
      <c r="C29" s="84"/>
      <c r="D29" s="84"/>
      <c r="E29" s="84"/>
      <c r="F29" s="84"/>
      <c r="G29" s="84"/>
      <c r="H29" s="84"/>
      <c r="I29" s="84"/>
      <c r="J29" s="84"/>
      <c r="K29" s="84"/>
      <c r="L29" s="118">
        <f t="shared" si="0"/>
      </c>
      <c r="M29" s="84"/>
      <c r="N29" s="84"/>
      <c r="O29" s="118">
        <f t="shared" si="1"/>
      </c>
      <c r="P29" s="84"/>
      <c r="Q29" s="84"/>
      <c r="R29" s="84"/>
      <c r="S29" s="118">
        <f t="shared" si="2"/>
      </c>
      <c r="T29" s="84"/>
      <c r="U29" s="84"/>
      <c r="V29" s="84"/>
      <c r="W29" s="84"/>
      <c r="X29" s="84"/>
      <c r="Y29" s="118">
        <f t="shared" si="3"/>
      </c>
      <c r="Z29" s="118">
        <f t="shared" si="4"/>
      </c>
      <c r="AA29" s="84"/>
      <c r="AB29" s="84"/>
      <c r="AC29" s="84"/>
      <c r="AD29" s="84"/>
      <c r="AE29" s="118">
        <f t="shared" si="5"/>
      </c>
      <c r="AF29" s="84"/>
      <c r="AG29" s="84"/>
      <c r="AH29" s="118">
        <f t="shared" si="6"/>
      </c>
      <c r="AI29" s="84"/>
      <c r="AJ29" s="84"/>
      <c r="AK29" s="84"/>
      <c r="AL29" s="84"/>
      <c r="AM29" s="118">
        <f t="shared" si="7"/>
      </c>
      <c r="AN29" s="84"/>
      <c r="AO29" s="84"/>
      <c r="AP29" s="118">
        <f t="shared" si="8"/>
      </c>
      <c r="AQ29" s="84"/>
      <c r="AR29" s="84"/>
      <c r="AS29" s="84"/>
      <c r="AT29" s="84"/>
      <c r="AU29" s="84"/>
      <c r="AV29" s="118">
        <f t="shared" si="9"/>
      </c>
      <c r="AW29" s="84"/>
      <c r="AX29" s="84"/>
      <c r="AY29" s="84"/>
      <c r="AZ29" s="84"/>
      <c r="BA29" s="118">
        <f t="shared" si="10"/>
      </c>
      <c r="BB29" s="118">
        <f t="shared" si="11"/>
      </c>
      <c r="BC29" s="84"/>
      <c r="BD29" s="84"/>
      <c r="BE29" s="84"/>
      <c r="BF29" s="84"/>
      <c r="BG29" s="84"/>
      <c r="BH29" s="44"/>
      <c r="BJ29" s="94" t="s">
        <v>31</v>
      </c>
      <c r="BK29" s="96">
        <f>COUNTIF(Ethnicity,"Chinese")</f>
        <v>0</v>
      </c>
    </row>
    <row r="30" spans="2:63" s="43" customFormat="1" ht="30" customHeight="1" thickBot="1">
      <c r="B30" s="86">
        <v>23</v>
      </c>
      <c r="C30" s="84"/>
      <c r="D30" s="84"/>
      <c r="E30" s="84"/>
      <c r="F30" s="84"/>
      <c r="G30" s="84"/>
      <c r="H30" s="84"/>
      <c r="I30" s="84"/>
      <c r="J30" s="84"/>
      <c r="K30" s="84"/>
      <c r="L30" s="118">
        <f t="shared" si="0"/>
      </c>
      <c r="M30" s="84"/>
      <c r="N30" s="84"/>
      <c r="O30" s="118">
        <f t="shared" si="1"/>
      </c>
      <c r="P30" s="84"/>
      <c r="Q30" s="84"/>
      <c r="R30" s="84"/>
      <c r="S30" s="118">
        <f t="shared" si="2"/>
      </c>
      <c r="T30" s="84"/>
      <c r="U30" s="84"/>
      <c r="V30" s="84"/>
      <c r="W30" s="84"/>
      <c r="X30" s="84"/>
      <c r="Y30" s="118">
        <f t="shared" si="3"/>
      </c>
      <c r="Z30" s="118">
        <f t="shared" si="4"/>
      </c>
      <c r="AA30" s="84"/>
      <c r="AB30" s="84"/>
      <c r="AC30" s="84"/>
      <c r="AD30" s="84"/>
      <c r="AE30" s="118">
        <f t="shared" si="5"/>
      </c>
      <c r="AF30" s="84"/>
      <c r="AG30" s="84"/>
      <c r="AH30" s="118">
        <f t="shared" si="6"/>
      </c>
      <c r="AI30" s="84"/>
      <c r="AJ30" s="84"/>
      <c r="AK30" s="84"/>
      <c r="AL30" s="84"/>
      <c r="AM30" s="118">
        <f t="shared" si="7"/>
      </c>
      <c r="AN30" s="84"/>
      <c r="AO30" s="84"/>
      <c r="AP30" s="118">
        <f t="shared" si="8"/>
      </c>
      <c r="AQ30" s="84"/>
      <c r="AR30" s="84"/>
      <c r="AS30" s="84"/>
      <c r="AT30" s="84"/>
      <c r="AU30" s="84"/>
      <c r="AV30" s="118">
        <f t="shared" si="9"/>
      </c>
      <c r="AW30" s="84"/>
      <c r="AX30" s="84"/>
      <c r="AY30" s="84"/>
      <c r="AZ30" s="84"/>
      <c r="BA30" s="118">
        <f t="shared" si="10"/>
      </c>
      <c r="BB30" s="118">
        <f t="shared" si="11"/>
      </c>
      <c r="BC30" s="84"/>
      <c r="BD30" s="84"/>
      <c r="BE30" s="84"/>
      <c r="BF30" s="84"/>
      <c r="BG30" s="84"/>
      <c r="BH30" s="44"/>
      <c r="BJ30" s="94" t="s">
        <v>41</v>
      </c>
      <c r="BK30" s="96">
        <f>COUNTIF(Ethnicity,"Any other ethnic group")</f>
        <v>0</v>
      </c>
    </row>
    <row r="31" spans="2:63" s="43" customFormat="1" ht="30" customHeight="1" thickBot="1">
      <c r="B31" s="86">
        <v>24</v>
      </c>
      <c r="C31" s="84"/>
      <c r="D31" s="84"/>
      <c r="E31" s="84"/>
      <c r="F31" s="84"/>
      <c r="G31" s="84"/>
      <c r="H31" s="84"/>
      <c r="I31" s="84"/>
      <c r="J31" s="84"/>
      <c r="K31" s="84"/>
      <c r="L31" s="118">
        <f t="shared" si="0"/>
      </c>
      <c r="M31" s="84"/>
      <c r="N31" s="84"/>
      <c r="O31" s="118">
        <f t="shared" si="1"/>
      </c>
      <c r="P31" s="84"/>
      <c r="Q31" s="84"/>
      <c r="R31" s="84"/>
      <c r="S31" s="118">
        <f t="shared" si="2"/>
      </c>
      <c r="T31" s="84"/>
      <c r="U31" s="84"/>
      <c r="V31" s="84"/>
      <c r="W31" s="84"/>
      <c r="X31" s="84"/>
      <c r="Y31" s="118">
        <f t="shared" si="3"/>
      </c>
      <c r="Z31" s="118">
        <f t="shared" si="4"/>
      </c>
      <c r="AA31" s="84"/>
      <c r="AB31" s="84"/>
      <c r="AC31" s="84"/>
      <c r="AD31" s="84"/>
      <c r="AE31" s="118">
        <f t="shared" si="5"/>
      </c>
      <c r="AF31" s="84"/>
      <c r="AG31" s="84"/>
      <c r="AH31" s="118">
        <f t="shared" si="6"/>
      </c>
      <c r="AI31" s="84"/>
      <c r="AJ31" s="84"/>
      <c r="AK31" s="84"/>
      <c r="AL31" s="84"/>
      <c r="AM31" s="118">
        <f t="shared" si="7"/>
      </c>
      <c r="AN31" s="84"/>
      <c r="AO31" s="84"/>
      <c r="AP31" s="118">
        <f t="shared" si="8"/>
      </c>
      <c r="AQ31" s="84"/>
      <c r="AR31" s="84"/>
      <c r="AS31" s="84"/>
      <c r="AT31" s="84"/>
      <c r="AU31" s="84"/>
      <c r="AV31" s="118">
        <f t="shared" si="9"/>
      </c>
      <c r="AW31" s="84"/>
      <c r="AX31" s="84"/>
      <c r="AY31" s="84"/>
      <c r="AZ31" s="84"/>
      <c r="BA31" s="118">
        <f t="shared" si="10"/>
      </c>
      <c r="BB31" s="118">
        <f t="shared" si="11"/>
      </c>
      <c r="BC31" s="84"/>
      <c r="BD31" s="84"/>
      <c r="BE31" s="84"/>
      <c r="BF31" s="84"/>
      <c r="BG31" s="84"/>
      <c r="BH31" s="44"/>
      <c r="BJ31" s="94" t="s">
        <v>32</v>
      </c>
      <c r="BK31" s="96">
        <f>COUNTIF(Ethnicity,"Not stated")</f>
        <v>0</v>
      </c>
    </row>
    <row r="32" spans="2:60" s="43" customFormat="1" ht="30" customHeight="1" thickBot="1">
      <c r="B32" s="86">
        <v>25</v>
      </c>
      <c r="C32" s="84"/>
      <c r="D32" s="84"/>
      <c r="E32" s="84"/>
      <c r="F32" s="84"/>
      <c r="G32" s="84"/>
      <c r="H32" s="84"/>
      <c r="I32" s="84"/>
      <c r="J32" s="84"/>
      <c r="K32" s="84"/>
      <c r="L32" s="118">
        <f t="shared" si="0"/>
      </c>
      <c r="M32" s="84"/>
      <c r="N32" s="84"/>
      <c r="O32" s="118">
        <f t="shared" si="1"/>
      </c>
      <c r="P32" s="84"/>
      <c r="Q32" s="84"/>
      <c r="R32" s="84"/>
      <c r="S32" s="118">
        <f t="shared" si="2"/>
      </c>
      <c r="T32" s="84"/>
      <c r="U32" s="84"/>
      <c r="V32" s="84"/>
      <c r="W32" s="84"/>
      <c r="X32" s="84"/>
      <c r="Y32" s="118">
        <f t="shared" si="3"/>
      </c>
      <c r="Z32" s="118">
        <f t="shared" si="4"/>
      </c>
      <c r="AA32" s="84"/>
      <c r="AB32" s="84"/>
      <c r="AC32" s="84"/>
      <c r="AD32" s="84"/>
      <c r="AE32" s="118">
        <f t="shared" si="5"/>
      </c>
      <c r="AF32" s="84"/>
      <c r="AG32" s="84"/>
      <c r="AH32" s="118">
        <f t="shared" si="6"/>
      </c>
      <c r="AI32" s="84"/>
      <c r="AJ32" s="84"/>
      <c r="AK32" s="84"/>
      <c r="AL32" s="84"/>
      <c r="AM32" s="118">
        <f t="shared" si="7"/>
      </c>
      <c r="AN32" s="84"/>
      <c r="AO32" s="84"/>
      <c r="AP32" s="118">
        <f t="shared" si="8"/>
      </c>
      <c r="AQ32" s="84"/>
      <c r="AR32" s="84"/>
      <c r="AS32" s="84"/>
      <c r="AT32" s="84"/>
      <c r="AU32" s="84"/>
      <c r="AV32" s="118">
        <f t="shared" si="9"/>
      </c>
      <c r="AW32" s="84"/>
      <c r="AX32" s="84"/>
      <c r="AY32" s="84"/>
      <c r="AZ32" s="84"/>
      <c r="BA32" s="118">
        <f t="shared" si="10"/>
      </c>
      <c r="BB32" s="118">
        <f t="shared" si="11"/>
      </c>
      <c r="BC32" s="84"/>
      <c r="BD32" s="84"/>
      <c r="BE32" s="84"/>
      <c r="BF32" s="84"/>
      <c r="BG32" s="84"/>
      <c r="BH32" s="44"/>
    </row>
    <row r="33" spans="2:60" s="43" customFormat="1" ht="30" customHeight="1" thickBot="1">
      <c r="B33" s="86">
        <v>26</v>
      </c>
      <c r="C33" s="84"/>
      <c r="D33" s="84"/>
      <c r="E33" s="84"/>
      <c r="F33" s="84"/>
      <c r="G33" s="84"/>
      <c r="H33" s="84"/>
      <c r="I33" s="84"/>
      <c r="J33" s="84"/>
      <c r="K33" s="84"/>
      <c r="L33" s="118">
        <f t="shared" si="0"/>
      </c>
      <c r="M33" s="84"/>
      <c r="N33" s="84"/>
      <c r="O33" s="118">
        <f t="shared" si="1"/>
      </c>
      <c r="P33" s="84"/>
      <c r="Q33" s="84"/>
      <c r="R33" s="84"/>
      <c r="S33" s="118">
        <f t="shared" si="2"/>
      </c>
      <c r="T33" s="84"/>
      <c r="U33" s="84"/>
      <c r="V33" s="84"/>
      <c r="W33" s="84"/>
      <c r="X33" s="84"/>
      <c r="Y33" s="118">
        <f t="shared" si="3"/>
      </c>
      <c r="Z33" s="118">
        <f t="shared" si="4"/>
      </c>
      <c r="AA33" s="84"/>
      <c r="AB33" s="84"/>
      <c r="AC33" s="84"/>
      <c r="AD33" s="84"/>
      <c r="AE33" s="118">
        <f t="shared" si="5"/>
      </c>
      <c r="AF33" s="84"/>
      <c r="AG33" s="84"/>
      <c r="AH33" s="118">
        <f t="shared" si="6"/>
      </c>
      <c r="AI33" s="84"/>
      <c r="AJ33" s="84"/>
      <c r="AK33" s="84"/>
      <c r="AL33" s="84"/>
      <c r="AM33" s="118">
        <f t="shared" si="7"/>
      </c>
      <c r="AN33" s="84"/>
      <c r="AO33" s="84"/>
      <c r="AP33" s="118">
        <f t="shared" si="8"/>
      </c>
      <c r="AQ33" s="84"/>
      <c r="AR33" s="84"/>
      <c r="AS33" s="84"/>
      <c r="AT33" s="84"/>
      <c r="AU33" s="84"/>
      <c r="AV33" s="118">
        <f t="shared" si="9"/>
      </c>
      <c r="AW33" s="84"/>
      <c r="AX33" s="84"/>
      <c r="AY33" s="84"/>
      <c r="AZ33" s="84"/>
      <c r="BA33" s="118">
        <f t="shared" si="10"/>
      </c>
      <c r="BB33" s="118">
        <f t="shared" si="11"/>
      </c>
      <c r="BC33" s="84"/>
      <c r="BD33" s="84"/>
      <c r="BE33" s="84"/>
      <c r="BF33" s="84"/>
      <c r="BG33" s="84"/>
      <c r="BH33" s="44"/>
    </row>
    <row r="34" spans="2:60" s="43" customFormat="1" ht="30" customHeight="1" thickBot="1">
      <c r="B34" s="86">
        <v>27</v>
      </c>
      <c r="C34" s="84"/>
      <c r="D34" s="84"/>
      <c r="E34" s="84"/>
      <c r="F34" s="84"/>
      <c r="G34" s="84"/>
      <c r="H34" s="84"/>
      <c r="I34" s="84"/>
      <c r="J34" s="84"/>
      <c r="K34" s="84"/>
      <c r="L34" s="118">
        <f t="shared" si="0"/>
      </c>
      <c r="M34" s="84"/>
      <c r="N34" s="84"/>
      <c r="O34" s="118">
        <f t="shared" si="1"/>
      </c>
      <c r="P34" s="84"/>
      <c r="Q34" s="84"/>
      <c r="R34" s="84"/>
      <c r="S34" s="118">
        <f t="shared" si="2"/>
      </c>
      <c r="T34" s="84"/>
      <c r="U34" s="84"/>
      <c r="V34" s="84"/>
      <c r="W34" s="84"/>
      <c r="X34" s="84"/>
      <c r="Y34" s="118">
        <f t="shared" si="3"/>
      </c>
      <c r="Z34" s="118">
        <f t="shared" si="4"/>
      </c>
      <c r="AA34" s="84"/>
      <c r="AB34" s="84"/>
      <c r="AC34" s="84"/>
      <c r="AD34" s="84"/>
      <c r="AE34" s="118">
        <f t="shared" si="5"/>
      </c>
      <c r="AF34" s="84"/>
      <c r="AG34" s="84"/>
      <c r="AH34" s="118">
        <f t="shared" si="6"/>
      </c>
      <c r="AI34" s="84"/>
      <c r="AJ34" s="84"/>
      <c r="AK34" s="84"/>
      <c r="AL34" s="84"/>
      <c r="AM34" s="118">
        <f t="shared" si="7"/>
      </c>
      <c r="AN34" s="84"/>
      <c r="AO34" s="84"/>
      <c r="AP34" s="118">
        <f t="shared" si="8"/>
      </c>
      <c r="AQ34" s="84"/>
      <c r="AR34" s="84"/>
      <c r="AS34" s="84"/>
      <c r="AT34" s="84"/>
      <c r="AU34" s="84"/>
      <c r="AV34" s="118">
        <f t="shared" si="9"/>
      </c>
      <c r="AW34" s="84"/>
      <c r="AX34" s="84"/>
      <c r="AY34" s="84"/>
      <c r="AZ34" s="84"/>
      <c r="BA34" s="118">
        <f t="shared" si="10"/>
      </c>
      <c r="BB34" s="118">
        <f t="shared" si="11"/>
      </c>
      <c r="BC34" s="84"/>
      <c r="BD34" s="84"/>
      <c r="BE34" s="84"/>
      <c r="BF34" s="84"/>
      <c r="BG34" s="84"/>
      <c r="BH34" s="44"/>
    </row>
    <row r="35" spans="2:60" s="43" customFormat="1" ht="30" customHeight="1" thickBot="1">
      <c r="B35" s="86">
        <v>28</v>
      </c>
      <c r="C35" s="84"/>
      <c r="D35" s="84"/>
      <c r="E35" s="84"/>
      <c r="F35" s="84"/>
      <c r="G35" s="84"/>
      <c r="H35" s="84"/>
      <c r="I35" s="84"/>
      <c r="J35" s="84"/>
      <c r="K35" s="84"/>
      <c r="L35" s="118">
        <f t="shared" si="0"/>
      </c>
      <c r="M35" s="84"/>
      <c r="N35" s="84"/>
      <c r="O35" s="118">
        <f t="shared" si="1"/>
      </c>
      <c r="P35" s="84"/>
      <c r="Q35" s="84"/>
      <c r="R35" s="84"/>
      <c r="S35" s="118">
        <f t="shared" si="2"/>
      </c>
      <c r="T35" s="84"/>
      <c r="U35" s="84"/>
      <c r="V35" s="84"/>
      <c r="W35" s="84"/>
      <c r="X35" s="84"/>
      <c r="Y35" s="118">
        <f t="shared" si="3"/>
      </c>
      <c r="Z35" s="118">
        <f t="shared" si="4"/>
      </c>
      <c r="AA35" s="84"/>
      <c r="AB35" s="84"/>
      <c r="AC35" s="84"/>
      <c r="AD35" s="84"/>
      <c r="AE35" s="118">
        <f t="shared" si="5"/>
      </c>
      <c r="AF35" s="84"/>
      <c r="AG35" s="84"/>
      <c r="AH35" s="118">
        <f t="shared" si="6"/>
      </c>
      <c r="AI35" s="84"/>
      <c r="AJ35" s="84"/>
      <c r="AK35" s="84"/>
      <c r="AL35" s="84"/>
      <c r="AM35" s="118">
        <f t="shared" si="7"/>
      </c>
      <c r="AN35" s="84"/>
      <c r="AO35" s="84"/>
      <c r="AP35" s="118">
        <f t="shared" si="8"/>
      </c>
      <c r="AQ35" s="84"/>
      <c r="AR35" s="84"/>
      <c r="AS35" s="84"/>
      <c r="AT35" s="84"/>
      <c r="AU35" s="84"/>
      <c r="AV35" s="118">
        <f t="shared" si="9"/>
      </c>
      <c r="AW35" s="84"/>
      <c r="AX35" s="84"/>
      <c r="AY35" s="84"/>
      <c r="AZ35" s="84"/>
      <c r="BA35" s="118">
        <f t="shared" si="10"/>
      </c>
      <c r="BB35" s="118">
        <f t="shared" si="11"/>
      </c>
      <c r="BC35" s="84"/>
      <c r="BD35" s="84"/>
      <c r="BE35" s="84"/>
      <c r="BF35" s="84"/>
      <c r="BG35" s="84"/>
      <c r="BH35" s="44"/>
    </row>
    <row r="36" spans="2:60" s="43" customFormat="1" ht="30" customHeight="1" thickBot="1">
      <c r="B36" s="86">
        <v>29</v>
      </c>
      <c r="C36" s="84"/>
      <c r="D36" s="84"/>
      <c r="E36" s="84"/>
      <c r="F36" s="84"/>
      <c r="G36" s="84"/>
      <c r="H36" s="84"/>
      <c r="I36" s="84"/>
      <c r="J36" s="84"/>
      <c r="K36" s="84"/>
      <c r="L36" s="118">
        <f t="shared" si="0"/>
      </c>
      <c r="M36" s="84"/>
      <c r="N36" s="84"/>
      <c r="O36" s="118">
        <f t="shared" si="1"/>
      </c>
      <c r="P36" s="84"/>
      <c r="Q36" s="84"/>
      <c r="R36" s="84"/>
      <c r="S36" s="118">
        <f t="shared" si="2"/>
      </c>
      <c r="T36" s="84"/>
      <c r="U36" s="84"/>
      <c r="V36" s="84"/>
      <c r="W36" s="84"/>
      <c r="X36" s="84"/>
      <c r="Y36" s="118">
        <f t="shared" si="3"/>
      </c>
      <c r="Z36" s="118">
        <f t="shared" si="4"/>
      </c>
      <c r="AA36" s="84"/>
      <c r="AB36" s="84"/>
      <c r="AC36" s="84"/>
      <c r="AD36" s="84"/>
      <c r="AE36" s="118">
        <f t="shared" si="5"/>
      </c>
      <c r="AF36" s="84"/>
      <c r="AG36" s="84"/>
      <c r="AH36" s="118">
        <f t="shared" si="6"/>
      </c>
      <c r="AI36" s="84"/>
      <c r="AJ36" s="84"/>
      <c r="AK36" s="84"/>
      <c r="AL36" s="84"/>
      <c r="AM36" s="118">
        <f t="shared" si="7"/>
      </c>
      <c r="AN36" s="84"/>
      <c r="AO36" s="84"/>
      <c r="AP36" s="118">
        <f t="shared" si="8"/>
      </c>
      <c r="AQ36" s="84"/>
      <c r="AR36" s="84"/>
      <c r="AS36" s="84"/>
      <c r="AT36" s="84"/>
      <c r="AU36" s="84"/>
      <c r="AV36" s="118">
        <f t="shared" si="9"/>
      </c>
      <c r="AW36" s="84"/>
      <c r="AX36" s="84"/>
      <c r="AY36" s="84"/>
      <c r="AZ36" s="84"/>
      <c r="BA36" s="118">
        <f t="shared" si="10"/>
      </c>
      <c r="BB36" s="118">
        <f t="shared" si="11"/>
      </c>
      <c r="BC36" s="84"/>
      <c r="BD36" s="84"/>
      <c r="BE36" s="84"/>
      <c r="BF36" s="84"/>
      <c r="BG36" s="84"/>
      <c r="BH36" s="44"/>
    </row>
    <row r="37" spans="2:60" s="43" customFormat="1" ht="30" customHeight="1" thickBot="1">
      <c r="B37" s="86">
        <v>30</v>
      </c>
      <c r="C37" s="84"/>
      <c r="D37" s="84"/>
      <c r="E37" s="84"/>
      <c r="F37" s="84"/>
      <c r="G37" s="84"/>
      <c r="H37" s="84"/>
      <c r="I37" s="84"/>
      <c r="J37" s="84"/>
      <c r="K37" s="84"/>
      <c r="L37" s="118">
        <f t="shared" si="0"/>
      </c>
      <c r="M37" s="84"/>
      <c r="N37" s="84"/>
      <c r="O37" s="118">
        <f t="shared" si="1"/>
      </c>
      <c r="P37" s="84"/>
      <c r="Q37" s="84"/>
      <c r="R37" s="84"/>
      <c r="S37" s="118">
        <f t="shared" si="2"/>
      </c>
      <c r="T37" s="84"/>
      <c r="U37" s="84"/>
      <c r="V37" s="84"/>
      <c r="W37" s="84"/>
      <c r="X37" s="84"/>
      <c r="Y37" s="118">
        <f t="shared" si="3"/>
      </c>
      <c r="Z37" s="118">
        <f t="shared" si="4"/>
      </c>
      <c r="AA37" s="84"/>
      <c r="AB37" s="84"/>
      <c r="AC37" s="84"/>
      <c r="AD37" s="84"/>
      <c r="AE37" s="118">
        <f t="shared" si="5"/>
      </c>
      <c r="AF37" s="84"/>
      <c r="AG37" s="84"/>
      <c r="AH37" s="118">
        <f t="shared" si="6"/>
      </c>
      <c r="AI37" s="84"/>
      <c r="AJ37" s="84"/>
      <c r="AK37" s="84"/>
      <c r="AL37" s="84"/>
      <c r="AM37" s="118">
        <f t="shared" si="7"/>
      </c>
      <c r="AN37" s="84"/>
      <c r="AO37" s="84"/>
      <c r="AP37" s="118">
        <f t="shared" si="8"/>
      </c>
      <c r="AQ37" s="84"/>
      <c r="AR37" s="84"/>
      <c r="AS37" s="84"/>
      <c r="AT37" s="84"/>
      <c r="AU37" s="84"/>
      <c r="AV37" s="118">
        <f t="shared" si="9"/>
      </c>
      <c r="AW37" s="84"/>
      <c r="AX37" s="84"/>
      <c r="AY37" s="84"/>
      <c r="AZ37" s="84"/>
      <c r="BA37" s="118">
        <f t="shared" si="10"/>
      </c>
      <c r="BB37" s="118">
        <f t="shared" si="11"/>
      </c>
      <c r="BC37" s="84"/>
      <c r="BD37" s="84"/>
      <c r="BE37" s="84"/>
      <c r="BF37" s="84"/>
      <c r="BG37" s="84"/>
      <c r="BH37" s="44"/>
    </row>
    <row r="38" spans="2:60" s="43" customFormat="1" ht="30" customHeight="1" thickBot="1">
      <c r="B38" s="87">
        <v>31</v>
      </c>
      <c r="C38" s="84"/>
      <c r="D38" s="84"/>
      <c r="E38" s="84"/>
      <c r="F38" s="84"/>
      <c r="G38" s="84"/>
      <c r="H38" s="84"/>
      <c r="I38" s="84"/>
      <c r="J38" s="84"/>
      <c r="K38" s="84"/>
      <c r="L38" s="118">
        <f t="shared" si="0"/>
      </c>
      <c r="M38" s="84"/>
      <c r="N38" s="84"/>
      <c r="O38" s="118">
        <f t="shared" si="1"/>
      </c>
      <c r="P38" s="84"/>
      <c r="Q38" s="84"/>
      <c r="R38" s="84"/>
      <c r="S38" s="118">
        <f t="shared" si="2"/>
      </c>
      <c r="T38" s="84"/>
      <c r="U38" s="84"/>
      <c r="V38" s="84"/>
      <c r="W38" s="84"/>
      <c r="X38" s="84"/>
      <c r="Y38" s="118">
        <f t="shared" si="3"/>
      </c>
      <c r="Z38" s="118">
        <f t="shared" si="4"/>
      </c>
      <c r="AA38" s="84"/>
      <c r="AB38" s="84"/>
      <c r="AC38" s="84"/>
      <c r="AD38" s="84"/>
      <c r="AE38" s="118">
        <f t="shared" si="5"/>
      </c>
      <c r="AF38" s="84"/>
      <c r="AG38" s="84"/>
      <c r="AH38" s="118">
        <f t="shared" si="6"/>
      </c>
      <c r="AI38" s="84"/>
      <c r="AJ38" s="84"/>
      <c r="AK38" s="84"/>
      <c r="AL38" s="84"/>
      <c r="AM38" s="118">
        <f t="shared" si="7"/>
      </c>
      <c r="AN38" s="84"/>
      <c r="AO38" s="84"/>
      <c r="AP38" s="118">
        <f t="shared" si="8"/>
      </c>
      <c r="AQ38" s="84"/>
      <c r="AR38" s="84"/>
      <c r="AS38" s="84"/>
      <c r="AT38" s="84"/>
      <c r="AU38" s="84"/>
      <c r="AV38" s="118">
        <f t="shared" si="9"/>
      </c>
      <c r="AW38" s="84"/>
      <c r="AX38" s="84"/>
      <c r="AY38" s="84"/>
      <c r="AZ38" s="84"/>
      <c r="BA38" s="118">
        <f t="shared" si="10"/>
      </c>
      <c r="BB38" s="118">
        <f t="shared" si="11"/>
      </c>
      <c r="BC38" s="84"/>
      <c r="BD38" s="84"/>
      <c r="BE38" s="84"/>
      <c r="BF38" s="84"/>
      <c r="BG38" s="84"/>
      <c r="BH38" s="44"/>
    </row>
    <row r="39" spans="2:60" s="43" customFormat="1" ht="30" customHeight="1" thickBot="1">
      <c r="B39" s="86">
        <v>32</v>
      </c>
      <c r="C39" s="84"/>
      <c r="D39" s="84"/>
      <c r="E39" s="84"/>
      <c r="F39" s="84"/>
      <c r="G39" s="84"/>
      <c r="H39" s="84"/>
      <c r="I39" s="84"/>
      <c r="J39" s="84"/>
      <c r="K39" s="84"/>
      <c r="L39" s="118">
        <f t="shared" si="0"/>
      </c>
      <c r="M39" s="84"/>
      <c r="N39" s="84"/>
      <c r="O39" s="118">
        <f t="shared" si="1"/>
      </c>
      <c r="P39" s="84"/>
      <c r="Q39" s="84"/>
      <c r="R39" s="84"/>
      <c r="S39" s="118">
        <f t="shared" si="2"/>
      </c>
      <c r="T39" s="84"/>
      <c r="U39" s="84"/>
      <c r="V39" s="84"/>
      <c r="W39" s="84"/>
      <c r="X39" s="84"/>
      <c r="Y39" s="118">
        <f t="shared" si="3"/>
      </c>
      <c r="Z39" s="118">
        <f t="shared" si="4"/>
      </c>
      <c r="AA39" s="84"/>
      <c r="AB39" s="84"/>
      <c r="AC39" s="84"/>
      <c r="AD39" s="84"/>
      <c r="AE39" s="118">
        <f t="shared" si="5"/>
      </c>
      <c r="AF39" s="84"/>
      <c r="AG39" s="84"/>
      <c r="AH39" s="118">
        <f t="shared" si="6"/>
      </c>
      <c r="AI39" s="84"/>
      <c r="AJ39" s="84"/>
      <c r="AK39" s="84"/>
      <c r="AL39" s="84"/>
      <c r="AM39" s="118">
        <f t="shared" si="7"/>
      </c>
      <c r="AN39" s="84"/>
      <c r="AO39" s="84"/>
      <c r="AP39" s="118">
        <f t="shared" si="8"/>
      </c>
      <c r="AQ39" s="84"/>
      <c r="AR39" s="84"/>
      <c r="AS39" s="84"/>
      <c r="AT39" s="84"/>
      <c r="AU39" s="84"/>
      <c r="AV39" s="118">
        <f t="shared" si="9"/>
      </c>
      <c r="AW39" s="84"/>
      <c r="AX39" s="84"/>
      <c r="AY39" s="84"/>
      <c r="AZ39" s="84"/>
      <c r="BA39" s="118">
        <f t="shared" si="10"/>
      </c>
      <c r="BB39" s="118">
        <f t="shared" si="11"/>
      </c>
      <c r="BC39" s="84"/>
      <c r="BD39" s="84"/>
      <c r="BE39" s="84"/>
      <c r="BF39" s="84"/>
      <c r="BG39" s="84"/>
      <c r="BH39" s="44"/>
    </row>
    <row r="40" spans="2:60" s="43" customFormat="1" ht="30" customHeight="1" thickBot="1">
      <c r="B40" s="86">
        <v>33</v>
      </c>
      <c r="C40" s="84"/>
      <c r="D40" s="84"/>
      <c r="E40" s="84"/>
      <c r="F40" s="84"/>
      <c r="G40" s="84"/>
      <c r="H40" s="84"/>
      <c r="I40" s="84"/>
      <c r="J40" s="84"/>
      <c r="K40" s="84"/>
      <c r="L40" s="118">
        <f t="shared" si="0"/>
      </c>
      <c r="M40" s="84"/>
      <c r="N40" s="84"/>
      <c r="O40" s="118">
        <f t="shared" si="1"/>
      </c>
      <c r="P40" s="84"/>
      <c r="Q40" s="84"/>
      <c r="R40" s="84"/>
      <c r="S40" s="118">
        <f t="shared" si="2"/>
      </c>
      <c r="T40" s="84"/>
      <c r="U40" s="84"/>
      <c r="V40" s="84"/>
      <c r="W40" s="84"/>
      <c r="X40" s="84"/>
      <c r="Y40" s="118">
        <f t="shared" si="3"/>
      </c>
      <c r="Z40" s="118">
        <f t="shared" si="4"/>
      </c>
      <c r="AA40" s="84"/>
      <c r="AB40" s="84"/>
      <c r="AC40" s="84"/>
      <c r="AD40" s="84"/>
      <c r="AE40" s="118">
        <f t="shared" si="5"/>
      </c>
      <c r="AF40" s="84"/>
      <c r="AG40" s="84"/>
      <c r="AH40" s="118">
        <f t="shared" si="6"/>
      </c>
      <c r="AI40" s="84"/>
      <c r="AJ40" s="84"/>
      <c r="AK40" s="84"/>
      <c r="AL40" s="84"/>
      <c r="AM40" s="118">
        <f t="shared" si="7"/>
      </c>
      <c r="AN40" s="84"/>
      <c r="AO40" s="84"/>
      <c r="AP40" s="118">
        <f t="shared" si="8"/>
      </c>
      <c r="AQ40" s="84"/>
      <c r="AR40" s="84"/>
      <c r="AS40" s="84"/>
      <c r="AT40" s="84"/>
      <c r="AU40" s="84"/>
      <c r="AV40" s="118">
        <f t="shared" si="9"/>
      </c>
      <c r="AW40" s="84"/>
      <c r="AX40" s="84"/>
      <c r="AY40" s="84"/>
      <c r="AZ40" s="84"/>
      <c r="BA40" s="118">
        <f t="shared" si="10"/>
      </c>
      <c r="BB40" s="118">
        <f t="shared" si="11"/>
      </c>
      <c r="BC40" s="84"/>
      <c r="BD40" s="84"/>
      <c r="BE40" s="84"/>
      <c r="BF40" s="84"/>
      <c r="BG40" s="84"/>
      <c r="BH40" s="44"/>
    </row>
    <row r="41" spans="2:60" s="43" customFormat="1" ht="30" customHeight="1" thickBot="1">
      <c r="B41" s="86">
        <v>34</v>
      </c>
      <c r="C41" s="84"/>
      <c r="D41" s="84"/>
      <c r="E41" s="84"/>
      <c r="F41" s="84"/>
      <c r="G41" s="84"/>
      <c r="H41" s="84"/>
      <c r="I41" s="84"/>
      <c r="J41" s="84"/>
      <c r="K41" s="84"/>
      <c r="L41" s="118">
        <f t="shared" si="0"/>
      </c>
      <c r="M41" s="84"/>
      <c r="N41" s="84"/>
      <c r="O41" s="118">
        <f t="shared" si="1"/>
      </c>
      <c r="P41" s="84"/>
      <c r="Q41" s="84"/>
      <c r="R41" s="84"/>
      <c r="S41" s="118">
        <f t="shared" si="2"/>
      </c>
      <c r="T41" s="84"/>
      <c r="U41" s="84"/>
      <c r="V41" s="84"/>
      <c r="W41" s="84"/>
      <c r="X41" s="84"/>
      <c r="Y41" s="118">
        <f t="shared" si="3"/>
      </c>
      <c r="Z41" s="118">
        <f t="shared" si="4"/>
      </c>
      <c r="AA41" s="84"/>
      <c r="AB41" s="84"/>
      <c r="AC41" s="84"/>
      <c r="AD41" s="84"/>
      <c r="AE41" s="118">
        <f t="shared" si="5"/>
      </c>
      <c r="AF41" s="84"/>
      <c r="AG41" s="84"/>
      <c r="AH41" s="118">
        <f t="shared" si="6"/>
      </c>
      <c r="AI41" s="84"/>
      <c r="AJ41" s="84"/>
      <c r="AK41" s="84"/>
      <c r="AL41" s="84"/>
      <c r="AM41" s="118">
        <f t="shared" si="7"/>
      </c>
      <c r="AN41" s="84"/>
      <c r="AO41" s="84"/>
      <c r="AP41" s="118">
        <f t="shared" si="8"/>
      </c>
      <c r="AQ41" s="84"/>
      <c r="AR41" s="84"/>
      <c r="AS41" s="84"/>
      <c r="AT41" s="84"/>
      <c r="AU41" s="84"/>
      <c r="AV41" s="118">
        <f t="shared" si="9"/>
      </c>
      <c r="AW41" s="84"/>
      <c r="AX41" s="84"/>
      <c r="AY41" s="84"/>
      <c r="AZ41" s="84"/>
      <c r="BA41" s="118">
        <f t="shared" si="10"/>
      </c>
      <c r="BB41" s="118">
        <f t="shared" si="11"/>
      </c>
      <c r="BC41" s="84"/>
      <c r="BD41" s="84"/>
      <c r="BE41" s="84"/>
      <c r="BF41" s="84"/>
      <c r="BG41" s="84"/>
      <c r="BH41" s="44"/>
    </row>
    <row r="42" spans="2:60" s="43" customFormat="1" ht="30" customHeight="1" thickBot="1">
      <c r="B42" s="86">
        <v>35</v>
      </c>
      <c r="C42" s="84"/>
      <c r="D42" s="84"/>
      <c r="E42" s="84"/>
      <c r="F42" s="84"/>
      <c r="G42" s="84"/>
      <c r="H42" s="84"/>
      <c r="I42" s="84"/>
      <c r="J42" s="84"/>
      <c r="K42" s="84"/>
      <c r="L42" s="118">
        <f t="shared" si="0"/>
      </c>
      <c r="M42" s="84"/>
      <c r="N42" s="84"/>
      <c r="O42" s="118">
        <f t="shared" si="1"/>
      </c>
      <c r="P42" s="84"/>
      <c r="Q42" s="84"/>
      <c r="R42" s="84"/>
      <c r="S42" s="118">
        <f t="shared" si="2"/>
      </c>
      <c r="T42" s="84"/>
      <c r="U42" s="84"/>
      <c r="V42" s="84"/>
      <c r="W42" s="84"/>
      <c r="X42" s="84"/>
      <c r="Y42" s="118">
        <f t="shared" si="3"/>
      </c>
      <c r="Z42" s="118">
        <f t="shared" si="4"/>
      </c>
      <c r="AA42" s="84"/>
      <c r="AB42" s="84"/>
      <c r="AC42" s="84"/>
      <c r="AD42" s="84"/>
      <c r="AE42" s="118">
        <f t="shared" si="5"/>
      </c>
      <c r="AF42" s="84"/>
      <c r="AG42" s="84"/>
      <c r="AH42" s="118">
        <f t="shared" si="6"/>
      </c>
      <c r="AI42" s="84"/>
      <c r="AJ42" s="84"/>
      <c r="AK42" s="84"/>
      <c r="AL42" s="84"/>
      <c r="AM42" s="118">
        <f t="shared" si="7"/>
      </c>
      <c r="AN42" s="84"/>
      <c r="AO42" s="84"/>
      <c r="AP42" s="118">
        <f t="shared" si="8"/>
      </c>
      <c r="AQ42" s="84"/>
      <c r="AR42" s="84"/>
      <c r="AS42" s="84"/>
      <c r="AT42" s="84"/>
      <c r="AU42" s="84"/>
      <c r="AV42" s="118">
        <f t="shared" si="9"/>
      </c>
      <c r="AW42" s="84"/>
      <c r="AX42" s="84"/>
      <c r="AY42" s="84"/>
      <c r="AZ42" s="84"/>
      <c r="BA42" s="118">
        <f t="shared" si="10"/>
      </c>
      <c r="BB42" s="118">
        <f t="shared" si="11"/>
      </c>
      <c r="BC42" s="84"/>
      <c r="BD42" s="84"/>
      <c r="BE42" s="84"/>
      <c r="BF42" s="84"/>
      <c r="BG42" s="84"/>
      <c r="BH42" s="44"/>
    </row>
    <row r="43" spans="2:60" s="43" customFormat="1" ht="30" customHeight="1" thickBot="1">
      <c r="B43" s="86">
        <v>36</v>
      </c>
      <c r="C43" s="84"/>
      <c r="D43" s="84"/>
      <c r="E43" s="84"/>
      <c r="F43" s="84"/>
      <c r="G43" s="84"/>
      <c r="H43" s="84"/>
      <c r="I43" s="84"/>
      <c r="J43" s="84"/>
      <c r="K43" s="84"/>
      <c r="L43" s="118">
        <f t="shared" si="0"/>
      </c>
      <c r="M43" s="84"/>
      <c r="N43" s="84"/>
      <c r="O43" s="118">
        <f t="shared" si="1"/>
      </c>
      <c r="P43" s="84"/>
      <c r="Q43" s="84"/>
      <c r="R43" s="84"/>
      <c r="S43" s="118">
        <f t="shared" si="2"/>
      </c>
      <c r="T43" s="84"/>
      <c r="U43" s="84"/>
      <c r="V43" s="84"/>
      <c r="W43" s="84"/>
      <c r="X43" s="84"/>
      <c r="Y43" s="118">
        <f t="shared" si="3"/>
      </c>
      <c r="Z43" s="118">
        <f t="shared" si="4"/>
      </c>
      <c r="AA43" s="84"/>
      <c r="AB43" s="84"/>
      <c r="AC43" s="84"/>
      <c r="AD43" s="84"/>
      <c r="AE43" s="118">
        <f t="shared" si="5"/>
      </c>
      <c r="AF43" s="84"/>
      <c r="AG43" s="84"/>
      <c r="AH43" s="118">
        <f t="shared" si="6"/>
      </c>
      <c r="AI43" s="84"/>
      <c r="AJ43" s="84"/>
      <c r="AK43" s="84"/>
      <c r="AL43" s="84"/>
      <c r="AM43" s="118">
        <f t="shared" si="7"/>
      </c>
      <c r="AN43" s="84"/>
      <c r="AO43" s="84"/>
      <c r="AP43" s="118">
        <f t="shared" si="8"/>
      </c>
      <c r="AQ43" s="84"/>
      <c r="AR43" s="84"/>
      <c r="AS43" s="84"/>
      <c r="AT43" s="84"/>
      <c r="AU43" s="84"/>
      <c r="AV43" s="118">
        <f t="shared" si="9"/>
      </c>
      <c r="AW43" s="84"/>
      <c r="AX43" s="84"/>
      <c r="AY43" s="84"/>
      <c r="AZ43" s="84"/>
      <c r="BA43" s="118">
        <f t="shared" si="10"/>
      </c>
      <c r="BB43" s="118">
        <f t="shared" si="11"/>
      </c>
      <c r="BC43" s="84"/>
      <c r="BD43" s="84"/>
      <c r="BE43" s="84"/>
      <c r="BF43" s="84"/>
      <c r="BG43" s="84"/>
      <c r="BH43" s="44"/>
    </row>
    <row r="44" spans="2:60" s="43" customFormat="1" ht="30" customHeight="1" thickBot="1">
      <c r="B44" s="86">
        <v>37</v>
      </c>
      <c r="C44" s="84"/>
      <c r="D44" s="84"/>
      <c r="E44" s="84"/>
      <c r="F44" s="84"/>
      <c r="G44" s="84"/>
      <c r="H44" s="84"/>
      <c r="I44" s="84"/>
      <c r="J44" s="84"/>
      <c r="K44" s="84"/>
      <c r="L44" s="118">
        <f t="shared" si="0"/>
      </c>
      <c r="M44" s="84"/>
      <c r="N44" s="84"/>
      <c r="O44" s="118">
        <f t="shared" si="1"/>
      </c>
      <c r="P44" s="84"/>
      <c r="Q44" s="84"/>
      <c r="R44" s="84"/>
      <c r="S44" s="118">
        <f t="shared" si="2"/>
      </c>
      <c r="T44" s="84"/>
      <c r="U44" s="84"/>
      <c r="V44" s="84"/>
      <c r="W44" s="84"/>
      <c r="X44" s="84"/>
      <c r="Y44" s="118">
        <f t="shared" si="3"/>
      </c>
      <c r="Z44" s="118">
        <f t="shared" si="4"/>
      </c>
      <c r="AA44" s="84"/>
      <c r="AB44" s="84"/>
      <c r="AC44" s="84"/>
      <c r="AD44" s="84"/>
      <c r="AE44" s="118">
        <f t="shared" si="5"/>
      </c>
      <c r="AF44" s="84"/>
      <c r="AG44" s="84"/>
      <c r="AH44" s="118">
        <f t="shared" si="6"/>
      </c>
      <c r="AI44" s="84"/>
      <c r="AJ44" s="84"/>
      <c r="AK44" s="84"/>
      <c r="AL44" s="84"/>
      <c r="AM44" s="118">
        <f t="shared" si="7"/>
      </c>
      <c r="AN44" s="84"/>
      <c r="AO44" s="84"/>
      <c r="AP44" s="118">
        <f t="shared" si="8"/>
      </c>
      <c r="AQ44" s="84"/>
      <c r="AR44" s="84"/>
      <c r="AS44" s="84"/>
      <c r="AT44" s="84"/>
      <c r="AU44" s="84"/>
      <c r="AV44" s="118">
        <f t="shared" si="9"/>
      </c>
      <c r="AW44" s="84"/>
      <c r="AX44" s="84"/>
      <c r="AY44" s="84"/>
      <c r="AZ44" s="84"/>
      <c r="BA44" s="118">
        <f t="shared" si="10"/>
      </c>
      <c r="BB44" s="118">
        <f t="shared" si="11"/>
      </c>
      <c r="BC44" s="84"/>
      <c r="BD44" s="84"/>
      <c r="BE44" s="84"/>
      <c r="BF44" s="84"/>
      <c r="BG44" s="84"/>
      <c r="BH44" s="44"/>
    </row>
    <row r="45" spans="2:60" s="43" customFormat="1" ht="30" customHeight="1" thickBot="1">
      <c r="B45" s="86">
        <v>38</v>
      </c>
      <c r="C45" s="84"/>
      <c r="D45" s="84"/>
      <c r="E45" s="84"/>
      <c r="F45" s="84"/>
      <c r="G45" s="84"/>
      <c r="H45" s="84"/>
      <c r="I45" s="84"/>
      <c r="J45" s="84"/>
      <c r="K45" s="84"/>
      <c r="L45" s="118">
        <f t="shared" si="0"/>
      </c>
      <c r="M45" s="84"/>
      <c r="N45" s="84"/>
      <c r="O45" s="118">
        <f t="shared" si="1"/>
      </c>
      <c r="P45" s="84"/>
      <c r="Q45" s="84"/>
      <c r="R45" s="84"/>
      <c r="S45" s="118">
        <f t="shared" si="2"/>
      </c>
      <c r="T45" s="84"/>
      <c r="U45" s="84"/>
      <c r="V45" s="84"/>
      <c r="W45" s="84"/>
      <c r="X45" s="84"/>
      <c r="Y45" s="118">
        <f t="shared" si="3"/>
      </c>
      <c r="Z45" s="118">
        <f t="shared" si="4"/>
      </c>
      <c r="AA45" s="84"/>
      <c r="AB45" s="84"/>
      <c r="AC45" s="84"/>
      <c r="AD45" s="84"/>
      <c r="AE45" s="118">
        <f t="shared" si="5"/>
      </c>
      <c r="AF45" s="84"/>
      <c r="AG45" s="84"/>
      <c r="AH45" s="118">
        <f t="shared" si="6"/>
      </c>
      <c r="AI45" s="84"/>
      <c r="AJ45" s="84"/>
      <c r="AK45" s="84"/>
      <c r="AL45" s="84"/>
      <c r="AM45" s="118">
        <f t="shared" si="7"/>
      </c>
      <c r="AN45" s="84"/>
      <c r="AO45" s="84"/>
      <c r="AP45" s="118">
        <f t="shared" si="8"/>
      </c>
      <c r="AQ45" s="84"/>
      <c r="AR45" s="84"/>
      <c r="AS45" s="84"/>
      <c r="AT45" s="84"/>
      <c r="AU45" s="84"/>
      <c r="AV45" s="118">
        <f t="shared" si="9"/>
      </c>
      <c r="AW45" s="84"/>
      <c r="AX45" s="84"/>
      <c r="AY45" s="84"/>
      <c r="AZ45" s="84"/>
      <c r="BA45" s="118">
        <f t="shared" si="10"/>
      </c>
      <c r="BB45" s="118">
        <f t="shared" si="11"/>
      </c>
      <c r="BC45" s="84"/>
      <c r="BD45" s="84"/>
      <c r="BE45" s="84"/>
      <c r="BF45" s="84"/>
      <c r="BG45" s="84"/>
      <c r="BH45" s="44"/>
    </row>
    <row r="46" spans="2:60" s="43" customFormat="1" ht="30" customHeight="1" thickBot="1">
      <c r="B46" s="86">
        <v>39</v>
      </c>
      <c r="C46" s="84"/>
      <c r="D46" s="84"/>
      <c r="E46" s="84"/>
      <c r="F46" s="84"/>
      <c r="G46" s="84"/>
      <c r="H46" s="84"/>
      <c r="I46" s="84"/>
      <c r="J46" s="84"/>
      <c r="K46" s="84"/>
      <c r="L46" s="118">
        <f t="shared" si="0"/>
      </c>
      <c r="M46" s="84"/>
      <c r="N46" s="84"/>
      <c r="O46" s="118">
        <f t="shared" si="1"/>
      </c>
      <c r="P46" s="84"/>
      <c r="Q46" s="84"/>
      <c r="R46" s="84"/>
      <c r="S46" s="118">
        <f t="shared" si="2"/>
      </c>
      <c r="T46" s="84"/>
      <c r="U46" s="84"/>
      <c r="V46" s="84"/>
      <c r="W46" s="84"/>
      <c r="X46" s="84"/>
      <c r="Y46" s="118">
        <f t="shared" si="3"/>
      </c>
      <c r="Z46" s="118">
        <f t="shared" si="4"/>
      </c>
      <c r="AA46" s="84"/>
      <c r="AB46" s="84"/>
      <c r="AC46" s="84"/>
      <c r="AD46" s="84"/>
      <c r="AE46" s="118">
        <f t="shared" si="5"/>
      </c>
      <c r="AF46" s="84"/>
      <c r="AG46" s="84"/>
      <c r="AH46" s="118">
        <f t="shared" si="6"/>
      </c>
      <c r="AI46" s="84"/>
      <c r="AJ46" s="84"/>
      <c r="AK46" s="84"/>
      <c r="AL46" s="84"/>
      <c r="AM46" s="118">
        <f t="shared" si="7"/>
      </c>
      <c r="AN46" s="84"/>
      <c r="AO46" s="84"/>
      <c r="AP46" s="118">
        <f t="shared" si="8"/>
      </c>
      <c r="AQ46" s="84"/>
      <c r="AR46" s="84"/>
      <c r="AS46" s="84"/>
      <c r="AT46" s="84"/>
      <c r="AU46" s="84"/>
      <c r="AV46" s="118">
        <f t="shared" si="9"/>
      </c>
      <c r="AW46" s="84"/>
      <c r="AX46" s="84"/>
      <c r="AY46" s="84"/>
      <c r="AZ46" s="84"/>
      <c r="BA46" s="118">
        <f t="shared" si="10"/>
      </c>
      <c r="BB46" s="118">
        <f t="shared" si="11"/>
      </c>
      <c r="BC46" s="84"/>
      <c r="BD46" s="84"/>
      <c r="BE46" s="84"/>
      <c r="BF46" s="84"/>
      <c r="BG46" s="84"/>
      <c r="BH46" s="44"/>
    </row>
    <row r="47" spans="2:60" s="43" customFormat="1" ht="30" customHeight="1" thickBot="1">
      <c r="B47" s="86">
        <v>40</v>
      </c>
      <c r="C47" s="84"/>
      <c r="D47" s="84"/>
      <c r="E47" s="84"/>
      <c r="F47" s="84"/>
      <c r="G47" s="84"/>
      <c r="H47" s="84"/>
      <c r="I47" s="84"/>
      <c r="J47" s="84"/>
      <c r="K47" s="84"/>
      <c r="L47" s="118">
        <f t="shared" si="0"/>
      </c>
      <c r="M47" s="84"/>
      <c r="N47" s="84"/>
      <c r="O47" s="118">
        <f t="shared" si="1"/>
      </c>
      <c r="P47" s="84"/>
      <c r="Q47" s="84"/>
      <c r="R47" s="84"/>
      <c r="S47" s="118">
        <f t="shared" si="2"/>
      </c>
      <c r="T47" s="84"/>
      <c r="U47" s="84"/>
      <c r="V47" s="84"/>
      <c r="W47" s="84"/>
      <c r="X47" s="84"/>
      <c r="Y47" s="118">
        <f t="shared" si="3"/>
      </c>
      <c r="Z47" s="118">
        <f t="shared" si="4"/>
      </c>
      <c r="AA47" s="84"/>
      <c r="AB47" s="84"/>
      <c r="AC47" s="84"/>
      <c r="AD47" s="84"/>
      <c r="AE47" s="118">
        <f t="shared" si="5"/>
      </c>
      <c r="AF47" s="84"/>
      <c r="AG47" s="84"/>
      <c r="AH47" s="118">
        <f t="shared" si="6"/>
      </c>
      <c r="AI47" s="84"/>
      <c r="AJ47" s="84"/>
      <c r="AK47" s="84"/>
      <c r="AL47" s="84"/>
      <c r="AM47" s="118">
        <f t="shared" si="7"/>
      </c>
      <c r="AN47" s="84"/>
      <c r="AO47" s="84"/>
      <c r="AP47" s="118">
        <f t="shared" si="8"/>
      </c>
      <c r="AQ47" s="84"/>
      <c r="AR47" s="84"/>
      <c r="AS47" s="84"/>
      <c r="AT47" s="84"/>
      <c r="AU47" s="84"/>
      <c r="AV47" s="118">
        <f t="shared" si="9"/>
      </c>
      <c r="AW47" s="84"/>
      <c r="AX47" s="84"/>
      <c r="AY47" s="84"/>
      <c r="AZ47" s="84"/>
      <c r="BA47" s="118">
        <f t="shared" si="10"/>
      </c>
      <c r="BB47" s="118">
        <f t="shared" si="11"/>
      </c>
      <c r="BC47" s="84"/>
      <c r="BD47" s="84"/>
      <c r="BE47" s="84"/>
      <c r="BF47" s="84"/>
      <c r="BG47" s="84"/>
      <c r="BH47" s="44"/>
    </row>
    <row r="48" spans="2:60" s="43" customFormat="1" ht="30" customHeight="1" thickBot="1">
      <c r="B48" s="86" t="s">
        <v>115</v>
      </c>
      <c r="C48" s="84"/>
      <c r="D48" s="84"/>
      <c r="E48" s="84"/>
      <c r="F48" s="84"/>
      <c r="G48" s="84"/>
      <c r="H48" s="84"/>
      <c r="I48" s="84"/>
      <c r="J48" s="84"/>
      <c r="K48" s="84"/>
      <c r="L48" s="118">
        <f t="shared" si="0"/>
      </c>
      <c r="M48" s="84"/>
      <c r="N48" s="84"/>
      <c r="O48" s="118">
        <f t="shared" si="1"/>
      </c>
      <c r="P48" s="84"/>
      <c r="Q48" s="84"/>
      <c r="R48" s="84"/>
      <c r="S48" s="118">
        <f t="shared" si="2"/>
      </c>
      <c r="T48" s="84"/>
      <c r="U48" s="84"/>
      <c r="V48" s="84"/>
      <c r="W48" s="84"/>
      <c r="X48" s="84"/>
      <c r="Y48" s="118">
        <f t="shared" si="3"/>
      </c>
      <c r="Z48" s="118">
        <f t="shared" si="4"/>
      </c>
      <c r="AA48" s="84"/>
      <c r="AB48" s="84"/>
      <c r="AC48" s="84"/>
      <c r="AD48" s="84"/>
      <c r="AE48" s="118">
        <f t="shared" si="5"/>
      </c>
      <c r="AF48" s="84"/>
      <c r="AG48" s="84"/>
      <c r="AH48" s="118">
        <f t="shared" si="6"/>
      </c>
      <c r="AI48" s="84"/>
      <c r="AJ48" s="84"/>
      <c r="AK48" s="84"/>
      <c r="AL48" s="84"/>
      <c r="AM48" s="118">
        <f t="shared" si="7"/>
      </c>
      <c r="AN48" s="84"/>
      <c r="AO48" s="84"/>
      <c r="AP48" s="118">
        <f t="shared" si="8"/>
      </c>
      <c r="AQ48" s="84"/>
      <c r="AR48" s="84"/>
      <c r="AS48" s="84"/>
      <c r="AT48" s="84"/>
      <c r="AU48" s="84"/>
      <c r="AV48" s="118">
        <f t="shared" si="9"/>
      </c>
      <c r="AW48" s="84"/>
      <c r="AX48" s="84"/>
      <c r="AY48" s="84"/>
      <c r="AZ48" s="84"/>
      <c r="BA48" s="118">
        <f t="shared" si="10"/>
      </c>
      <c r="BB48" s="118">
        <f t="shared" si="11"/>
      </c>
      <c r="BC48" s="84"/>
      <c r="BD48" s="84"/>
      <c r="BE48" s="84"/>
      <c r="BF48" s="84"/>
      <c r="BG48" s="84"/>
      <c r="BH48" s="44"/>
    </row>
    <row r="49" spans="2:60" s="43" customFormat="1" ht="13.5" thickBot="1">
      <c r="B49" s="3" t="s">
        <v>5</v>
      </c>
      <c r="C49" s="48"/>
      <c r="D49" s="49"/>
      <c r="E49" s="50"/>
      <c r="F49" s="88">
        <f>COUNTIF(F8:F48,"Carbon-13 urea breath test")+COUNTIF(F8:F48,"Stool antigen test")+COUNTIF(F8:F48,"Laboratory-based serology")</f>
        <v>0</v>
      </c>
      <c r="G49" s="88">
        <f>COUNTIF(G8:G48,"Yes")</f>
        <v>0</v>
      </c>
      <c r="H49" s="88">
        <f>COUNTIF(H8:H48,"Yes")</f>
        <v>0</v>
      </c>
      <c r="I49" s="88">
        <f>COUNTIF(I8:I48,"Yes")</f>
        <v>0</v>
      </c>
      <c r="J49" s="124" t="str">
        <f>"Esomeprazole: "&amp;COUNTIF(J8:J48,"Esomeprazole")</f>
        <v>Esomeprazole: 0</v>
      </c>
      <c r="K49" s="88"/>
      <c r="L49" s="88">
        <f>COUNTIF(L8:L48,"Yes")</f>
        <v>0</v>
      </c>
      <c r="M49" s="88">
        <f>COUNTIF(M8:M48,"Yes")</f>
        <v>0</v>
      </c>
      <c r="N49" s="88">
        <f>COUNTIF(N8:N48,"Yes")</f>
        <v>0</v>
      </c>
      <c r="O49" s="88">
        <f>COUNTIF(O8:O48,"Yes")</f>
        <v>0</v>
      </c>
      <c r="P49" s="88">
        <f>COUNTIF(P8:P48,"Yes")</f>
        <v>0</v>
      </c>
      <c r="Q49" s="124" t="str">
        <f>"Esomeprazole: "&amp;COUNTIF(Q8:Q48,"Esomeprazole")</f>
        <v>Esomeprazole: 0</v>
      </c>
      <c r="R49" s="88"/>
      <c r="S49" s="88">
        <f aca="true" t="shared" si="12" ref="S49:Z49">COUNTIF(S8:S48,"Yes")</f>
        <v>0</v>
      </c>
      <c r="T49" s="88">
        <f t="shared" si="12"/>
        <v>0</v>
      </c>
      <c r="U49" s="88">
        <f t="shared" si="12"/>
        <v>0</v>
      </c>
      <c r="V49" s="88">
        <f t="shared" si="12"/>
        <v>0</v>
      </c>
      <c r="W49" s="88">
        <f t="shared" si="12"/>
        <v>0</v>
      </c>
      <c r="X49" s="88">
        <f t="shared" si="12"/>
        <v>0</v>
      </c>
      <c r="Y49" s="88">
        <f t="shared" si="12"/>
        <v>0</v>
      </c>
      <c r="Z49" s="88">
        <f t="shared" si="12"/>
        <v>0</v>
      </c>
      <c r="AA49" s="88">
        <f>COUNTIF(AA8:AA48,"Yes")</f>
        <v>0</v>
      </c>
      <c r="AB49" s="88">
        <f>COUNTIF(AB8:AB48,"Yes")</f>
        <v>0</v>
      </c>
      <c r="AC49" s="124" t="str">
        <f>"Esomeprazole: "&amp;COUNTIF(AC8:AC48,"Esomeprazole")</f>
        <v>Esomeprazole: 0</v>
      </c>
      <c r="AD49" s="88"/>
      <c r="AE49" s="88">
        <f aca="true" t="shared" si="13" ref="AE49:AJ49">COUNTIF(AE8:AE48,"Yes")</f>
        <v>0</v>
      </c>
      <c r="AF49" s="88">
        <f t="shared" si="13"/>
        <v>0</v>
      </c>
      <c r="AG49" s="88">
        <f t="shared" si="13"/>
        <v>0</v>
      </c>
      <c r="AH49" s="88">
        <f t="shared" si="13"/>
        <v>0</v>
      </c>
      <c r="AI49" s="88">
        <f t="shared" si="13"/>
        <v>0</v>
      </c>
      <c r="AJ49" s="88">
        <f t="shared" si="13"/>
        <v>0</v>
      </c>
      <c r="AK49" s="124" t="str">
        <f>"Esomeprazole: "&amp;COUNTIF(AK8:AK48,"Esomeprazole")</f>
        <v>Esomeprazole: 0</v>
      </c>
      <c r="AL49" s="88"/>
      <c r="AM49" s="88">
        <f aca="true" t="shared" si="14" ref="AM49:AS49">COUNTIF(AM8:AM48,"Yes")</f>
        <v>0</v>
      </c>
      <c r="AN49" s="88">
        <f t="shared" si="14"/>
        <v>0</v>
      </c>
      <c r="AO49" s="88">
        <f t="shared" si="14"/>
        <v>0</v>
      </c>
      <c r="AP49" s="88">
        <f t="shared" si="14"/>
        <v>0</v>
      </c>
      <c r="AQ49" s="88">
        <f t="shared" si="14"/>
        <v>0</v>
      </c>
      <c r="AR49" s="88">
        <f t="shared" si="14"/>
        <v>0</v>
      </c>
      <c r="AS49" s="88">
        <f t="shared" si="14"/>
        <v>0</v>
      </c>
      <c r="AT49" s="124" t="str">
        <f>"Esomeprazole: "&amp;COUNTIF(AT8:AT48,"Esomeprazole")</f>
        <v>Esomeprazole: 0</v>
      </c>
      <c r="AU49" s="88"/>
      <c r="AV49" s="88">
        <f aca="true" t="shared" si="15" ref="AV49:BH49">COUNTIF(AV8:AV48,"Yes")</f>
        <v>0</v>
      </c>
      <c r="AW49" s="88">
        <f t="shared" si="15"/>
        <v>0</v>
      </c>
      <c r="AX49" s="88">
        <f t="shared" si="15"/>
        <v>0</v>
      </c>
      <c r="AY49" s="88">
        <f t="shared" si="15"/>
        <v>0</v>
      </c>
      <c r="AZ49" s="88">
        <f t="shared" si="15"/>
        <v>0</v>
      </c>
      <c r="BA49" s="88">
        <f t="shared" si="15"/>
        <v>0</v>
      </c>
      <c r="BB49" s="88">
        <f t="shared" si="15"/>
        <v>0</v>
      </c>
      <c r="BC49" s="88">
        <f t="shared" si="15"/>
        <v>0</v>
      </c>
      <c r="BD49" s="88">
        <f t="shared" si="15"/>
        <v>0</v>
      </c>
      <c r="BE49" s="88">
        <f t="shared" si="15"/>
        <v>0</v>
      </c>
      <c r="BF49" s="88">
        <f t="shared" si="15"/>
        <v>0</v>
      </c>
      <c r="BG49" s="88">
        <f t="shared" si="15"/>
        <v>0</v>
      </c>
      <c r="BH49" s="88">
        <f t="shared" si="15"/>
        <v>0</v>
      </c>
    </row>
    <row r="50" spans="2:60" s="43" customFormat="1" ht="13.5" thickBot="1">
      <c r="B50" s="3" t="s">
        <v>6</v>
      </c>
      <c r="C50" s="51"/>
      <c r="D50" s="40"/>
      <c r="E50" s="52"/>
      <c r="F50" s="88">
        <f>COUNTIF(F8:F48,"No")</f>
        <v>0</v>
      </c>
      <c r="G50" s="88">
        <f>COUNTIF(G8:G48,"No")</f>
        <v>0</v>
      </c>
      <c r="H50" s="88">
        <f>COUNTIF(H8:H48,"No")</f>
        <v>0</v>
      </c>
      <c r="I50" s="88">
        <f>COUNTIF(I8:I48,"No")</f>
        <v>0</v>
      </c>
      <c r="J50" s="124" t="str">
        <f>"Lansoprazole: "&amp;COUNTIF(J8:J48,"Lansoprazole")</f>
        <v>Lansoprazole: 0</v>
      </c>
      <c r="K50" s="88"/>
      <c r="L50" s="88">
        <f>COUNTIF(L8:L48,"No")</f>
        <v>0</v>
      </c>
      <c r="M50" s="88">
        <f>COUNTIF(M8:M48,"No")</f>
        <v>0</v>
      </c>
      <c r="N50" s="88">
        <f>COUNTIF(N8:N48,"No")</f>
        <v>0</v>
      </c>
      <c r="O50" s="88">
        <f>COUNTIF(O8:O48,"No")</f>
        <v>0</v>
      </c>
      <c r="P50" s="88">
        <f>COUNTIF(P8:P48,"No")</f>
        <v>0</v>
      </c>
      <c r="Q50" s="124" t="str">
        <f>"Lansoprazole: "&amp;COUNTIF(Q8:Q48,"Lansoprazole")</f>
        <v>Lansoprazole: 0</v>
      </c>
      <c r="R50" s="88"/>
      <c r="S50" s="88">
        <f aca="true" t="shared" si="16" ref="S50:Z50">COUNTIF(S8:S48,"No")</f>
        <v>0</v>
      </c>
      <c r="T50" s="88">
        <f t="shared" si="16"/>
        <v>0</v>
      </c>
      <c r="U50" s="88">
        <f t="shared" si="16"/>
        <v>0</v>
      </c>
      <c r="V50" s="88">
        <f t="shared" si="16"/>
        <v>0</v>
      </c>
      <c r="W50" s="88">
        <f t="shared" si="16"/>
        <v>0</v>
      </c>
      <c r="X50" s="88">
        <f t="shared" si="16"/>
        <v>0</v>
      </c>
      <c r="Y50" s="88">
        <f t="shared" si="16"/>
        <v>0</v>
      </c>
      <c r="Z50" s="88">
        <f t="shared" si="16"/>
        <v>0</v>
      </c>
      <c r="AA50" s="88">
        <f>COUNTIF(AA8:AA48,"No")</f>
        <v>0</v>
      </c>
      <c r="AB50" s="88">
        <f>COUNTIF(AB8:AB48,"No")</f>
        <v>0</v>
      </c>
      <c r="AC50" s="124" t="str">
        <f>"Lansoprazole: "&amp;COUNTIF(AC8:AC48,"Lansoprazole")</f>
        <v>Lansoprazole: 0</v>
      </c>
      <c r="AD50" s="88"/>
      <c r="AE50" s="88">
        <f aca="true" t="shared" si="17" ref="AE50:AJ50">COUNTIF(AE8:AE48,"No")</f>
        <v>0</v>
      </c>
      <c r="AF50" s="88">
        <f t="shared" si="17"/>
        <v>0</v>
      </c>
      <c r="AG50" s="88">
        <f t="shared" si="17"/>
        <v>0</v>
      </c>
      <c r="AH50" s="88">
        <f t="shared" si="17"/>
        <v>0</v>
      </c>
      <c r="AI50" s="88">
        <f t="shared" si="17"/>
        <v>0</v>
      </c>
      <c r="AJ50" s="88">
        <f t="shared" si="17"/>
        <v>0</v>
      </c>
      <c r="AK50" s="124" t="str">
        <f>"Lansoprazole: "&amp;COUNTIF(AK8:AK48,"Lansoprazole")</f>
        <v>Lansoprazole: 0</v>
      </c>
      <c r="AL50" s="88"/>
      <c r="AM50" s="88">
        <f aca="true" t="shared" si="18" ref="AM50:AS50">COUNTIF(AM8:AM48,"No")</f>
        <v>0</v>
      </c>
      <c r="AN50" s="88">
        <f t="shared" si="18"/>
        <v>0</v>
      </c>
      <c r="AO50" s="88">
        <f t="shared" si="18"/>
        <v>0</v>
      </c>
      <c r="AP50" s="88">
        <f t="shared" si="18"/>
        <v>0</v>
      </c>
      <c r="AQ50" s="88">
        <f t="shared" si="18"/>
        <v>0</v>
      </c>
      <c r="AR50" s="88">
        <f t="shared" si="18"/>
        <v>0</v>
      </c>
      <c r="AS50" s="88">
        <f t="shared" si="18"/>
        <v>0</v>
      </c>
      <c r="AT50" s="124" t="str">
        <f>"Lansoprazole: "&amp;COUNTIF(AT8:AT48,"Lansoprazole")</f>
        <v>Lansoprazole: 0</v>
      </c>
      <c r="AU50" s="88"/>
      <c r="AV50" s="88">
        <f aca="true" t="shared" si="19" ref="AV50:BH50">COUNTIF(AV8:AV48,"No")</f>
        <v>0</v>
      </c>
      <c r="AW50" s="88">
        <f t="shared" si="19"/>
        <v>0</v>
      </c>
      <c r="AX50" s="88">
        <f t="shared" si="19"/>
        <v>0</v>
      </c>
      <c r="AY50" s="88">
        <f t="shared" si="19"/>
        <v>0</v>
      </c>
      <c r="AZ50" s="88">
        <f t="shared" si="19"/>
        <v>0</v>
      </c>
      <c r="BA50" s="88">
        <f t="shared" si="19"/>
        <v>0</v>
      </c>
      <c r="BB50" s="88">
        <f t="shared" si="19"/>
        <v>0</v>
      </c>
      <c r="BC50" s="88">
        <f t="shared" si="19"/>
        <v>0</v>
      </c>
      <c r="BD50" s="88">
        <f t="shared" si="19"/>
        <v>0</v>
      </c>
      <c r="BE50" s="88">
        <f t="shared" si="19"/>
        <v>0</v>
      </c>
      <c r="BF50" s="88">
        <f t="shared" si="19"/>
        <v>0</v>
      </c>
      <c r="BG50" s="88">
        <f t="shared" si="19"/>
        <v>0</v>
      </c>
      <c r="BH50" s="88">
        <f t="shared" si="19"/>
        <v>0</v>
      </c>
    </row>
    <row r="51" spans="2:60" s="43" customFormat="1" ht="13.5" thickBot="1">
      <c r="B51" s="3" t="s">
        <v>7</v>
      </c>
      <c r="C51" s="51"/>
      <c r="D51" s="40"/>
      <c r="E51" s="52"/>
      <c r="F51" s="88">
        <f>SUM(F49:F50)</f>
        <v>0</v>
      </c>
      <c r="G51" s="88">
        <f>SUM(G49:G50)</f>
        <v>0</v>
      </c>
      <c r="H51" s="88">
        <f>SUM(H49:H50)</f>
        <v>0</v>
      </c>
      <c r="I51" s="88">
        <f>SUM(I49:I50)</f>
        <v>0</v>
      </c>
      <c r="J51" s="124" t="str">
        <f>"Omeprazole: "&amp;COUNTIF(J8:J48,"Omeprazole")</f>
        <v>Omeprazole: 0</v>
      </c>
      <c r="K51" s="88"/>
      <c r="L51" s="88">
        <f>SUM(L49:L50)</f>
        <v>0</v>
      </c>
      <c r="M51" s="88">
        <f>SUM(M49:M50)</f>
        <v>0</v>
      </c>
      <c r="N51" s="88">
        <f>SUM(N49:N50)</f>
        <v>0</v>
      </c>
      <c r="O51" s="88">
        <f>SUM(O49:O50)</f>
        <v>0</v>
      </c>
      <c r="P51" s="88">
        <f>SUM(P49:P50)</f>
        <v>0</v>
      </c>
      <c r="Q51" s="124" t="str">
        <f>"Omeprazole: "&amp;COUNTIF(Q8:Q48,"Omeprazole")</f>
        <v>Omeprazole: 0</v>
      </c>
      <c r="R51" s="88"/>
      <c r="S51" s="88">
        <f aca="true" t="shared" si="20" ref="S51:Z51">SUM(S49:S50)</f>
        <v>0</v>
      </c>
      <c r="T51" s="88">
        <f t="shared" si="20"/>
        <v>0</v>
      </c>
      <c r="U51" s="88">
        <f t="shared" si="20"/>
        <v>0</v>
      </c>
      <c r="V51" s="88">
        <f t="shared" si="20"/>
        <v>0</v>
      </c>
      <c r="W51" s="88">
        <f t="shared" si="20"/>
        <v>0</v>
      </c>
      <c r="X51" s="88">
        <f t="shared" si="20"/>
        <v>0</v>
      </c>
      <c r="Y51" s="88">
        <f t="shared" si="20"/>
        <v>0</v>
      </c>
      <c r="Z51" s="88">
        <f t="shared" si="20"/>
        <v>0</v>
      </c>
      <c r="AA51" s="88">
        <f>SUM(AA49:AA50)</f>
        <v>0</v>
      </c>
      <c r="AB51" s="88">
        <f>SUM(AB49:AB50)</f>
        <v>0</v>
      </c>
      <c r="AC51" s="124" t="str">
        <f>"Omeprazole: "&amp;COUNTIF(AC8:AC48,"Omeprazole")</f>
        <v>Omeprazole: 0</v>
      </c>
      <c r="AD51" s="88"/>
      <c r="AE51" s="88">
        <f aca="true" t="shared" si="21" ref="AE51:AJ51">SUM(AE49:AE50)</f>
        <v>0</v>
      </c>
      <c r="AF51" s="88">
        <f t="shared" si="21"/>
        <v>0</v>
      </c>
      <c r="AG51" s="88">
        <f t="shared" si="21"/>
        <v>0</v>
      </c>
      <c r="AH51" s="88">
        <f t="shared" si="21"/>
        <v>0</v>
      </c>
      <c r="AI51" s="88">
        <f t="shared" si="21"/>
        <v>0</v>
      </c>
      <c r="AJ51" s="88">
        <f t="shared" si="21"/>
        <v>0</v>
      </c>
      <c r="AK51" s="124" t="str">
        <f>"Omeprazole: "&amp;COUNTIF(AK8:AK48,"Omeprazole")</f>
        <v>Omeprazole: 0</v>
      </c>
      <c r="AL51" s="88"/>
      <c r="AM51" s="88">
        <f aca="true" t="shared" si="22" ref="AM51:AS51">SUM(AM49:AM50)</f>
        <v>0</v>
      </c>
      <c r="AN51" s="88">
        <f t="shared" si="22"/>
        <v>0</v>
      </c>
      <c r="AO51" s="88">
        <f t="shared" si="22"/>
        <v>0</v>
      </c>
      <c r="AP51" s="88">
        <f t="shared" si="22"/>
        <v>0</v>
      </c>
      <c r="AQ51" s="88">
        <f t="shared" si="22"/>
        <v>0</v>
      </c>
      <c r="AR51" s="88">
        <f t="shared" si="22"/>
        <v>0</v>
      </c>
      <c r="AS51" s="88">
        <f t="shared" si="22"/>
        <v>0</v>
      </c>
      <c r="AT51" s="124" t="str">
        <f>"Omeprazole: "&amp;COUNTIF(AT8:AT48,"Omeprazole")</f>
        <v>Omeprazole: 0</v>
      </c>
      <c r="AU51" s="88"/>
      <c r="AV51" s="88">
        <f aca="true" t="shared" si="23" ref="AV51:BH51">SUM(AV49:AV50)</f>
        <v>0</v>
      </c>
      <c r="AW51" s="88">
        <f t="shared" si="23"/>
        <v>0</v>
      </c>
      <c r="AX51" s="88">
        <f t="shared" si="23"/>
        <v>0</v>
      </c>
      <c r="AY51" s="88">
        <f t="shared" si="23"/>
        <v>0</v>
      </c>
      <c r="AZ51" s="88">
        <f t="shared" si="23"/>
        <v>0</v>
      </c>
      <c r="BA51" s="88">
        <f t="shared" si="23"/>
        <v>0</v>
      </c>
      <c r="BB51" s="88">
        <f t="shared" si="23"/>
        <v>0</v>
      </c>
      <c r="BC51" s="88">
        <f t="shared" si="23"/>
        <v>0</v>
      </c>
      <c r="BD51" s="88">
        <f t="shared" si="23"/>
        <v>0</v>
      </c>
      <c r="BE51" s="88">
        <f t="shared" si="23"/>
        <v>0</v>
      </c>
      <c r="BF51" s="88">
        <f t="shared" si="23"/>
        <v>0</v>
      </c>
      <c r="BG51" s="88">
        <f t="shared" si="23"/>
        <v>0</v>
      </c>
      <c r="BH51" s="88">
        <f t="shared" si="23"/>
        <v>0</v>
      </c>
    </row>
    <row r="52" spans="2:60" s="56" customFormat="1" ht="13.5" thickBot="1">
      <c r="B52" s="5" t="s">
        <v>8</v>
      </c>
      <c r="C52" s="53"/>
      <c r="D52" s="54"/>
      <c r="E52" s="55"/>
      <c r="F52" s="89" t="str">
        <f>IF(ISERROR(F49/F51),"%",F49/F51)</f>
        <v>%</v>
      </c>
      <c r="G52" s="89" t="str">
        <f>IF(ISERROR(G49/G51),"%",G49/G51)</f>
        <v>%</v>
      </c>
      <c r="H52" s="89" t="str">
        <f>IF(ISERROR(H49/H51),"%",H49/H51)</f>
        <v>%</v>
      </c>
      <c r="I52" s="89" t="str">
        <f>IF(ISERROR(I49/I51),"%",I49/I51)</f>
        <v>%</v>
      </c>
      <c r="J52" s="124" t="str">
        <f>"Pantoprazole: "&amp;COUNTIF(J8:J48,"Pantoprazole")</f>
        <v>Pantoprazole: 0</v>
      </c>
      <c r="K52" s="89"/>
      <c r="L52" s="89" t="str">
        <f>IF(ISERROR(L49/L51),"%",L49/L51)</f>
        <v>%</v>
      </c>
      <c r="M52" s="89" t="str">
        <f>IF(ISERROR(M49/M51),"%",M49/M51)</f>
        <v>%</v>
      </c>
      <c r="N52" s="89" t="str">
        <f>IF(ISERROR(N49/N51),"%",N49/N51)</f>
        <v>%</v>
      </c>
      <c r="O52" s="89" t="str">
        <f>IF(ISERROR(O49/O51),"%",O49/O51)</f>
        <v>%</v>
      </c>
      <c r="P52" s="89" t="str">
        <f>IF(ISERROR(P49/P51),"%",P49/P51)</f>
        <v>%</v>
      </c>
      <c r="Q52" s="124" t="str">
        <f>"Pantoprazole: "&amp;COUNTIF(Q8:Q48,"Pantoprazole")</f>
        <v>Pantoprazole: 0</v>
      </c>
      <c r="R52" s="89"/>
      <c r="S52" s="89" t="str">
        <f aca="true" t="shared" si="24" ref="S52:Z52">IF(ISERROR(S49/S51),"%",S49/S51)</f>
        <v>%</v>
      </c>
      <c r="T52" s="89" t="str">
        <f t="shared" si="24"/>
        <v>%</v>
      </c>
      <c r="U52" s="89" t="str">
        <f t="shared" si="24"/>
        <v>%</v>
      </c>
      <c r="V52" s="89" t="str">
        <f t="shared" si="24"/>
        <v>%</v>
      </c>
      <c r="W52" s="89" t="str">
        <f t="shared" si="24"/>
        <v>%</v>
      </c>
      <c r="X52" s="89" t="str">
        <f t="shared" si="24"/>
        <v>%</v>
      </c>
      <c r="Y52" s="89" t="str">
        <f t="shared" si="24"/>
        <v>%</v>
      </c>
      <c r="Z52" s="89" t="str">
        <f t="shared" si="24"/>
        <v>%</v>
      </c>
      <c r="AA52" s="89" t="str">
        <f>IF(ISERROR(AA49/AA51),"%",AA49/AA51)</f>
        <v>%</v>
      </c>
      <c r="AB52" s="89" t="str">
        <f>IF(ISERROR(AB49/AB51),"%",AB49/AB51)</f>
        <v>%</v>
      </c>
      <c r="AC52" s="124" t="str">
        <f>"Pantoprazole: "&amp;COUNTIF(AC8:AC48,"Pantoprazole")</f>
        <v>Pantoprazole: 0</v>
      </c>
      <c r="AD52" s="89"/>
      <c r="AE52" s="89" t="str">
        <f aca="true" t="shared" si="25" ref="AE52:AJ52">IF(ISERROR(AE49/AE51),"%",AE49/AE51)</f>
        <v>%</v>
      </c>
      <c r="AF52" s="89" t="str">
        <f t="shared" si="25"/>
        <v>%</v>
      </c>
      <c r="AG52" s="89" t="str">
        <f t="shared" si="25"/>
        <v>%</v>
      </c>
      <c r="AH52" s="89" t="str">
        <f t="shared" si="25"/>
        <v>%</v>
      </c>
      <c r="AI52" s="89" t="str">
        <f t="shared" si="25"/>
        <v>%</v>
      </c>
      <c r="AJ52" s="89" t="str">
        <f t="shared" si="25"/>
        <v>%</v>
      </c>
      <c r="AK52" s="124" t="str">
        <f>"Pantoprazole: "&amp;COUNTIF(AK8:AK48,"Pantoprazole")</f>
        <v>Pantoprazole: 0</v>
      </c>
      <c r="AL52" s="89"/>
      <c r="AM52" s="89" t="str">
        <f aca="true" t="shared" si="26" ref="AM52:AS52">IF(ISERROR(AM49/AM51),"%",AM49/AM51)</f>
        <v>%</v>
      </c>
      <c r="AN52" s="89" t="str">
        <f t="shared" si="26"/>
        <v>%</v>
      </c>
      <c r="AO52" s="89" t="str">
        <f t="shared" si="26"/>
        <v>%</v>
      </c>
      <c r="AP52" s="89" t="str">
        <f t="shared" si="26"/>
        <v>%</v>
      </c>
      <c r="AQ52" s="89" t="str">
        <f t="shared" si="26"/>
        <v>%</v>
      </c>
      <c r="AR52" s="89" t="str">
        <f t="shared" si="26"/>
        <v>%</v>
      </c>
      <c r="AS52" s="89" t="str">
        <f t="shared" si="26"/>
        <v>%</v>
      </c>
      <c r="AT52" s="124" t="str">
        <f>"Pantoprazole: "&amp;COUNTIF(AT8:AT48,"Pantoprazole")</f>
        <v>Pantoprazole: 0</v>
      </c>
      <c r="AU52" s="89"/>
      <c r="AV52" s="89" t="str">
        <f aca="true" t="shared" si="27" ref="AV52:BH52">IF(ISERROR(AV49/AV51),"%",AV49/AV51)</f>
        <v>%</v>
      </c>
      <c r="AW52" s="89" t="str">
        <f t="shared" si="27"/>
        <v>%</v>
      </c>
      <c r="AX52" s="89" t="str">
        <f t="shared" si="27"/>
        <v>%</v>
      </c>
      <c r="AY52" s="89" t="str">
        <f t="shared" si="27"/>
        <v>%</v>
      </c>
      <c r="AZ52" s="89" t="str">
        <f t="shared" si="27"/>
        <v>%</v>
      </c>
      <c r="BA52" s="89" t="str">
        <f t="shared" si="27"/>
        <v>%</v>
      </c>
      <c r="BB52" s="89" t="str">
        <f t="shared" si="27"/>
        <v>%</v>
      </c>
      <c r="BC52" s="89" t="str">
        <f t="shared" si="27"/>
        <v>%</v>
      </c>
      <c r="BD52" s="89" t="str">
        <f t="shared" si="27"/>
        <v>%</v>
      </c>
      <c r="BE52" s="89" t="str">
        <f t="shared" si="27"/>
        <v>%</v>
      </c>
      <c r="BF52" s="89" t="str">
        <f t="shared" si="27"/>
        <v>%</v>
      </c>
      <c r="BG52" s="89" t="str">
        <f t="shared" si="27"/>
        <v>%</v>
      </c>
      <c r="BH52" s="89" t="str">
        <f t="shared" si="27"/>
        <v>%</v>
      </c>
    </row>
    <row r="53" spans="3:60" s="43" customFormat="1" ht="13.5" thickBot="1">
      <c r="C53" s="57"/>
      <c r="F53" s="90"/>
      <c r="G53" s="90"/>
      <c r="H53" s="90"/>
      <c r="I53" s="90"/>
      <c r="J53" s="124" t="str">
        <f>"Rabeprazole: "&amp;COUNTIF(J8:J48,"Rabeprazole")</f>
        <v>Rabeprazole: 0</v>
      </c>
      <c r="K53" s="90"/>
      <c r="L53" s="90"/>
      <c r="M53" s="90"/>
      <c r="N53" s="90"/>
      <c r="O53" s="90"/>
      <c r="P53" s="90"/>
      <c r="Q53" s="124" t="str">
        <f>"Rabeprazole: "&amp;COUNTIF(Q8:Q48,"Rabeprazole")</f>
        <v>Rabeprazole: 0</v>
      </c>
      <c r="R53" s="90"/>
      <c r="S53" s="90"/>
      <c r="T53" s="90"/>
      <c r="U53" s="90"/>
      <c r="V53" s="90"/>
      <c r="W53" s="90"/>
      <c r="X53" s="90"/>
      <c r="Y53" s="90"/>
      <c r="Z53" s="90"/>
      <c r="AA53" s="90"/>
      <c r="AB53" s="90"/>
      <c r="AC53" s="124" t="str">
        <f>"Rabeprazole: "&amp;COUNTIF(AC8:AC48,"Rabeprazole")</f>
        <v>Rabeprazole: 0</v>
      </c>
      <c r="AD53" s="90"/>
      <c r="AE53" s="90"/>
      <c r="AF53" s="90"/>
      <c r="AG53" s="90"/>
      <c r="AH53" s="90"/>
      <c r="AI53" s="90"/>
      <c r="AJ53" s="90"/>
      <c r="AK53" s="124" t="str">
        <f>"Rabeprazole: "&amp;COUNTIF(AK8:AK48,"Rabeprazole")</f>
        <v>Rabeprazole: 0</v>
      </c>
      <c r="AL53" s="90"/>
      <c r="AM53" s="90"/>
      <c r="AN53" s="90"/>
      <c r="AO53" s="90"/>
      <c r="AP53" s="90"/>
      <c r="AQ53" s="90"/>
      <c r="AR53" s="90"/>
      <c r="AS53" s="90"/>
      <c r="AT53" s="124" t="str">
        <f>"Rabeprazole: "&amp;COUNTIF(AT8:AT48,"Rabeprazole")</f>
        <v>Rabeprazole: 0</v>
      </c>
      <c r="AU53" s="90"/>
      <c r="AV53" s="90"/>
      <c r="AW53" s="90"/>
      <c r="AX53" s="90"/>
      <c r="AY53" s="90"/>
      <c r="AZ53" s="90"/>
      <c r="BA53" s="90"/>
      <c r="BB53" s="90"/>
      <c r="BC53" s="90"/>
      <c r="BD53" s="90"/>
      <c r="BE53" s="90"/>
      <c r="BF53" s="90"/>
      <c r="BG53" s="90"/>
      <c r="BH53" s="90"/>
    </row>
    <row r="54" spans="3:60" s="43" customFormat="1" ht="13.5" thickBot="1">
      <c r="C54" s="57"/>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row>
    <row r="55" spans="2:60" s="43" customFormat="1" ht="13.5" thickBot="1">
      <c r="B55" s="3" t="s">
        <v>18</v>
      </c>
      <c r="C55" s="57"/>
      <c r="F55" s="88">
        <f>COUNTIF(F8:F48,"NA")</f>
        <v>0</v>
      </c>
      <c r="G55" s="88">
        <f>COUNTIF(G8:G48,"NA")</f>
        <v>0</v>
      </c>
      <c r="H55" s="88">
        <f>COUNTIF(H8:H48,"NA")</f>
        <v>0</v>
      </c>
      <c r="I55" s="88">
        <f>COUNTIF(I8:I48,"NA")</f>
        <v>0</v>
      </c>
      <c r="J55" s="88"/>
      <c r="K55" s="88"/>
      <c r="L55" s="88">
        <f>COUNTIF(L8:L48,"NA")</f>
        <v>0</v>
      </c>
      <c r="M55" s="88">
        <f>COUNTIF(M8:M48,"NA")</f>
        <v>0</v>
      </c>
      <c r="N55" s="88">
        <f>COUNTIF(N8:N48,"NA")</f>
        <v>0</v>
      </c>
      <c r="O55" s="88">
        <f>COUNTIF(O8:O48,"NA")</f>
        <v>0</v>
      </c>
      <c r="P55" s="88">
        <f>COUNTIF(P8:P48,"NA")</f>
        <v>0</v>
      </c>
      <c r="Q55" s="88"/>
      <c r="R55" s="88"/>
      <c r="S55" s="88">
        <f>COUNTIF(S8:S48,"NA")</f>
        <v>0</v>
      </c>
      <c r="T55" s="88">
        <f>COUNTIF(T8:T48,"NA")</f>
        <v>0</v>
      </c>
      <c r="U55" s="88">
        <f aca="true" t="shared" si="28" ref="U55:Z55">COUNTIF(U8:U48,"NA")</f>
        <v>0</v>
      </c>
      <c r="V55" s="88">
        <f>COUNTIF(V8:V48,"NA")</f>
        <v>0</v>
      </c>
      <c r="W55" s="88">
        <f>COUNTIF(W8:W48,"NA")</f>
        <v>0</v>
      </c>
      <c r="X55" s="88">
        <f t="shared" si="28"/>
        <v>0</v>
      </c>
      <c r="Y55" s="88">
        <f t="shared" si="28"/>
        <v>0</v>
      </c>
      <c r="Z55" s="88">
        <f t="shared" si="28"/>
        <v>0</v>
      </c>
      <c r="AA55" s="88">
        <f>COUNTIF(AA8:AA48,"NA")</f>
        <v>0</v>
      </c>
      <c r="AB55" s="88">
        <f>COUNTIF(AB8:AB48,"NA")</f>
        <v>0</v>
      </c>
      <c r="AC55" s="88"/>
      <c r="AD55" s="88"/>
      <c r="AE55" s="88">
        <f aca="true" t="shared" si="29" ref="AE55:AJ55">COUNTIF(AE8:AE48,"NA")</f>
        <v>0</v>
      </c>
      <c r="AF55" s="88">
        <f t="shared" si="29"/>
        <v>0</v>
      </c>
      <c r="AG55" s="88">
        <f t="shared" si="29"/>
        <v>0</v>
      </c>
      <c r="AH55" s="88">
        <f t="shared" si="29"/>
        <v>0</v>
      </c>
      <c r="AI55" s="88">
        <f t="shared" si="29"/>
        <v>0</v>
      </c>
      <c r="AJ55" s="88">
        <f t="shared" si="29"/>
        <v>0</v>
      </c>
      <c r="AK55" s="88"/>
      <c r="AL55" s="88"/>
      <c r="AM55" s="88">
        <f aca="true" t="shared" si="30" ref="AM55:AS55">COUNTIF(AM8:AM48,"NA")</f>
        <v>0</v>
      </c>
      <c r="AN55" s="88">
        <f t="shared" si="30"/>
        <v>0</v>
      </c>
      <c r="AO55" s="88">
        <f t="shared" si="30"/>
        <v>0</v>
      </c>
      <c r="AP55" s="88">
        <f t="shared" si="30"/>
        <v>0</v>
      </c>
      <c r="AQ55" s="88">
        <f t="shared" si="30"/>
        <v>0</v>
      </c>
      <c r="AR55" s="88">
        <f t="shared" si="30"/>
        <v>0</v>
      </c>
      <c r="AS55" s="88">
        <f t="shared" si="30"/>
        <v>0</v>
      </c>
      <c r="AT55" s="88"/>
      <c r="AU55" s="88"/>
      <c r="AV55" s="88">
        <f aca="true" t="shared" si="31" ref="AV55:BH55">COUNTIF(AV8:AV48,"NA")</f>
        <v>0</v>
      </c>
      <c r="AW55" s="88">
        <f t="shared" si="31"/>
        <v>0</v>
      </c>
      <c r="AX55" s="88">
        <f t="shared" si="31"/>
        <v>0</v>
      </c>
      <c r="AY55" s="88">
        <f t="shared" si="31"/>
        <v>0</v>
      </c>
      <c r="AZ55" s="88">
        <f t="shared" si="31"/>
        <v>0</v>
      </c>
      <c r="BA55" s="88">
        <f t="shared" si="31"/>
        <v>0</v>
      </c>
      <c r="BB55" s="88">
        <f t="shared" si="31"/>
        <v>0</v>
      </c>
      <c r="BC55" s="88">
        <f t="shared" si="31"/>
        <v>0</v>
      </c>
      <c r="BD55" s="88">
        <f t="shared" si="31"/>
        <v>0</v>
      </c>
      <c r="BE55" s="88">
        <f t="shared" si="31"/>
        <v>0</v>
      </c>
      <c r="BF55" s="88">
        <f t="shared" si="31"/>
        <v>0</v>
      </c>
      <c r="BG55" s="88">
        <f t="shared" si="31"/>
        <v>0</v>
      </c>
      <c r="BH55" s="88">
        <f t="shared" si="31"/>
        <v>0</v>
      </c>
    </row>
    <row r="56" spans="2:60" s="43" customFormat="1" ht="13.5" thickBot="1">
      <c r="B56" s="3" t="s">
        <v>21</v>
      </c>
      <c r="C56" s="57"/>
      <c r="F56" s="88">
        <f>COUNTIF(F8:F48,"*Exception*")</f>
        <v>0</v>
      </c>
      <c r="G56" s="88">
        <f>COUNTIF(G8:G48,"*Exception*")</f>
        <v>0</v>
      </c>
      <c r="H56" s="88">
        <f>COUNTIF(H8:H48,"*Exception*")</f>
        <v>0</v>
      </c>
      <c r="I56" s="88">
        <f>COUNTIF(I8:I48,"*Exception*")</f>
        <v>0</v>
      </c>
      <c r="J56" s="88"/>
      <c r="K56" s="88"/>
      <c r="L56" s="88">
        <f>COUNTIF(L8:L48,"*Exception*")</f>
        <v>0</v>
      </c>
      <c r="M56" s="88">
        <f>COUNTIF(M8:M48,"*Exception*")</f>
        <v>0</v>
      </c>
      <c r="N56" s="88">
        <f>COUNTIF(N8:N48,"*Exception*")</f>
        <v>0</v>
      </c>
      <c r="O56" s="88">
        <f>COUNTIF(O8:O48,"*Exception*")</f>
        <v>0</v>
      </c>
      <c r="P56" s="88">
        <f>COUNTIF(P8:P48,"*Exception*")</f>
        <v>0</v>
      </c>
      <c r="Q56" s="88"/>
      <c r="R56" s="88"/>
      <c r="S56" s="88">
        <f>COUNTIF(S8:S48,"*Exception*")</f>
        <v>0</v>
      </c>
      <c r="T56" s="88">
        <f>COUNTIF(T8:T48,"*Exception*")</f>
        <v>0</v>
      </c>
      <c r="U56" s="88">
        <f aca="true" t="shared" si="32" ref="U56:Z56">COUNTIF(U8:U48,"*Exception*")</f>
        <v>0</v>
      </c>
      <c r="V56" s="88">
        <f>COUNTIF(V8:V48,"*Exception*")</f>
        <v>0</v>
      </c>
      <c r="W56" s="88">
        <f>COUNTIF(W8:W48,"*Exception*")</f>
        <v>0</v>
      </c>
      <c r="X56" s="88">
        <f t="shared" si="32"/>
        <v>0</v>
      </c>
      <c r="Y56" s="88">
        <f t="shared" si="32"/>
        <v>0</v>
      </c>
      <c r="Z56" s="88">
        <f t="shared" si="32"/>
        <v>0</v>
      </c>
      <c r="AA56" s="88">
        <f>COUNTIF(AA8:AA48,"*Exception*")</f>
        <v>0</v>
      </c>
      <c r="AB56" s="88">
        <f>COUNTIF(AB8:AB48,"*Exception*")</f>
        <v>0</v>
      </c>
      <c r="AC56" s="88"/>
      <c r="AD56" s="88"/>
      <c r="AE56" s="88">
        <f aca="true" t="shared" si="33" ref="AE56:AJ56">COUNTIF(AE8:AE48,"*Exception*")</f>
        <v>0</v>
      </c>
      <c r="AF56" s="88">
        <f t="shared" si="33"/>
        <v>0</v>
      </c>
      <c r="AG56" s="88">
        <f t="shared" si="33"/>
        <v>0</v>
      </c>
      <c r="AH56" s="88">
        <f t="shared" si="33"/>
        <v>0</v>
      </c>
      <c r="AI56" s="88">
        <f t="shared" si="33"/>
        <v>0</v>
      </c>
      <c r="AJ56" s="88">
        <f t="shared" si="33"/>
        <v>0</v>
      </c>
      <c r="AK56" s="88"/>
      <c r="AL56" s="88"/>
      <c r="AM56" s="88">
        <f aca="true" t="shared" si="34" ref="AM56:AS56">COUNTIF(AM8:AM48,"*Exception*")</f>
        <v>0</v>
      </c>
      <c r="AN56" s="88">
        <f t="shared" si="34"/>
        <v>0</v>
      </c>
      <c r="AO56" s="88">
        <f t="shared" si="34"/>
        <v>0</v>
      </c>
      <c r="AP56" s="88">
        <f t="shared" si="34"/>
        <v>0</v>
      </c>
      <c r="AQ56" s="88">
        <f t="shared" si="34"/>
        <v>0</v>
      </c>
      <c r="AR56" s="88">
        <f t="shared" si="34"/>
        <v>0</v>
      </c>
      <c r="AS56" s="88">
        <f t="shared" si="34"/>
        <v>0</v>
      </c>
      <c r="AT56" s="88"/>
      <c r="AU56" s="88"/>
      <c r="AV56" s="88">
        <f aca="true" t="shared" si="35" ref="AV56:BH56">COUNTIF(AV8:AV48,"*Exception*")</f>
        <v>0</v>
      </c>
      <c r="AW56" s="88">
        <f t="shared" si="35"/>
        <v>0</v>
      </c>
      <c r="AX56" s="88">
        <f t="shared" si="35"/>
        <v>0</v>
      </c>
      <c r="AY56" s="88">
        <f t="shared" si="35"/>
        <v>0</v>
      </c>
      <c r="AZ56" s="88">
        <f t="shared" si="35"/>
        <v>0</v>
      </c>
      <c r="BA56" s="88">
        <f t="shared" si="35"/>
        <v>0</v>
      </c>
      <c r="BB56" s="88">
        <f t="shared" si="35"/>
        <v>0</v>
      </c>
      <c r="BC56" s="88">
        <f t="shared" si="35"/>
        <v>0</v>
      </c>
      <c r="BD56" s="88">
        <f t="shared" si="35"/>
        <v>0</v>
      </c>
      <c r="BE56" s="88">
        <f t="shared" si="35"/>
        <v>0</v>
      </c>
      <c r="BF56" s="88">
        <f t="shared" si="35"/>
        <v>0</v>
      </c>
      <c r="BG56" s="88">
        <f t="shared" si="35"/>
        <v>0</v>
      </c>
      <c r="BH56" s="88">
        <f t="shared" si="35"/>
        <v>0</v>
      </c>
    </row>
    <row r="58" spans="2:5" ht="14.25">
      <c r="B58" s="130" t="s">
        <v>84</v>
      </c>
      <c r="C58" s="130"/>
      <c r="D58" s="130"/>
      <c r="E58" s="130"/>
    </row>
    <row r="59" spans="2:6" ht="15">
      <c r="B59" s="173" t="s">
        <v>193</v>
      </c>
      <c r="C59" s="174"/>
      <c r="D59" s="174"/>
      <c r="E59" s="174"/>
      <c r="F59" s="145"/>
    </row>
    <row r="60" spans="2:6" ht="15">
      <c r="B60" s="2"/>
      <c r="C60" s="2"/>
      <c r="F60" s="146"/>
    </row>
    <row r="73" ht="14.25" hidden="1">
      <c r="B73" s="43" t="s">
        <v>25</v>
      </c>
    </row>
    <row r="74" ht="14.25" hidden="1">
      <c r="B74" s="43" t="s">
        <v>26</v>
      </c>
    </row>
    <row r="75" ht="14.25" hidden="1">
      <c r="B75" s="43" t="s">
        <v>37</v>
      </c>
    </row>
    <row r="76" ht="14.25" hidden="1">
      <c r="B76" s="43" t="s">
        <v>33</v>
      </c>
    </row>
    <row r="77" ht="14.25" hidden="1">
      <c r="B77" s="43" t="s">
        <v>34</v>
      </c>
    </row>
    <row r="78" ht="14.25" hidden="1">
      <c r="B78" s="43" t="s">
        <v>27</v>
      </c>
    </row>
    <row r="79" ht="14.25" hidden="1">
      <c r="B79" s="43" t="s">
        <v>38</v>
      </c>
    </row>
    <row r="80" ht="14.25" hidden="1">
      <c r="B80" s="43" t="s">
        <v>28</v>
      </c>
    </row>
    <row r="81" ht="14.25" hidden="1">
      <c r="B81" s="43" t="s">
        <v>29</v>
      </c>
    </row>
    <row r="82" ht="14.25" hidden="1">
      <c r="B82" s="43" t="s">
        <v>30</v>
      </c>
    </row>
    <row r="83" ht="14.25" hidden="1">
      <c r="B83" s="43" t="s">
        <v>39</v>
      </c>
    </row>
    <row r="84" ht="14.25" hidden="1">
      <c r="B84" s="43" t="s">
        <v>35</v>
      </c>
    </row>
    <row r="85" ht="14.25" hidden="1">
      <c r="B85" s="43" t="s">
        <v>36</v>
      </c>
    </row>
    <row r="86" ht="14.25" hidden="1">
      <c r="B86" s="43" t="s">
        <v>40</v>
      </c>
    </row>
    <row r="87" ht="14.25" hidden="1">
      <c r="B87" s="43" t="s">
        <v>31</v>
      </c>
    </row>
    <row r="88" ht="14.25" hidden="1">
      <c r="B88" s="43" t="s">
        <v>41</v>
      </c>
    </row>
    <row r="89" ht="14.25" hidden="1">
      <c r="B89" s="43" t="s">
        <v>32</v>
      </c>
    </row>
  </sheetData>
  <sheetProtection/>
  <mergeCells count="6">
    <mergeCell ref="B59:E59"/>
    <mergeCell ref="B2:K2"/>
    <mergeCell ref="B3:I3"/>
    <mergeCell ref="F4:H4"/>
    <mergeCell ref="I4:Z4"/>
    <mergeCell ref="AA4:BC4"/>
  </mergeCells>
  <conditionalFormatting sqref="U8:U48">
    <cfRule type="expression" priority="24" dxfId="4" stopIfTrue="1">
      <formula>(T8="Yes")</formula>
    </cfRule>
  </conditionalFormatting>
  <conditionalFormatting sqref="W8:W48">
    <cfRule type="expression" priority="23" dxfId="0" stopIfTrue="1">
      <formula>(T8="No")</formula>
    </cfRule>
  </conditionalFormatting>
  <conditionalFormatting sqref="X8:X48">
    <cfRule type="expression" priority="22" dxfId="0" stopIfTrue="1">
      <formula>(T8="No")</formula>
    </cfRule>
  </conditionalFormatting>
  <conditionalFormatting sqref="AJ8:AJ48">
    <cfRule type="expression" priority="21" dxfId="0" stopIfTrue="1">
      <formula>(OR(AI8="No",AI8="NA",AI8="Exception"))</formula>
    </cfRule>
  </conditionalFormatting>
  <conditionalFormatting sqref="AK8:AK48">
    <cfRule type="expression" priority="20" dxfId="0" stopIfTrue="1">
      <formula>(OR(AI8="No",AI8="NA",AI8="Exception"))</formula>
    </cfRule>
  </conditionalFormatting>
  <conditionalFormatting sqref="AL8:AL48">
    <cfRule type="expression" priority="19" dxfId="0" stopIfTrue="1">
      <formula>(OR(AI8="No",AI8="NA",AI8="Exception"))</formula>
    </cfRule>
  </conditionalFormatting>
  <conditionalFormatting sqref="AN8:AN48">
    <cfRule type="expression" priority="18" dxfId="0" stopIfTrue="1">
      <formula>(OR(AI8="No",AI8="NA",AI8="Exception"))</formula>
    </cfRule>
  </conditionalFormatting>
  <conditionalFormatting sqref="AO8:AO48">
    <cfRule type="expression" priority="17" dxfId="0" stopIfTrue="1">
      <formula>(OR(AI8="No",AI8="NA",AI8="Exception"))</formula>
    </cfRule>
  </conditionalFormatting>
  <conditionalFormatting sqref="AM8:AM48">
    <cfRule type="expression" priority="16" dxfId="0" stopIfTrue="1">
      <formula>(OR(AI8="No",AI8="NA",AI8="Exception"))</formula>
    </cfRule>
  </conditionalFormatting>
  <conditionalFormatting sqref="AP8:AP48">
    <cfRule type="expression" priority="15" dxfId="0" stopIfTrue="1">
      <formula>(OR(AI8="No",AI8="NA",AI8="Exception"))</formula>
    </cfRule>
  </conditionalFormatting>
  <conditionalFormatting sqref="AR8:AR48">
    <cfRule type="expression" priority="14" dxfId="0" stopIfTrue="1">
      <formula>(AQ8="No")</formula>
    </cfRule>
  </conditionalFormatting>
  <conditionalFormatting sqref="AS8:AS48">
    <cfRule type="expression" priority="13" dxfId="0" stopIfTrue="1">
      <formula>(AQ8="No")</formula>
    </cfRule>
  </conditionalFormatting>
  <conditionalFormatting sqref="AT8:AT48">
    <cfRule type="expression" priority="12" dxfId="0" stopIfTrue="1">
      <formula>(AQ8="No")</formula>
    </cfRule>
  </conditionalFormatting>
  <conditionalFormatting sqref="AU8:AU48">
    <cfRule type="expression" priority="11" dxfId="0" stopIfTrue="1">
      <formula>(AQ8="No")</formula>
    </cfRule>
  </conditionalFormatting>
  <conditionalFormatting sqref="AV8:AV48">
    <cfRule type="expression" priority="10" dxfId="0" stopIfTrue="1">
      <formula>(AQ8="No")</formula>
    </cfRule>
  </conditionalFormatting>
  <conditionalFormatting sqref="AW8:AW48">
    <cfRule type="expression" priority="9" dxfId="0" stopIfTrue="1">
      <formula>(AQ8="No")</formula>
    </cfRule>
  </conditionalFormatting>
  <conditionalFormatting sqref="AX8:AX48">
    <cfRule type="expression" priority="8" dxfId="0" stopIfTrue="1">
      <formula>(AQ8="No")</formula>
    </cfRule>
  </conditionalFormatting>
  <conditionalFormatting sqref="AY8:AY48">
    <cfRule type="expression" priority="7" dxfId="0" stopIfTrue="1">
      <formula>(AQ8="No")</formula>
    </cfRule>
  </conditionalFormatting>
  <conditionalFormatting sqref="AZ8:AZ48">
    <cfRule type="expression" priority="6" dxfId="0" stopIfTrue="1">
      <formula>(AQ8="No")</formula>
    </cfRule>
  </conditionalFormatting>
  <conditionalFormatting sqref="BA8:BA48">
    <cfRule type="expression" priority="5" dxfId="0" stopIfTrue="1">
      <formula>(AQ8="No")</formula>
    </cfRule>
  </conditionalFormatting>
  <conditionalFormatting sqref="BB8:BB48">
    <cfRule type="expression" priority="4" dxfId="0" stopIfTrue="1">
      <formula>(AQ8="No")</formula>
    </cfRule>
  </conditionalFormatting>
  <conditionalFormatting sqref="BB8:BB48">
    <cfRule type="expression" priority="3" dxfId="0" stopIfTrue="1">
      <formula>(AR8="No")</formula>
    </cfRule>
  </conditionalFormatting>
  <conditionalFormatting sqref="BA8:BA48">
    <cfRule type="expression" priority="2" dxfId="0" stopIfTrue="1">
      <formula>(AR8="Yes")</formula>
    </cfRule>
  </conditionalFormatting>
  <conditionalFormatting sqref="AX8:AX48">
    <cfRule type="expression" priority="25" dxfId="4" stopIfTrue="1">
      <formula>(AND('Re-audit'!#REF!="Yes",AR8="Yes"))</formula>
    </cfRule>
  </conditionalFormatting>
  <conditionalFormatting sqref="AY8:AY48">
    <cfRule type="expression" priority="26" dxfId="0" stopIfTrue="1">
      <formula>(AND('Re-audit'!#REF!="Yes",AR8="No"))</formula>
    </cfRule>
  </conditionalFormatting>
  <conditionalFormatting sqref="AZ8:AZ48">
    <cfRule type="expression" priority="27" dxfId="0" stopIfTrue="1">
      <formula>(AND('Re-audit'!#REF!="Yes",AR8="No"))</formula>
    </cfRule>
    <cfRule type="expression" priority="28" dxfId="0" stopIfTrue="1">
      <formula>('Re-audit'!#REF!="No")</formula>
    </cfRule>
  </conditionalFormatting>
  <conditionalFormatting sqref="AX8:AX48">
    <cfRule type="expression" priority="1" dxfId="0" stopIfTrue="1">
      <formula>(AR8="Yes")</formula>
    </cfRule>
  </conditionalFormatting>
  <dataValidations count="8">
    <dataValidation type="list" allowBlank="1" showInputMessage="1" showErrorMessage="1" sqref="M8:M48 AN8:AN48">
      <formula1>"Yes, No, NA, Exception A, Exception"</formula1>
    </dataValidation>
    <dataValidation type="list" allowBlank="1" showInputMessage="1" showErrorMessage="1" sqref="AO8:AO48">
      <formula1>"Quinolone, Tetracycline, No, NA, Exception"</formula1>
    </dataValidation>
    <dataValidation type="list" allowBlank="1" showInputMessage="1" showErrorMessage="1" sqref="N8:N48 AG8:AG48 AI8:AI48">
      <formula1>"Clarithromycin, Metronidazole, No, NA, Exception"</formula1>
    </dataValidation>
    <dataValidation type="list" allowBlank="1" showInputMessage="1" showErrorMessage="1" sqref="J8:J48 Q8:Q48 AC8:AC48 AK8:AK48 AT8:AT48">
      <formula1>"Esomeprazole, Lansoprazole, Omeprazole, Pantoprazole, Rabeprazole"</formula1>
    </dataValidation>
    <dataValidation type="list" allowBlank="1" showInputMessage="1" showErrorMessage="1" sqref="F8:F48">
      <formula1>"Carbon-13 urea breath test, Stool antigen test, Laboratory-based serology, No, NA, Exception"</formula1>
    </dataValidation>
    <dataValidation type="list" allowBlank="1" showInputMessage="1" showErrorMessage="1" sqref="G8:I48 AQ8:AS48 T8:X48 P8:P48 AA8:AB48 AF8:AF48 BC8:BH48 AJ8:AJ48 AW8:AZ48">
      <formula1>"Yes, No, NA, Exception"</formula1>
    </dataValidation>
    <dataValidation type="list" allowBlank="1" showInputMessage="1" showErrorMessage="1" sqref="E8:E48">
      <formula1>$B$73:$B$89</formula1>
    </dataValidation>
    <dataValidation type="list" allowBlank="1" showInputMessage="1" showErrorMessage="1" sqref="D8:D48">
      <formula1>"Male,Female"</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
    <pageSetUpPr fitToPage="1"/>
  </sheetPr>
  <dimension ref="B1:O73"/>
  <sheetViews>
    <sheetView showGridLines="0" zoomScale="90" zoomScaleNormal="90" zoomScalePageLayoutView="0" workbookViewId="0" topLeftCell="A4">
      <selection activeCell="M23" sqref="M23:N23"/>
    </sheetView>
  </sheetViews>
  <sheetFormatPr defaultColWidth="9.140625" defaultRowHeight="15"/>
  <cols>
    <col min="2" max="2" width="4.7109375" style="0" customWidth="1"/>
    <col min="3" max="3" width="13.57421875" style="0" customWidth="1"/>
    <col min="4" max="4" width="4.7109375" style="0" customWidth="1"/>
    <col min="5" max="5" width="17.00390625" style="0" customWidth="1"/>
    <col min="6" max="6" width="4.7109375" style="0" customWidth="1"/>
    <col min="7" max="7" width="17.57421875" style="0" customWidth="1"/>
    <col min="8" max="8" width="4.7109375" style="0" customWidth="1"/>
    <col min="9" max="9" width="7.57421875" style="75" customWidth="1"/>
    <col min="10" max="10" width="7.7109375" style="75" customWidth="1"/>
    <col min="11" max="11" width="3.7109375" style="0" customWidth="1"/>
    <col min="12" max="12" width="4.7109375" style="0" customWidth="1"/>
    <col min="13" max="13" width="16.8515625" style="0" customWidth="1"/>
    <col min="14" max="14" width="4.7109375" style="0" customWidth="1"/>
  </cols>
  <sheetData>
    <row r="1" spans="2:15" ht="48.75" customHeight="1">
      <c r="B1" s="161" t="str">
        <f>"Printable data collection form for "&amp;'Hidden sheet'!B3&amp;": "&amp;'Hidden sheet'!B4&amp;" clinical audit"</f>
        <v>Printable data collection form for Dyspepsia and GORD: Helicobacter pylori testing and eradication clinical audit</v>
      </c>
      <c r="C1" s="162"/>
      <c r="D1" s="162"/>
      <c r="E1" s="162"/>
      <c r="F1" s="162"/>
      <c r="G1" s="162"/>
      <c r="H1" s="162"/>
      <c r="I1" s="162"/>
      <c r="J1" s="162"/>
      <c r="K1" s="162"/>
      <c r="L1" s="162"/>
      <c r="M1" s="162"/>
      <c r="N1" s="162"/>
      <c r="O1" s="66"/>
    </row>
    <row r="2" s="67" customFormat="1" ht="14.25"/>
    <row r="3" spans="2:14" s="81" customFormat="1" ht="15" customHeight="1">
      <c r="B3" s="220" t="s">
        <v>126</v>
      </c>
      <c r="C3" s="220"/>
      <c r="D3" s="220"/>
      <c r="E3" s="220"/>
      <c r="F3" s="220"/>
      <c r="G3" s="220"/>
      <c r="H3" s="220"/>
      <c r="I3" s="220"/>
      <c r="J3" s="220"/>
      <c r="K3" s="220"/>
      <c r="L3" s="220"/>
      <c r="M3" s="220"/>
      <c r="N3" s="220"/>
    </row>
    <row r="4" s="81" customFormat="1" ht="15" thickBot="1"/>
    <row r="5" spans="2:14" s="67" customFormat="1" ht="30" customHeight="1" thickBot="1">
      <c r="B5" s="221" t="s">
        <v>102</v>
      </c>
      <c r="C5" s="222"/>
      <c r="D5" s="223"/>
      <c r="E5" s="221" t="s">
        <v>86</v>
      </c>
      <c r="F5" s="223"/>
      <c r="G5" s="221" t="s">
        <v>85</v>
      </c>
      <c r="H5" s="223"/>
      <c r="I5" s="81"/>
      <c r="J5" s="81"/>
      <c r="K5" s="81"/>
      <c r="L5" s="81"/>
      <c r="M5" s="81"/>
      <c r="N5" s="81"/>
    </row>
    <row r="6" spans="2:14" s="67" customFormat="1" ht="14.25">
      <c r="B6" s="234" t="s">
        <v>119</v>
      </c>
      <c r="C6" s="200"/>
      <c r="D6" s="200"/>
      <c r="E6" s="200"/>
      <c r="F6" s="200"/>
      <c r="G6" s="200"/>
      <c r="H6" s="200"/>
      <c r="I6" s="200"/>
      <c r="J6" s="200"/>
      <c r="K6" s="200"/>
      <c r="L6" s="200"/>
      <c r="M6" s="200"/>
      <c r="N6" s="200"/>
    </row>
    <row r="7" spans="2:14" s="67" customFormat="1" ht="15" thickBot="1">
      <c r="B7" s="81"/>
      <c r="C7" s="81"/>
      <c r="D7" s="81"/>
      <c r="E7" s="81"/>
      <c r="F7" s="81"/>
      <c r="G7" s="81"/>
      <c r="H7" s="81"/>
      <c r="I7" s="81"/>
      <c r="J7" s="81"/>
      <c r="K7" s="81"/>
      <c r="L7" s="81"/>
      <c r="M7" s="81"/>
      <c r="N7" s="81"/>
    </row>
    <row r="8" spans="2:14" s="67" customFormat="1" ht="15.75" thickBot="1">
      <c r="B8" s="231" t="s">
        <v>87</v>
      </c>
      <c r="C8" s="232"/>
      <c r="D8" s="233"/>
      <c r="E8" s="231" t="s">
        <v>88</v>
      </c>
      <c r="F8" s="233"/>
      <c r="G8" s="231" t="s">
        <v>89</v>
      </c>
      <c r="H8" s="233"/>
      <c r="I8" s="231" t="s">
        <v>90</v>
      </c>
      <c r="J8" s="232"/>
      <c r="K8" s="235"/>
      <c r="L8" s="236"/>
      <c r="M8" s="228" t="s">
        <v>91</v>
      </c>
      <c r="N8" s="229"/>
    </row>
    <row r="9" spans="2:14" s="67" customFormat="1" ht="29.25" thickBot="1">
      <c r="B9" s="230" t="s">
        <v>92</v>
      </c>
      <c r="C9" s="230"/>
      <c r="D9" s="83"/>
      <c r="E9" s="83" t="s">
        <v>94</v>
      </c>
      <c r="F9" s="83"/>
      <c r="G9" s="83" t="s">
        <v>97</v>
      </c>
      <c r="H9" s="83"/>
      <c r="I9" s="213" t="s">
        <v>120</v>
      </c>
      <c r="J9" s="214"/>
      <c r="K9" s="227"/>
      <c r="L9" s="83"/>
      <c r="M9" s="83" t="s">
        <v>31</v>
      </c>
      <c r="N9" s="76"/>
    </row>
    <row r="10" spans="2:14" s="67" customFormat="1" ht="29.25" thickBot="1">
      <c r="B10" s="230" t="s">
        <v>93</v>
      </c>
      <c r="C10" s="230"/>
      <c r="D10" s="83"/>
      <c r="E10" s="83" t="s">
        <v>95</v>
      </c>
      <c r="F10" s="83"/>
      <c r="G10" s="83" t="s">
        <v>98</v>
      </c>
      <c r="H10" s="83"/>
      <c r="I10" s="213" t="s">
        <v>100</v>
      </c>
      <c r="J10" s="214"/>
      <c r="K10" s="227"/>
      <c r="L10" s="83"/>
      <c r="M10" s="83" t="s">
        <v>41</v>
      </c>
      <c r="N10" s="76"/>
    </row>
    <row r="11" spans="2:14" s="67" customFormat="1" ht="30" customHeight="1" thickBot="1">
      <c r="B11" s="213" t="s">
        <v>37</v>
      </c>
      <c r="C11" s="227"/>
      <c r="D11" s="83"/>
      <c r="E11" s="83" t="s">
        <v>96</v>
      </c>
      <c r="F11" s="83"/>
      <c r="G11" s="83" t="s">
        <v>99</v>
      </c>
      <c r="H11" s="83"/>
      <c r="I11" s="213" t="s">
        <v>40</v>
      </c>
      <c r="J11" s="214"/>
      <c r="K11" s="227"/>
      <c r="L11" s="83"/>
      <c r="M11" s="83" t="s">
        <v>32</v>
      </c>
      <c r="N11" s="76"/>
    </row>
    <row r="12" spans="2:14" s="67" customFormat="1" ht="29.25" thickBot="1">
      <c r="B12" s="213"/>
      <c r="C12" s="227"/>
      <c r="D12" s="83"/>
      <c r="E12" s="83" t="s">
        <v>38</v>
      </c>
      <c r="F12" s="83"/>
      <c r="G12" s="83" t="s">
        <v>39</v>
      </c>
      <c r="H12" s="83"/>
      <c r="I12" s="213"/>
      <c r="J12" s="214"/>
      <c r="K12" s="227"/>
      <c r="L12" s="83"/>
      <c r="M12" s="83"/>
      <c r="N12" s="76"/>
    </row>
    <row r="13" spans="2:14" s="67" customFormat="1" ht="14.25">
      <c r="B13" s="77"/>
      <c r="C13" s="77"/>
      <c r="D13" s="77"/>
      <c r="E13" s="77"/>
      <c r="F13" s="77"/>
      <c r="G13" s="77"/>
      <c r="H13" s="77"/>
      <c r="I13" s="77"/>
      <c r="J13" s="77"/>
      <c r="K13" s="77"/>
      <c r="L13" s="77"/>
      <c r="M13" s="77"/>
      <c r="N13" s="77"/>
    </row>
    <row r="14" spans="2:14" s="67" customFormat="1" ht="15" thickBot="1">
      <c r="B14" s="81"/>
      <c r="C14" s="81"/>
      <c r="D14" s="81"/>
      <c r="E14" s="81"/>
      <c r="F14" s="81"/>
      <c r="G14" s="81"/>
      <c r="H14" s="81"/>
      <c r="I14" s="81"/>
      <c r="J14" s="81"/>
      <c r="K14" s="81"/>
      <c r="L14" s="81"/>
      <c r="M14" s="81"/>
      <c r="N14" s="81"/>
    </row>
    <row r="15" spans="2:14" ht="30" customHeight="1" thickBot="1">
      <c r="B15" s="98" t="s">
        <v>141</v>
      </c>
      <c r="C15" s="216" t="s">
        <v>101</v>
      </c>
      <c r="D15" s="218"/>
      <c r="E15" s="218"/>
      <c r="F15" s="218"/>
      <c r="G15" s="218"/>
      <c r="H15" s="226"/>
      <c r="I15" s="217"/>
      <c r="J15" s="98" t="s">
        <v>5</v>
      </c>
      <c r="K15" s="216" t="s">
        <v>6</v>
      </c>
      <c r="L15" s="217"/>
      <c r="M15" s="224" t="s">
        <v>133</v>
      </c>
      <c r="N15" s="225"/>
    </row>
    <row r="16" spans="2:14" s="75" customFormat="1" ht="31.5" customHeight="1" thickBot="1">
      <c r="B16" s="99">
        <f>'Data collection'!F5</f>
        <v>1</v>
      </c>
      <c r="C16" s="213" t="str">
        <f>'Data collection'!F6</f>
        <v>Was H pylori tested for using a carbon-13 urea breath test, a stool antigen test or laboratory-based serology?</v>
      </c>
      <c r="D16" s="214"/>
      <c r="E16" s="214"/>
      <c r="F16" s="214"/>
      <c r="G16" s="214"/>
      <c r="H16" s="214"/>
      <c r="I16" s="215"/>
      <c r="J16" s="100"/>
      <c r="K16" s="216"/>
      <c r="L16" s="217"/>
      <c r="M16" s="218"/>
      <c r="N16" s="219"/>
    </row>
    <row r="17" spans="2:14" s="75" customFormat="1" ht="31.5" customHeight="1" thickBot="1">
      <c r="B17" s="99">
        <f>'Data collection'!G5</f>
        <v>2</v>
      </c>
      <c r="C17" s="213" t="str">
        <f>'Data collection'!G6</f>
        <v>Was re-testing performed using a carbon-13 urea breath test?</v>
      </c>
      <c r="D17" s="214"/>
      <c r="E17" s="214"/>
      <c r="F17" s="214"/>
      <c r="G17" s="214"/>
      <c r="H17" s="214"/>
      <c r="I17" s="227"/>
      <c r="J17" s="98"/>
      <c r="K17" s="216"/>
      <c r="L17" s="217"/>
      <c r="M17" s="218"/>
      <c r="N17" s="219"/>
    </row>
    <row r="18" spans="2:14" s="75" customFormat="1" ht="31.5" customHeight="1" thickBot="1">
      <c r="B18" s="99">
        <f>'Data collection'!H5</f>
        <v>3</v>
      </c>
      <c r="C18" s="213" t="str">
        <f>'Data collection'!H6</f>
        <v>Were office-based serological tests used?</v>
      </c>
      <c r="D18" s="214"/>
      <c r="E18" s="214"/>
      <c r="F18" s="214"/>
      <c r="G18" s="214"/>
      <c r="H18" s="214"/>
      <c r="I18" s="215"/>
      <c r="J18" s="98"/>
      <c r="K18" s="216"/>
      <c r="L18" s="217"/>
      <c r="M18" s="218"/>
      <c r="N18" s="219"/>
    </row>
    <row r="19" spans="2:14" s="75" customFormat="1" ht="31.5" customHeight="1" thickBot="1">
      <c r="B19" s="99">
        <f>'Data collection'!I5</f>
        <v>4</v>
      </c>
      <c r="C19" s="213" t="str">
        <f>'Data collection'!I6</f>
        <v>If the person tested positive for H pylori, were they offered a 7-day, twice-daily course of treatment with a PPI?</v>
      </c>
      <c r="D19" s="214"/>
      <c r="E19" s="214"/>
      <c r="F19" s="214"/>
      <c r="G19" s="214"/>
      <c r="H19" s="214"/>
      <c r="I19" s="215"/>
      <c r="J19" s="98"/>
      <c r="K19" s="216"/>
      <c r="L19" s="217"/>
      <c r="M19" s="218"/>
      <c r="N19" s="219"/>
    </row>
    <row r="20" spans="2:14" s="75" customFormat="1" ht="31.5" customHeight="1" thickBot="1">
      <c r="B20" s="99">
        <f>'Data collection'!J5</f>
        <v>5</v>
      </c>
      <c r="C20" s="213" t="str">
        <f>'Data collection'!J6</f>
        <v>If yes to question 4, which drug was used?</v>
      </c>
      <c r="D20" s="214"/>
      <c r="E20" s="214"/>
      <c r="F20" s="214"/>
      <c r="G20" s="214"/>
      <c r="H20" s="214"/>
      <c r="I20" s="215"/>
      <c r="J20" s="98"/>
      <c r="K20" s="216"/>
      <c r="L20" s="217"/>
      <c r="M20" s="218"/>
      <c r="N20" s="219"/>
    </row>
    <row r="21" spans="2:14" s="75" customFormat="1" ht="31.5" customHeight="1" thickBot="1">
      <c r="B21" s="99">
        <f>'Data collection'!K5</f>
        <v>6</v>
      </c>
      <c r="C21" s="213" t="str">
        <f>'Data collection'!K6</f>
        <v>What dose was used?</v>
      </c>
      <c r="D21" s="214"/>
      <c r="E21" s="214"/>
      <c r="F21" s="214"/>
      <c r="G21" s="214"/>
      <c r="H21" s="214"/>
      <c r="I21" s="215"/>
      <c r="J21" s="98"/>
      <c r="K21" s="216"/>
      <c r="L21" s="217"/>
      <c r="M21" s="218"/>
      <c r="N21" s="219"/>
    </row>
    <row r="22" spans="2:14" s="75" customFormat="1" ht="31.5" customHeight="1" thickBot="1">
      <c r="B22" s="99">
        <f>'Data collection'!L5</f>
        <v>0</v>
      </c>
      <c r="C22" s="213" t="str">
        <f>'Data collection'!L6</f>
        <v>Was an appropriate PPI dose used?</v>
      </c>
      <c r="D22" s="214"/>
      <c r="E22" s="214"/>
      <c r="F22" s="214"/>
      <c r="G22" s="214"/>
      <c r="H22" s="214"/>
      <c r="I22" s="215"/>
      <c r="J22" s="98"/>
      <c r="K22" s="216"/>
      <c r="L22" s="217"/>
      <c r="M22" s="218"/>
      <c r="N22" s="219"/>
    </row>
    <row r="23" spans="2:14" s="75" customFormat="1" ht="31.5" customHeight="1" thickBot="1">
      <c r="B23" s="99">
        <f>'Data collection'!M5</f>
        <v>7</v>
      </c>
      <c r="C23" s="213" t="str">
        <f>'Data collection'!M6</f>
        <v>If the person tested positive for H pylori, were they offered a 7-day, twice daily course of treatment with amoxicillin?</v>
      </c>
      <c r="D23" s="214"/>
      <c r="E23" s="214"/>
      <c r="F23" s="214"/>
      <c r="G23" s="214"/>
      <c r="H23" s="214"/>
      <c r="I23" s="215"/>
      <c r="J23" s="98"/>
      <c r="K23" s="216"/>
      <c r="L23" s="217"/>
      <c r="M23" s="218" t="s">
        <v>240</v>
      </c>
      <c r="N23" s="219"/>
    </row>
    <row r="24" spans="2:14" s="75" customFormat="1" ht="31.5" customHeight="1" thickBot="1">
      <c r="B24" s="99">
        <f>'Data collection'!N5</f>
        <v>8</v>
      </c>
      <c r="C24" s="213" t="str">
        <f>'Data collection'!N6</f>
        <v>If the person tested positive for H pylori, were they offered a 7-day, twice-daily course of treatment with clarithromycin or metronidazole?</v>
      </c>
      <c r="D24" s="214"/>
      <c r="E24" s="214"/>
      <c r="F24" s="214"/>
      <c r="G24" s="214"/>
      <c r="H24" s="214"/>
      <c r="I24" s="215"/>
      <c r="J24" s="98"/>
      <c r="K24" s="216"/>
      <c r="L24" s="217"/>
      <c r="M24" s="218"/>
      <c r="N24" s="219"/>
    </row>
    <row r="25" spans="2:14" s="75" customFormat="1" ht="31.5" customHeight="1" thickBot="1">
      <c r="B25" s="99"/>
      <c r="C25" s="213" t="str">
        <f>'Data collection'!O6</f>
        <v>Standard 4 met?</v>
      </c>
      <c r="D25" s="214"/>
      <c r="E25" s="214"/>
      <c r="F25" s="214"/>
      <c r="G25" s="214"/>
      <c r="H25" s="214"/>
      <c r="I25" s="215"/>
      <c r="J25" s="98"/>
      <c r="K25" s="216"/>
      <c r="L25" s="217"/>
      <c r="M25" s="218"/>
      <c r="N25" s="219"/>
    </row>
    <row r="26" spans="2:14" s="75" customFormat="1" ht="31.5" customHeight="1" thickBot="1">
      <c r="B26" s="99">
        <f>'Data collection'!P5</f>
        <v>9</v>
      </c>
      <c r="C26" s="213" t="str">
        <f>'Data collection'!P6</f>
        <v>If the person was allergic to penicillin, were they offered a 
7-day, twice-daily course of treatment with a PPI?</v>
      </c>
      <c r="D26" s="214"/>
      <c r="E26" s="214"/>
      <c r="F26" s="214"/>
      <c r="G26" s="214"/>
      <c r="H26" s="214"/>
      <c r="I26" s="215"/>
      <c r="J26" s="98"/>
      <c r="K26" s="216"/>
      <c r="L26" s="217"/>
      <c r="M26" s="218"/>
      <c r="N26" s="219"/>
    </row>
    <row r="27" spans="2:14" s="75" customFormat="1" ht="31.5" customHeight="1" thickBot="1">
      <c r="B27" s="99">
        <f>'Data collection'!Q5</f>
        <v>10</v>
      </c>
      <c r="C27" s="213" t="str">
        <f>'Data collection'!Q6</f>
        <v>If yes to question 4, which drug was used?</v>
      </c>
      <c r="D27" s="214"/>
      <c r="E27" s="214"/>
      <c r="F27" s="214"/>
      <c r="G27" s="214"/>
      <c r="H27" s="214"/>
      <c r="I27" s="215"/>
      <c r="J27" s="98"/>
      <c r="K27" s="216"/>
      <c r="L27" s="217"/>
      <c r="M27" s="218"/>
      <c r="N27" s="219"/>
    </row>
    <row r="28" spans="2:14" s="75" customFormat="1" ht="31.5" customHeight="1" thickBot="1">
      <c r="B28" s="99">
        <f>'Data collection'!R5</f>
        <v>11</v>
      </c>
      <c r="C28" s="213" t="str">
        <f>'Data collection'!R6</f>
        <v>What dose was used?</v>
      </c>
      <c r="D28" s="214"/>
      <c r="E28" s="214"/>
      <c r="F28" s="214"/>
      <c r="G28" s="214"/>
      <c r="H28" s="214"/>
      <c r="I28" s="215"/>
      <c r="J28" s="98"/>
      <c r="K28" s="216"/>
      <c r="L28" s="217"/>
      <c r="M28" s="218"/>
      <c r="N28" s="219"/>
    </row>
    <row r="29" spans="2:14" s="75" customFormat="1" ht="31.5" customHeight="1" thickBot="1">
      <c r="B29" s="99"/>
      <c r="C29" s="213" t="str">
        <f>'Data collection'!S6</f>
        <v>Was an appropriate PPI dose used?</v>
      </c>
      <c r="D29" s="214"/>
      <c r="E29" s="214"/>
      <c r="F29" s="214"/>
      <c r="G29" s="214"/>
      <c r="H29" s="214"/>
      <c r="I29" s="215"/>
      <c r="J29" s="98"/>
      <c r="K29" s="216"/>
      <c r="L29" s="217"/>
      <c r="M29" s="218"/>
      <c r="N29" s="219"/>
    </row>
    <row r="30" spans="2:14" s="75" customFormat="1" ht="31.5" customHeight="1" thickBot="1">
      <c r="B30" s="99">
        <f>'Data collection'!T5</f>
        <v>12</v>
      </c>
      <c r="C30" s="213" t="str">
        <f>'Data collection'!T6</f>
        <v>Had the person had previous exposure to clarithromycin?</v>
      </c>
      <c r="D30" s="214"/>
      <c r="E30" s="214"/>
      <c r="F30" s="214"/>
      <c r="G30" s="214"/>
      <c r="H30" s="214"/>
      <c r="I30" s="215"/>
      <c r="J30" s="98"/>
      <c r="K30" s="216"/>
      <c r="L30" s="217"/>
      <c r="M30" s="218"/>
      <c r="N30" s="219"/>
    </row>
    <row r="31" spans="2:14" s="75" customFormat="1" ht="31.5" customHeight="1" thickBot="1">
      <c r="B31" s="99">
        <f>'Data collection'!U5</f>
        <v>13</v>
      </c>
      <c r="C31" s="213" t="str">
        <f>'Data collection'!U6</f>
        <v>If the person was allergic to penicillin, were they offered a 
7-day, twice-daily course of treatment with clarithromycin?</v>
      </c>
      <c r="D31" s="214"/>
      <c r="E31" s="214"/>
      <c r="F31" s="214"/>
      <c r="G31" s="214"/>
      <c r="H31" s="214"/>
      <c r="I31" s="215"/>
      <c r="J31" s="98"/>
      <c r="K31" s="216"/>
      <c r="L31" s="217"/>
      <c r="M31" s="218"/>
      <c r="N31" s="219"/>
    </row>
    <row r="32" spans="2:14" s="75" customFormat="1" ht="31.5" customHeight="1" thickBot="1">
      <c r="B32" s="99">
        <f>'Data collection'!V5</f>
        <v>14</v>
      </c>
      <c r="C32" s="213" t="str">
        <f>'Data collection'!V6</f>
        <v>If the person was allergic to penicillin, were they offered a 
7-day, twice-daily course of treatment with metronidazole?</v>
      </c>
      <c r="D32" s="214"/>
      <c r="E32" s="214"/>
      <c r="F32" s="214"/>
      <c r="G32" s="214"/>
      <c r="H32" s="214"/>
      <c r="I32" s="215"/>
      <c r="J32" s="98"/>
      <c r="K32" s="216"/>
      <c r="L32" s="217"/>
      <c r="M32" s="218"/>
      <c r="N32" s="219"/>
    </row>
    <row r="33" spans="2:14" s="75" customFormat="1" ht="31.5" customHeight="1" thickBot="1">
      <c r="B33" s="99">
        <f>'Data collection'!W5</f>
        <v>15</v>
      </c>
      <c r="C33" s="213" t="str">
        <f>'Data collection'!W6</f>
        <v>If the person was allergic to penicillin, were they offered a 
7-day, twice-daily course of treatment with bismuth?</v>
      </c>
      <c r="D33" s="214"/>
      <c r="E33" s="214"/>
      <c r="F33" s="214"/>
      <c r="G33" s="214"/>
      <c r="H33" s="214"/>
      <c r="I33" s="215"/>
      <c r="J33" s="98"/>
      <c r="K33" s="216"/>
      <c r="L33" s="217"/>
      <c r="M33" s="218"/>
      <c r="N33" s="219"/>
    </row>
    <row r="34" spans="2:14" s="75" customFormat="1" ht="31.5" customHeight="1" thickBot="1">
      <c r="B34" s="99">
        <f>'Data collection'!X5</f>
        <v>16</v>
      </c>
      <c r="C34" s="213" t="str">
        <f>'Data collection'!X6</f>
        <v>If the person was allergic to penicillin, were they offered a 
7-day, twice daily course of treatment with tetracycline?</v>
      </c>
      <c r="D34" s="214"/>
      <c r="E34" s="214"/>
      <c r="F34" s="214"/>
      <c r="G34" s="214"/>
      <c r="H34" s="214"/>
      <c r="I34" s="215"/>
      <c r="J34" s="98"/>
      <c r="K34" s="216"/>
      <c r="L34" s="217"/>
      <c r="M34" s="218"/>
      <c r="N34" s="219"/>
    </row>
    <row r="35" spans="2:14" s="75" customFormat="1" ht="31.5" customHeight="1" thickBot="1">
      <c r="B35" s="99"/>
      <c r="C35" s="213" t="str">
        <f>'Data collection'!Y6</f>
        <v>Standard 5 met?</v>
      </c>
      <c r="D35" s="214"/>
      <c r="E35" s="214"/>
      <c r="F35" s="214"/>
      <c r="G35" s="214"/>
      <c r="H35" s="214"/>
      <c r="I35" s="215"/>
      <c r="J35" s="98"/>
      <c r="K35" s="216"/>
      <c r="L35" s="217"/>
      <c r="M35" s="218"/>
      <c r="N35" s="219"/>
    </row>
    <row r="36" spans="2:14" s="75" customFormat="1" ht="31.5" customHeight="1" thickBot="1">
      <c r="B36" s="99"/>
      <c r="C36" s="213" t="str">
        <f>'Data collection'!Z6</f>
        <v>Standard 6 met?</v>
      </c>
      <c r="D36" s="214"/>
      <c r="E36" s="214"/>
      <c r="F36" s="214"/>
      <c r="G36" s="214"/>
      <c r="H36" s="214"/>
      <c r="I36" s="215"/>
      <c r="J36" s="98"/>
      <c r="K36" s="216"/>
      <c r="L36" s="217"/>
      <c r="M36" s="218"/>
      <c r="N36" s="219"/>
    </row>
    <row r="37" spans="2:14" s="75" customFormat="1" ht="31.5" customHeight="1" thickBot="1">
      <c r="B37" s="99">
        <f>'Data collection'!AA5</f>
        <v>17</v>
      </c>
      <c r="C37" s="213" t="str">
        <f>'Data collection'!AA6</f>
        <v>Did the person have symptoms after first-line eradication treatment?</v>
      </c>
      <c r="D37" s="214"/>
      <c r="E37" s="214"/>
      <c r="F37" s="214"/>
      <c r="G37" s="214"/>
      <c r="H37" s="214"/>
      <c r="I37" s="215"/>
      <c r="J37" s="98"/>
      <c r="K37" s="216"/>
      <c r="L37" s="217"/>
      <c r="M37" s="218"/>
      <c r="N37" s="219"/>
    </row>
    <row r="38" spans="2:14" s="75" customFormat="1" ht="31.5" customHeight="1" thickBot="1">
      <c r="B38" s="99">
        <f>'Data collection'!AB5</f>
        <v>18</v>
      </c>
      <c r="C38" s="213" t="str">
        <f>'Data collection'!AB6</f>
        <v>If yes to question 17, were they offered a 
7-day, twice-daily course of treatment with a PPI?</v>
      </c>
      <c r="D38" s="214"/>
      <c r="E38" s="214"/>
      <c r="F38" s="214"/>
      <c r="G38" s="214"/>
      <c r="H38" s="214"/>
      <c r="I38" s="215"/>
      <c r="J38" s="98"/>
      <c r="K38" s="216"/>
      <c r="L38" s="217"/>
      <c r="M38" s="218"/>
      <c r="N38" s="219"/>
    </row>
    <row r="39" spans="2:14" s="75" customFormat="1" ht="31.5" customHeight="1" thickBot="1">
      <c r="B39" s="99">
        <f>'Data collection'!AC5</f>
        <v>19</v>
      </c>
      <c r="C39" s="213" t="str">
        <f>'Data collection'!AC6</f>
        <v>If yes to question 18, which drug was used?</v>
      </c>
      <c r="D39" s="214"/>
      <c r="E39" s="214"/>
      <c r="F39" s="214"/>
      <c r="G39" s="214"/>
      <c r="H39" s="214"/>
      <c r="I39" s="215"/>
      <c r="J39" s="98"/>
      <c r="K39" s="216"/>
      <c r="L39" s="217"/>
      <c r="M39" s="218"/>
      <c r="N39" s="219"/>
    </row>
    <row r="40" spans="2:14" s="75" customFormat="1" ht="31.5" customHeight="1" thickBot="1">
      <c r="B40" s="99">
        <f>'Data collection'!AD5</f>
        <v>20</v>
      </c>
      <c r="C40" s="213" t="str">
        <f>'Data collection'!AD6</f>
        <v>What dose was used?</v>
      </c>
      <c r="D40" s="214"/>
      <c r="E40" s="214"/>
      <c r="F40" s="214"/>
      <c r="G40" s="214"/>
      <c r="H40" s="214"/>
      <c r="I40" s="215"/>
      <c r="J40" s="98"/>
      <c r="K40" s="216"/>
      <c r="L40" s="217"/>
      <c r="M40" s="218"/>
      <c r="N40" s="219"/>
    </row>
    <row r="41" spans="2:14" s="75" customFormat="1" ht="31.5" customHeight="1" thickBot="1">
      <c r="B41" s="99"/>
      <c r="C41" s="213" t="str">
        <f>'Data collection'!AE6</f>
        <v>Was an appropriate PPI dose used?</v>
      </c>
      <c r="D41" s="214"/>
      <c r="E41" s="214"/>
      <c r="F41" s="214"/>
      <c r="G41" s="214"/>
      <c r="H41" s="214"/>
      <c r="I41" s="215"/>
      <c r="J41" s="98"/>
      <c r="K41" s="216"/>
      <c r="L41" s="217"/>
      <c r="M41" s="218"/>
      <c r="N41" s="219"/>
    </row>
    <row r="42" spans="2:14" s="75" customFormat="1" ht="31.5" customHeight="1" thickBot="1">
      <c r="B42" s="99">
        <f>'Data collection'!AF5</f>
        <v>21</v>
      </c>
      <c r="C42" s="213" t="str">
        <f>'Data collection'!AF6</f>
        <v>Was the person offered a 7-day, twice-daily course of treatment with amoxicillin?</v>
      </c>
      <c r="D42" s="214"/>
      <c r="E42" s="214"/>
      <c r="F42" s="214"/>
      <c r="G42" s="214"/>
      <c r="H42" s="214"/>
      <c r="I42" s="215"/>
      <c r="J42" s="98"/>
      <c r="K42" s="216"/>
      <c r="L42" s="217"/>
      <c r="M42" s="218"/>
      <c r="N42" s="219"/>
    </row>
    <row r="43" spans="2:14" s="75" customFormat="1" ht="31.5" customHeight="1" thickBot="1">
      <c r="B43" s="99">
        <f>'Data collection'!AG5</f>
        <v>22</v>
      </c>
      <c r="C43" s="213" t="str">
        <f>'Data collection'!AG6</f>
        <v>Was the person offered a 7-day, twice-daily course of treatment with clarithromycin or metronidazole?</v>
      </c>
      <c r="D43" s="214"/>
      <c r="E43" s="214"/>
      <c r="F43" s="214"/>
      <c r="G43" s="214"/>
      <c r="H43" s="214"/>
      <c r="I43" s="215"/>
      <c r="J43" s="98"/>
      <c r="K43" s="216"/>
      <c r="L43" s="217"/>
      <c r="M43" s="218"/>
      <c r="N43" s="219"/>
    </row>
    <row r="44" spans="2:14" s="75" customFormat="1" ht="31.5" customHeight="1" thickBot="1">
      <c r="B44" s="99"/>
      <c r="C44" s="213" t="str">
        <f>'Data collection'!AH6</f>
        <v>Standard 7 met?</v>
      </c>
      <c r="D44" s="214"/>
      <c r="E44" s="214"/>
      <c r="F44" s="214"/>
      <c r="G44" s="214"/>
      <c r="H44" s="214"/>
      <c r="I44" s="215"/>
      <c r="J44" s="98"/>
      <c r="K44" s="216"/>
      <c r="L44" s="217"/>
      <c r="M44" s="218"/>
      <c r="N44" s="219"/>
    </row>
    <row r="45" spans="2:14" s="75" customFormat="1" ht="31.5" customHeight="1" thickBot="1">
      <c r="B45" s="99">
        <f>'Data collection'!AI5</f>
        <v>23</v>
      </c>
      <c r="C45" s="213" t="str">
        <f>'Data collection'!AI6</f>
        <v>Had the person had previous exposure to clarithromycin or metronidazole?</v>
      </c>
      <c r="D45" s="214"/>
      <c r="E45" s="214"/>
      <c r="F45" s="214"/>
      <c r="G45" s="214"/>
      <c r="H45" s="214"/>
      <c r="I45" s="215"/>
      <c r="J45" s="98"/>
      <c r="K45" s="216"/>
      <c r="L45" s="217"/>
      <c r="M45" s="218"/>
      <c r="N45" s="219"/>
    </row>
    <row r="46" spans="2:14" s="75" customFormat="1" ht="31.5" customHeight="1" thickBot="1">
      <c r="B46" s="99">
        <f>'Data collection'!AJ5</f>
        <v>24</v>
      </c>
      <c r="C46" s="213" t="str">
        <f>'Data collection'!AJ6</f>
        <v>If yes to question 23, was the person offered a 7-day, twice-daily course of treatment with a PPI?</v>
      </c>
      <c r="D46" s="214"/>
      <c r="E46" s="214"/>
      <c r="F46" s="214"/>
      <c r="G46" s="214"/>
      <c r="H46" s="214"/>
      <c r="I46" s="215"/>
      <c r="J46" s="98"/>
      <c r="K46" s="216"/>
      <c r="L46" s="217"/>
      <c r="M46" s="218"/>
      <c r="N46" s="219"/>
    </row>
    <row r="47" spans="2:14" s="75" customFormat="1" ht="31.5" customHeight="1" thickBot="1">
      <c r="B47" s="99">
        <f>'Data collection'!AL5</f>
        <v>26</v>
      </c>
      <c r="C47" s="213" t="str">
        <f>'Data collection'!AK6</f>
        <v>If yes to question 24, which drug was used?</v>
      </c>
      <c r="D47" s="214"/>
      <c r="E47" s="214"/>
      <c r="F47" s="214"/>
      <c r="G47" s="214"/>
      <c r="H47" s="214"/>
      <c r="I47" s="215"/>
      <c r="J47" s="98"/>
      <c r="K47" s="216"/>
      <c r="L47" s="217"/>
      <c r="M47" s="218"/>
      <c r="N47" s="219"/>
    </row>
    <row r="48" spans="2:14" s="75" customFormat="1" ht="31.5" customHeight="1" thickBot="1">
      <c r="B48" s="99"/>
      <c r="C48" s="213" t="str">
        <f>'Data collection'!AL6</f>
        <v>What dose was used?</v>
      </c>
      <c r="D48" s="214"/>
      <c r="E48" s="214"/>
      <c r="F48" s="214"/>
      <c r="G48" s="214"/>
      <c r="H48" s="214"/>
      <c r="I48" s="215"/>
      <c r="J48" s="98"/>
      <c r="K48" s="216"/>
      <c r="L48" s="217"/>
      <c r="M48" s="218"/>
      <c r="N48" s="219"/>
    </row>
    <row r="49" spans="2:14" s="75" customFormat="1" ht="31.5" customHeight="1" thickBot="1">
      <c r="B49" s="99">
        <f>'Data collection'!AN5</f>
        <v>27</v>
      </c>
      <c r="C49" s="213" t="str">
        <f>'Data collection'!AM6</f>
        <v>Was an appropriate PPI dose used?</v>
      </c>
      <c r="D49" s="214"/>
      <c r="E49" s="214"/>
      <c r="F49" s="214"/>
      <c r="G49" s="214"/>
      <c r="H49" s="214"/>
      <c r="I49" s="215"/>
      <c r="J49" s="98"/>
      <c r="K49" s="216"/>
      <c r="L49" s="217"/>
      <c r="M49" s="218"/>
      <c r="N49" s="219"/>
    </row>
    <row r="50" spans="2:14" s="75" customFormat="1" ht="31.5" customHeight="1" thickBot="1">
      <c r="B50" s="99">
        <f>'Data collection'!AO5</f>
        <v>28</v>
      </c>
      <c r="C50" s="213" t="str">
        <f>'Data collection'!AN6</f>
        <v>Was the person offered a 7-day, twice-daily course of treatment with amoxicillin?</v>
      </c>
      <c r="D50" s="214"/>
      <c r="E50" s="214"/>
      <c r="F50" s="214"/>
      <c r="G50" s="214"/>
      <c r="H50" s="214"/>
      <c r="I50" s="215"/>
      <c r="J50" s="98"/>
      <c r="K50" s="216"/>
      <c r="L50" s="217"/>
      <c r="M50" s="218"/>
      <c r="N50" s="219"/>
    </row>
    <row r="51" spans="2:14" s="75" customFormat="1" ht="31.5" customHeight="1" thickBot="1">
      <c r="B51" s="99"/>
      <c r="C51" s="213" t="str">
        <f>'Data collection'!AO6</f>
        <v>Was the person offered a 7-day, twice-daily course of treatment with a quinolone or tetracycline?</v>
      </c>
      <c r="D51" s="214"/>
      <c r="E51" s="214"/>
      <c r="F51" s="214"/>
      <c r="G51" s="214"/>
      <c r="H51" s="214"/>
      <c r="I51" s="215"/>
      <c r="J51" s="98"/>
      <c r="K51" s="216"/>
      <c r="L51" s="217"/>
      <c r="M51" s="218"/>
      <c r="N51" s="219"/>
    </row>
    <row r="52" spans="2:14" s="75" customFormat="1" ht="31.5" customHeight="1" thickBot="1">
      <c r="B52" s="99">
        <f>'Data collection'!AQ5</f>
        <v>29</v>
      </c>
      <c r="C52" s="213" t="str">
        <f>'Data collection'!AP6</f>
        <v>Standard 8 met?</v>
      </c>
      <c r="D52" s="214"/>
      <c r="E52" s="214"/>
      <c r="F52" s="214"/>
      <c r="G52" s="214"/>
      <c r="H52" s="214"/>
      <c r="I52" s="215"/>
      <c r="J52" s="98"/>
      <c r="K52" s="216"/>
      <c r="L52" s="217"/>
      <c r="M52" s="218"/>
      <c r="N52" s="219"/>
    </row>
    <row r="53" spans="2:14" s="80" customFormat="1" ht="31.5" customHeight="1" thickBot="1">
      <c r="B53" s="99">
        <f>'Data collection'!AR5</f>
        <v>30</v>
      </c>
      <c r="C53" s="213" t="str">
        <f>'Data collection'!AQ6</f>
        <v>Was the person allergic to penicillin?</v>
      </c>
      <c r="D53" s="214"/>
      <c r="E53" s="214"/>
      <c r="F53" s="214"/>
      <c r="G53" s="214"/>
      <c r="H53" s="214"/>
      <c r="I53" s="215"/>
      <c r="J53" s="98"/>
      <c r="K53" s="216"/>
      <c r="L53" s="217"/>
      <c r="M53" s="218"/>
      <c r="N53" s="219"/>
    </row>
    <row r="54" spans="2:14" s="80" customFormat="1" ht="31.5" customHeight="1" thickBot="1">
      <c r="B54" s="99">
        <f>'Data collection'!AR5</f>
        <v>30</v>
      </c>
      <c r="C54" s="213" t="str">
        <f>'Data collection'!AR6</f>
        <v>Had the person had previous exposure to a quinolone?</v>
      </c>
      <c r="D54" s="214"/>
      <c r="E54" s="214"/>
      <c r="F54" s="214"/>
      <c r="G54" s="214"/>
      <c r="H54" s="214"/>
      <c r="I54" s="215"/>
      <c r="J54" s="98"/>
      <c r="K54" s="216"/>
      <c r="L54" s="217"/>
      <c r="M54" s="218"/>
      <c r="N54" s="219"/>
    </row>
    <row r="55" spans="2:14" s="80" customFormat="1" ht="31.5" customHeight="1" thickBot="1">
      <c r="B55" s="99">
        <f>'Data collection'!AS5</f>
        <v>31</v>
      </c>
      <c r="C55" s="213" t="str">
        <f>'Data collection'!AS6</f>
        <v>Was the person offered a 
7-day, twice-daily course of treatment with a PPI?</v>
      </c>
      <c r="D55" s="214"/>
      <c r="E55" s="214"/>
      <c r="F55" s="214"/>
      <c r="G55" s="214"/>
      <c r="H55" s="214"/>
      <c r="I55" s="215"/>
      <c r="J55" s="98"/>
      <c r="K55" s="216"/>
      <c r="L55" s="217"/>
      <c r="M55" s="218"/>
      <c r="N55" s="219"/>
    </row>
    <row r="56" spans="2:14" s="80" customFormat="1" ht="31.5" customHeight="1" thickBot="1">
      <c r="B56" s="99">
        <f>'Data collection'!AT5</f>
        <v>32</v>
      </c>
      <c r="C56" s="213" t="str">
        <f>'Data collection'!AT6</f>
        <v>If yes to question 32, which drug was used?</v>
      </c>
      <c r="D56" s="214"/>
      <c r="E56" s="214"/>
      <c r="F56" s="214"/>
      <c r="G56" s="214"/>
      <c r="H56" s="214"/>
      <c r="I56" s="215"/>
      <c r="J56" s="98"/>
      <c r="K56" s="216"/>
      <c r="L56" s="217"/>
      <c r="M56" s="218"/>
      <c r="N56" s="219"/>
    </row>
    <row r="57" spans="2:14" s="80" customFormat="1" ht="31.5" customHeight="1" thickBot="1">
      <c r="B57" s="99">
        <f>'Data collection'!AU5</f>
        <v>33</v>
      </c>
      <c r="C57" s="213" t="str">
        <f>'Data collection'!AU6</f>
        <v>What dose was used?</v>
      </c>
      <c r="D57" s="214"/>
      <c r="E57" s="214"/>
      <c r="F57" s="214"/>
      <c r="G57" s="214"/>
      <c r="H57" s="214"/>
      <c r="I57" s="215"/>
      <c r="J57" s="98"/>
      <c r="K57" s="216"/>
      <c r="L57" s="217"/>
      <c r="M57" s="218"/>
      <c r="N57" s="219"/>
    </row>
    <row r="58" spans="2:14" s="80" customFormat="1" ht="31.5" customHeight="1" thickBot="1">
      <c r="B58" s="99"/>
      <c r="C58" s="213" t="str">
        <f>'Data collection'!AV6</f>
        <v>Was an appropriate PPI dose used?</v>
      </c>
      <c r="D58" s="214"/>
      <c r="E58" s="214"/>
      <c r="F58" s="214"/>
      <c r="G58" s="214"/>
      <c r="H58" s="214"/>
      <c r="I58" s="215"/>
      <c r="J58" s="98"/>
      <c r="K58" s="216"/>
      <c r="L58" s="217"/>
      <c r="M58" s="218"/>
      <c r="N58" s="219"/>
    </row>
    <row r="59" spans="2:14" s="80" customFormat="1" ht="31.5" customHeight="1" thickBot="1">
      <c r="B59" s="99">
        <f>'Data collection'!AW5</f>
        <v>34</v>
      </c>
      <c r="C59" s="213" t="str">
        <f>'Data collection'!AW6</f>
        <v>Was the person offered a 
7-day, twice-daily course of treatment with metronidazole?</v>
      </c>
      <c r="D59" s="214"/>
      <c r="E59" s="214"/>
      <c r="F59" s="214"/>
      <c r="G59" s="214"/>
      <c r="H59" s="214"/>
      <c r="I59" s="215"/>
      <c r="J59" s="98"/>
      <c r="K59" s="216"/>
      <c r="L59" s="217"/>
      <c r="M59" s="218"/>
      <c r="N59" s="219"/>
    </row>
    <row r="60" spans="2:14" s="80" customFormat="1" ht="31.5" customHeight="1" thickBot="1">
      <c r="B60" s="99">
        <f>'Data collection'!AX5</f>
        <v>35</v>
      </c>
      <c r="C60" s="213" t="str">
        <f>'Data collection'!AX6</f>
        <v>Was the person offered a 
7-day, twice-daily course of treatment with levofloxacin?</v>
      </c>
      <c r="D60" s="214"/>
      <c r="E60" s="214"/>
      <c r="F60" s="214"/>
      <c r="G60" s="214"/>
      <c r="H60" s="214"/>
      <c r="I60" s="215"/>
      <c r="J60" s="98"/>
      <c r="K60" s="216"/>
      <c r="L60" s="217"/>
      <c r="M60" s="218"/>
      <c r="N60" s="219"/>
    </row>
    <row r="61" spans="2:14" s="103" customFormat="1" ht="31.5" customHeight="1" thickBot="1">
      <c r="B61" s="99">
        <f>'Data collection'!AY5</f>
        <v>36</v>
      </c>
      <c r="C61" s="213" t="str">
        <f>'Data collection'!AY6</f>
        <v>Was the person offered a 
7-day, twice-daily course of treatment with bismuth?</v>
      </c>
      <c r="D61" s="214"/>
      <c r="E61" s="214"/>
      <c r="F61" s="214"/>
      <c r="G61" s="214"/>
      <c r="H61" s="214"/>
      <c r="I61" s="215"/>
      <c r="J61" s="98"/>
      <c r="K61" s="119"/>
      <c r="L61" s="120"/>
      <c r="M61" s="121"/>
      <c r="N61" s="122"/>
    </row>
    <row r="62" spans="2:14" s="103" customFormat="1" ht="31.5" customHeight="1" thickBot="1">
      <c r="B62" s="99">
        <f>'Data collection'!AZ5</f>
        <v>37</v>
      </c>
      <c r="C62" s="213" t="str">
        <f>'Data collection'!AZ6</f>
        <v>Was the person offered a 
7-day, twice-daily course of treatment with tetracycline?</v>
      </c>
      <c r="D62" s="214"/>
      <c r="E62" s="214"/>
      <c r="F62" s="214"/>
      <c r="G62" s="214"/>
      <c r="H62" s="214"/>
      <c r="I62" s="215"/>
      <c r="J62" s="98"/>
      <c r="K62" s="119"/>
      <c r="L62" s="120"/>
      <c r="M62" s="121"/>
      <c r="N62" s="122"/>
    </row>
    <row r="63" spans="2:14" s="103" customFormat="1" ht="31.5" customHeight="1" thickBot="1">
      <c r="B63" s="99"/>
      <c r="C63" s="213" t="str">
        <f>'Data collection'!BA6</f>
        <v>Standard 9 met?</v>
      </c>
      <c r="D63" s="214"/>
      <c r="E63" s="214"/>
      <c r="F63" s="214"/>
      <c r="G63" s="214"/>
      <c r="H63" s="214"/>
      <c r="I63" s="215"/>
      <c r="J63" s="98"/>
      <c r="K63" s="119"/>
      <c r="L63" s="120"/>
      <c r="M63" s="121"/>
      <c r="N63" s="122"/>
    </row>
    <row r="64" spans="2:14" s="103" customFormat="1" ht="31.5" customHeight="1" thickBot="1">
      <c r="B64" s="99"/>
      <c r="C64" s="213" t="str">
        <f>'Data collection'!BB6</f>
        <v>Standard 10 met?</v>
      </c>
      <c r="D64" s="214"/>
      <c r="E64" s="214"/>
      <c r="F64" s="214"/>
      <c r="G64" s="214"/>
      <c r="H64" s="214"/>
      <c r="I64" s="215"/>
      <c r="J64" s="98"/>
      <c r="K64" s="119"/>
      <c r="L64" s="120"/>
      <c r="M64" s="121"/>
      <c r="N64" s="122"/>
    </row>
    <row r="65" spans="2:14" s="103" customFormat="1" ht="31.5" customHeight="1" thickBot="1">
      <c r="B65" s="99">
        <f>'Data collection'!BC5</f>
        <v>38</v>
      </c>
      <c r="C65" s="213" t="str">
        <f>'Data collection'!BC6</f>
        <v>If eradication of H pylori was not successful with second-line treatment, was advice sought from a gastroenterologist?</v>
      </c>
      <c r="D65" s="214"/>
      <c r="E65" s="214"/>
      <c r="F65" s="214"/>
      <c r="G65" s="214"/>
      <c r="H65" s="214"/>
      <c r="I65" s="215"/>
      <c r="J65" s="98"/>
      <c r="K65" s="119"/>
      <c r="L65" s="120"/>
      <c r="M65" s="121"/>
      <c r="N65" s="122"/>
    </row>
    <row r="66" spans="2:14" s="80" customFormat="1" ht="31.5" customHeight="1" thickBot="1">
      <c r="B66" s="99">
        <f>'Data collection'!BD5</f>
        <v>39</v>
      </c>
      <c r="C66" s="213" t="str">
        <f>'Data collection'!BD6</f>
        <v>Add additional question for local standard</v>
      </c>
      <c r="D66" s="214"/>
      <c r="E66" s="214"/>
      <c r="F66" s="214"/>
      <c r="G66" s="214"/>
      <c r="H66" s="214"/>
      <c r="I66" s="215"/>
      <c r="J66" s="98"/>
      <c r="K66" s="216"/>
      <c r="L66" s="217"/>
      <c r="M66" s="218"/>
      <c r="N66" s="219"/>
    </row>
    <row r="67" spans="2:14" s="80" customFormat="1" ht="31.5" customHeight="1" thickBot="1">
      <c r="B67" s="99">
        <f>'Data collection'!BE5</f>
        <v>40</v>
      </c>
      <c r="C67" s="213" t="str">
        <f>'Data collection'!BE6</f>
        <v>Add additional question for local standard</v>
      </c>
      <c r="D67" s="214"/>
      <c r="E67" s="214"/>
      <c r="F67" s="214"/>
      <c r="G67" s="214"/>
      <c r="H67" s="214"/>
      <c r="I67" s="215"/>
      <c r="J67" s="98"/>
      <c r="K67" s="216"/>
      <c r="L67" s="217"/>
      <c r="M67" s="218"/>
      <c r="N67" s="219"/>
    </row>
    <row r="68" spans="2:14" s="80" customFormat="1" ht="31.5" customHeight="1" thickBot="1">
      <c r="B68" s="99">
        <f>'Data collection'!BF5</f>
        <v>41</v>
      </c>
      <c r="C68" s="213" t="str">
        <f>'Data collection'!BF6</f>
        <v>Add additional question for local standard</v>
      </c>
      <c r="D68" s="214"/>
      <c r="E68" s="214"/>
      <c r="F68" s="214"/>
      <c r="G68" s="214"/>
      <c r="H68" s="214"/>
      <c r="I68" s="215"/>
      <c r="J68" s="98"/>
      <c r="K68" s="216"/>
      <c r="L68" s="217"/>
      <c r="M68" s="218"/>
      <c r="N68" s="219"/>
    </row>
    <row r="69" spans="2:14" s="80" customFormat="1" ht="31.5" customHeight="1" thickBot="1">
      <c r="B69" s="99">
        <f>'Data collection'!BG5</f>
        <v>42</v>
      </c>
      <c r="C69" s="213" t="str">
        <f>'Data collection'!BG6</f>
        <v>Add additional question for local standard</v>
      </c>
      <c r="D69" s="214"/>
      <c r="E69" s="214"/>
      <c r="F69" s="214"/>
      <c r="G69" s="214"/>
      <c r="H69" s="214"/>
      <c r="I69" s="215"/>
      <c r="J69" s="98"/>
      <c r="K69" s="216"/>
      <c r="L69" s="217"/>
      <c r="M69" s="218"/>
      <c r="N69" s="219"/>
    </row>
    <row r="70" spans="2:14" s="80" customFormat="1" ht="31.5" customHeight="1" thickBot="1">
      <c r="B70" s="99">
        <f>'Data collection'!BH5</f>
        <v>43</v>
      </c>
      <c r="C70" s="213" t="str">
        <f>'Data collection'!BH6</f>
        <v>Add additional question for local standard</v>
      </c>
      <c r="D70" s="214"/>
      <c r="E70" s="214"/>
      <c r="F70" s="214"/>
      <c r="G70" s="214"/>
      <c r="H70" s="214"/>
      <c r="I70" s="215"/>
      <c r="J70" s="98"/>
      <c r="K70" s="216"/>
      <c r="L70" s="217"/>
      <c r="M70" s="218"/>
      <c r="N70" s="219"/>
    </row>
    <row r="71" ht="15">
      <c r="B71" s="105"/>
    </row>
    <row r="72" ht="15">
      <c r="B72" t="str">
        <f>'Data collection'!B58</f>
        <v>*Exception codes</v>
      </c>
    </row>
    <row r="73" ht="15">
      <c r="B73" s="103" t="str">
        <f>'Data collection'!B59</f>
        <v>A – penicllin allergy</v>
      </c>
    </row>
  </sheetData>
  <sheetProtection/>
  <mergeCells count="177">
    <mergeCell ref="C61:I61"/>
    <mergeCell ref="C62:I62"/>
    <mergeCell ref="C63:I63"/>
    <mergeCell ref="C64:I64"/>
    <mergeCell ref="C65:I65"/>
    <mergeCell ref="B12:C12"/>
    <mergeCell ref="C34:I34"/>
    <mergeCell ref="C49:I49"/>
    <mergeCell ref="C37:I37"/>
    <mergeCell ref="C38:I38"/>
    <mergeCell ref="I12:K12"/>
    <mergeCell ref="K26:L26"/>
    <mergeCell ref="C28:I28"/>
    <mergeCell ref="K28:L28"/>
    <mergeCell ref="B1:N1"/>
    <mergeCell ref="B8:D8"/>
    <mergeCell ref="E8:F8"/>
    <mergeCell ref="G8:H8"/>
    <mergeCell ref="B6:N6"/>
    <mergeCell ref="I8:L8"/>
    <mergeCell ref="I9:K9"/>
    <mergeCell ref="I10:K10"/>
    <mergeCell ref="I11:K11"/>
    <mergeCell ref="M8:N8"/>
    <mergeCell ref="B9:C9"/>
    <mergeCell ref="B10:C10"/>
    <mergeCell ref="B11:C11"/>
    <mergeCell ref="M26:N26"/>
    <mergeCell ref="C22:I22"/>
    <mergeCell ref="K22:L22"/>
    <mergeCell ref="M22:N22"/>
    <mergeCell ref="K21:L21"/>
    <mergeCell ref="M21:N21"/>
    <mergeCell ref="C24:I24"/>
    <mergeCell ref="C23:I23"/>
    <mergeCell ref="K23:L23"/>
    <mergeCell ref="M23:N23"/>
    <mergeCell ref="M28:N28"/>
    <mergeCell ref="C29:I29"/>
    <mergeCell ref="K29:L29"/>
    <mergeCell ref="M29:N29"/>
    <mergeCell ref="M25:N25"/>
    <mergeCell ref="C26:I26"/>
    <mergeCell ref="C27:I27"/>
    <mergeCell ref="K27:L27"/>
    <mergeCell ref="M27:N27"/>
    <mergeCell ref="C25:I25"/>
    <mergeCell ref="C32:I32"/>
    <mergeCell ref="K24:L24"/>
    <mergeCell ref="M24:N24"/>
    <mergeCell ref="M19:N19"/>
    <mergeCell ref="C20:I20"/>
    <mergeCell ref="K20:L20"/>
    <mergeCell ref="M20:N20"/>
    <mergeCell ref="C21:I21"/>
    <mergeCell ref="C19:I19"/>
    <mergeCell ref="K19:L19"/>
    <mergeCell ref="K25:L25"/>
    <mergeCell ref="M33:N33"/>
    <mergeCell ref="C43:I43"/>
    <mergeCell ref="K43:L43"/>
    <mergeCell ref="M43:N43"/>
    <mergeCell ref="C39:I39"/>
    <mergeCell ref="K39:L39"/>
    <mergeCell ref="K34:L34"/>
    <mergeCell ref="C40:I40"/>
    <mergeCell ref="C42:I42"/>
    <mergeCell ref="M42:N42"/>
    <mergeCell ref="C48:I48"/>
    <mergeCell ref="K48:L48"/>
    <mergeCell ref="M48:N48"/>
    <mergeCell ref="C44:I44"/>
    <mergeCell ref="K44:L44"/>
    <mergeCell ref="C45:I45"/>
    <mergeCell ref="C47:I47"/>
    <mergeCell ref="C17:I17"/>
    <mergeCell ref="K17:L17"/>
    <mergeCell ref="M17:N17"/>
    <mergeCell ref="C18:I18"/>
    <mergeCell ref="K18:L18"/>
    <mergeCell ref="M18:N18"/>
    <mergeCell ref="C30:I30"/>
    <mergeCell ref="K30:L30"/>
    <mergeCell ref="M39:N39"/>
    <mergeCell ref="M15:N15"/>
    <mergeCell ref="K15:L15"/>
    <mergeCell ref="C15:I15"/>
    <mergeCell ref="C16:I16"/>
    <mergeCell ref="K16:L16"/>
    <mergeCell ref="M16:N16"/>
    <mergeCell ref="M30:N30"/>
    <mergeCell ref="C31:I31"/>
    <mergeCell ref="K31:L31"/>
    <mergeCell ref="M31:N31"/>
    <mergeCell ref="M34:N34"/>
    <mergeCell ref="K36:L36"/>
    <mergeCell ref="M36:N36"/>
    <mergeCell ref="K32:L32"/>
    <mergeCell ref="M32:N32"/>
    <mergeCell ref="C33:I33"/>
    <mergeCell ref="K33:L33"/>
    <mergeCell ref="K37:L37"/>
    <mergeCell ref="M37:N37"/>
    <mergeCell ref="C35:I35"/>
    <mergeCell ref="K35:L35"/>
    <mergeCell ref="M35:N35"/>
    <mergeCell ref="C36:I36"/>
    <mergeCell ref="K38:L38"/>
    <mergeCell ref="M38:N38"/>
    <mergeCell ref="K47:L47"/>
    <mergeCell ref="M47:N47"/>
    <mergeCell ref="K40:L40"/>
    <mergeCell ref="M40:N40"/>
    <mergeCell ref="K46:L46"/>
    <mergeCell ref="M46:N46"/>
    <mergeCell ref="M44:N44"/>
    <mergeCell ref="K42:L42"/>
    <mergeCell ref="C41:I41"/>
    <mergeCell ref="K41:L41"/>
    <mergeCell ref="M41:N41"/>
    <mergeCell ref="M50:N50"/>
    <mergeCell ref="C51:I51"/>
    <mergeCell ref="K51:L51"/>
    <mergeCell ref="M51:N51"/>
    <mergeCell ref="K45:L45"/>
    <mergeCell ref="M45:N45"/>
    <mergeCell ref="C46:I46"/>
    <mergeCell ref="C52:I52"/>
    <mergeCell ref="K52:L52"/>
    <mergeCell ref="M52:N52"/>
    <mergeCell ref="B5:D5"/>
    <mergeCell ref="E5:F5"/>
    <mergeCell ref="G5:H5"/>
    <mergeCell ref="K49:L49"/>
    <mergeCell ref="M49:N49"/>
    <mergeCell ref="C50:I50"/>
    <mergeCell ref="K50:L50"/>
    <mergeCell ref="C53:I53"/>
    <mergeCell ref="K53:L53"/>
    <mergeCell ref="M53:N53"/>
    <mergeCell ref="C54:I54"/>
    <mergeCell ref="K54:L54"/>
    <mergeCell ref="M54:N54"/>
    <mergeCell ref="C55:I55"/>
    <mergeCell ref="K55:L55"/>
    <mergeCell ref="M55:N55"/>
    <mergeCell ref="C56:I56"/>
    <mergeCell ref="K56:L56"/>
    <mergeCell ref="M56:N56"/>
    <mergeCell ref="C57:I57"/>
    <mergeCell ref="K57:L57"/>
    <mergeCell ref="M57:N57"/>
    <mergeCell ref="C58:I58"/>
    <mergeCell ref="K58:L58"/>
    <mergeCell ref="M58:N58"/>
    <mergeCell ref="C59:I59"/>
    <mergeCell ref="K59:L59"/>
    <mergeCell ref="M59:N59"/>
    <mergeCell ref="C60:I60"/>
    <mergeCell ref="K60:L60"/>
    <mergeCell ref="M60:N60"/>
    <mergeCell ref="C66:I66"/>
    <mergeCell ref="K66:L66"/>
    <mergeCell ref="M66:N66"/>
    <mergeCell ref="C67:I67"/>
    <mergeCell ref="K67:L67"/>
    <mergeCell ref="M67:N67"/>
    <mergeCell ref="C70:I70"/>
    <mergeCell ref="K70:L70"/>
    <mergeCell ref="M70:N70"/>
    <mergeCell ref="B3:N3"/>
    <mergeCell ref="C68:I68"/>
    <mergeCell ref="K68:L68"/>
    <mergeCell ref="M68:N68"/>
    <mergeCell ref="C69:I69"/>
    <mergeCell ref="K69:L69"/>
    <mergeCell ref="M69:N69"/>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Kirsty Maclean Steel</dc:creator>
  <cp:keywords/>
  <dc:description/>
  <cp:lastModifiedBy>Sally Sutcliffe</cp:lastModifiedBy>
  <cp:lastPrinted>2014-07-22T14:47:52Z</cp:lastPrinted>
  <dcterms:created xsi:type="dcterms:W3CDTF">2010-11-03T13:43:45Z</dcterms:created>
  <dcterms:modified xsi:type="dcterms:W3CDTF">2014-08-20T11:46:31Z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