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defaultThemeVersion="124226"/>
  <xr:revisionPtr revIDLastSave="0" documentId="13_ncr:1_{0AB491E3-CA36-4D21-A0B9-93BC9DC84F1D}" xr6:coauthVersionLast="47" xr6:coauthVersionMax="47" xr10:uidLastSave="{00000000-0000-0000-0000-000000000000}"/>
  <bookViews>
    <workbookView xWindow="2730" yWindow="2730" windowWidth="16200" windowHeight="9360" tabRatio="944" xr2:uid="{00000000-000D-0000-FFFF-FFFF00000000}"/>
  </bookViews>
  <sheets>
    <sheet name="Cover" sheetId="38" r:id="rId1"/>
    <sheet name="Contents" sheetId="54" r:id="rId2"/>
    <sheet name="Inputs and eligible population" sheetId="50" r:id="rId3"/>
    <sheet name="Unit costs" sheetId="21" r:id="rId4"/>
    <sheet name="Summary" sheetId="47" r:id="rId5"/>
    <sheet name="Population selection" sheetId="32" state="hidden" r:id="rId6"/>
    <sheet name="Financial impact (cash)" sheetId="42" r:id="rId7"/>
    <sheet name="Capacity (local prices) "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5"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 localSheetId="11">'[1]Population selection'!$B$698:$B$708</definedName>
    <definedName name="LOCALAUTHNORTHI" localSheetId="12">'[1]Population selection'!$B$698:$B$708</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6">'[2]Population selection'!$L$12:$L$19</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selection'!$B$554:$B$569</definedName>
    <definedName name="_xlnm.Print_Area" localSheetId="7">'Capacity (local prices) '!$B$1:$R$264</definedName>
    <definedName name="_xlnm.Print_Area" localSheetId="8">'Capacity (national prices)'!$B$1:$R$199</definedName>
    <definedName name="_xlnm.Print_Area" localSheetId="1">Contents!$A$1:$P$28</definedName>
    <definedName name="_xlnm.Print_Area" localSheetId="0">Cover!$A$1:$P$43</definedName>
    <definedName name="_xlnm.Print_Area" localSheetId="10">'Financial impact (capacity)'!$B$1:$J$179</definedName>
    <definedName name="_xlnm.Print_Area" localSheetId="6">'Financial impact (cash)'!$B$1:$J$53</definedName>
    <definedName name="_xlnm.Print_Area" localSheetId="2">'Inputs and eligible population'!$A$2:$M$147</definedName>
    <definedName name="_xlnm.Print_Area" localSheetId="5">'Population selection'!$B$11:$J$17</definedName>
    <definedName name="_xlnm.Print_Area" localSheetId="11">'RI phasing over years'!#REF!</definedName>
    <definedName name="_xlnm.Print_Area" localSheetId="12">'RI uptake year 1'!#REF!</definedName>
    <definedName name="_xlnm.Print_Area" localSheetId="4">Summary!$B$1:$K$82</definedName>
    <definedName name="_xlnm.Print_Area" localSheetId="3">'Unit costs'!$B$1:$S$170</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5" i="50" l="1"/>
  <c r="L125" i="50"/>
  <c r="K125" i="50"/>
  <c r="J125" i="50"/>
  <c r="I125" i="50"/>
  <c r="H125" i="50"/>
  <c r="G125" i="50"/>
  <c r="F125" i="50"/>
  <c r="M124" i="50"/>
  <c r="L124" i="50"/>
  <c r="K124" i="50"/>
  <c r="J124" i="50"/>
  <c r="I124" i="50"/>
  <c r="H124" i="50"/>
  <c r="G124" i="50"/>
  <c r="F124" i="50"/>
  <c r="M123" i="50"/>
  <c r="L123" i="50"/>
  <c r="K123" i="50"/>
  <c r="J123" i="50"/>
  <c r="I123" i="50"/>
  <c r="H123" i="50"/>
  <c r="G123" i="50"/>
  <c r="F123" i="50"/>
  <c r="C24" i="42" l="1"/>
  <c r="C23" i="42"/>
  <c r="C22" i="42"/>
  <c r="K113" i="21" l="1"/>
  <c r="K92" i="21"/>
  <c r="K100" i="21"/>
  <c r="K78" i="21"/>
  <c r="K67" i="21"/>
  <c r="K56" i="21"/>
  <c r="K43" i="21"/>
  <c r="K31" i="21" l="1"/>
  <c r="C207" i="46"/>
  <c r="C206" i="46"/>
  <c r="C205" i="46"/>
  <c r="C204" i="46"/>
  <c r="C203" i="46"/>
  <c r="C202" i="46"/>
  <c r="C201" i="46"/>
  <c r="C200" i="46"/>
  <c r="M111" i="50" l="1"/>
  <c r="C78" i="56" s="1"/>
  <c r="L111" i="50"/>
  <c r="C77" i="56" s="1"/>
  <c r="K111" i="50"/>
  <c r="C76" i="56" s="1"/>
  <c r="J111" i="50"/>
  <c r="C75" i="56" s="1"/>
  <c r="I111" i="50"/>
  <c r="H111" i="50"/>
  <c r="C73" i="56" s="1"/>
  <c r="G111" i="50"/>
  <c r="C72" i="56" s="1"/>
  <c r="F111" i="50"/>
  <c r="C71" i="56" s="1"/>
  <c r="Q125" i="50"/>
  <c r="Q124" i="50"/>
  <c r="Q123" i="50"/>
  <c r="D241" i="56"/>
  <c r="D248" i="56" s="1"/>
  <c r="E241" i="56"/>
  <c r="L241" i="56" s="1"/>
  <c r="L248" i="56" s="1"/>
  <c r="F241" i="56"/>
  <c r="M241" i="56" s="1"/>
  <c r="M248" i="56" s="1"/>
  <c r="G241" i="56"/>
  <c r="N241" i="56" s="1"/>
  <c r="N248" i="56" s="1"/>
  <c r="H241" i="56"/>
  <c r="O241" i="56" s="1"/>
  <c r="O248" i="56" s="1"/>
  <c r="I241" i="56"/>
  <c r="D242" i="56"/>
  <c r="K242" i="56" s="1"/>
  <c r="E242" i="56"/>
  <c r="L242" i="56" s="1"/>
  <c r="F242" i="56"/>
  <c r="M242" i="56" s="1"/>
  <c r="G242" i="56"/>
  <c r="N242" i="56" s="1"/>
  <c r="H242" i="56"/>
  <c r="O242" i="56" s="1"/>
  <c r="I242" i="56"/>
  <c r="P242" i="56" s="1"/>
  <c r="D243" i="56"/>
  <c r="K243" i="56" s="1"/>
  <c r="E243" i="56"/>
  <c r="L243" i="56" s="1"/>
  <c r="F243" i="56"/>
  <c r="M243" i="56" s="1"/>
  <c r="G243" i="56"/>
  <c r="N243" i="56" s="1"/>
  <c r="H243" i="56"/>
  <c r="O243" i="56" s="1"/>
  <c r="I243" i="56"/>
  <c r="P243" i="56" s="1"/>
  <c r="D244" i="56"/>
  <c r="K244" i="56" s="1"/>
  <c r="E244" i="56"/>
  <c r="L244" i="56" s="1"/>
  <c r="F244" i="56"/>
  <c r="M244" i="56" s="1"/>
  <c r="G244" i="56"/>
  <c r="N244" i="56" s="1"/>
  <c r="H244" i="56"/>
  <c r="O244" i="56" s="1"/>
  <c r="I244" i="56"/>
  <c r="P244" i="56" s="1"/>
  <c r="D245" i="56"/>
  <c r="K245" i="56" s="1"/>
  <c r="E245" i="56"/>
  <c r="L245" i="56" s="1"/>
  <c r="F245" i="56"/>
  <c r="M245" i="56" s="1"/>
  <c r="G245" i="56"/>
  <c r="N245" i="56" s="1"/>
  <c r="H245" i="56"/>
  <c r="O245" i="56" s="1"/>
  <c r="I245" i="56"/>
  <c r="P245" i="56" s="1"/>
  <c r="D246" i="56"/>
  <c r="K246" i="56" s="1"/>
  <c r="E246" i="56"/>
  <c r="L246" i="56" s="1"/>
  <c r="F246" i="56"/>
  <c r="M246" i="56" s="1"/>
  <c r="G246" i="56"/>
  <c r="N246" i="56" s="1"/>
  <c r="H246" i="56"/>
  <c r="O246" i="56" s="1"/>
  <c r="I246" i="56"/>
  <c r="P246" i="56" s="1"/>
  <c r="D247" i="56"/>
  <c r="K247" i="56" s="1"/>
  <c r="E247" i="56"/>
  <c r="L247" i="56" s="1"/>
  <c r="F247" i="56"/>
  <c r="M247" i="56" s="1"/>
  <c r="G247" i="56"/>
  <c r="N247" i="56" s="1"/>
  <c r="H247" i="56"/>
  <c r="O247" i="56" s="1"/>
  <c r="I247" i="56"/>
  <c r="P247" i="56" s="1"/>
  <c r="B224" i="56"/>
  <c r="C225" i="56" s="1"/>
  <c r="C226" i="56"/>
  <c r="C227" i="56"/>
  <c r="C228" i="56"/>
  <c r="C229" i="56"/>
  <c r="C230" i="56"/>
  <c r="C231" i="56"/>
  <c r="C232" i="56"/>
  <c r="C233" i="56"/>
  <c r="B211" i="56"/>
  <c r="C212" i="56" s="1"/>
  <c r="C213" i="56"/>
  <c r="C214" i="56"/>
  <c r="C215" i="56"/>
  <c r="C216" i="56"/>
  <c r="C217" i="56"/>
  <c r="C218" i="56"/>
  <c r="C219" i="56"/>
  <c r="C220" i="56"/>
  <c r="C97" i="56"/>
  <c r="C98" i="56"/>
  <c r="C99" i="56"/>
  <c r="C100" i="56"/>
  <c r="C101" i="56"/>
  <c r="C102" i="56"/>
  <c r="C103" i="56"/>
  <c r="C104" i="56"/>
  <c r="C111" i="56"/>
  <c r="C112" i="56"/>
  <c r="C113" i="56"/>
  <c r="C114" i="56"/>
  <c r="C115" i="56"/>
  <c r="C116" i="56"/>
  <c r="C117" i="56"/>
  <c r="C118" i="56"/>
  <c r="C124" i="56"/>
  <c r="C125" i="56"/>
  <c r="C126" i="56"/>
  <c r="C127" i="56"/>
  <c r="C128" i="56"/>
  <c r="C129" i="56"/>
  <c r="C130" i="56"/>
  <c r="C131" i="56"/>
  <c r="C137" i="56"/>
  <c r="C138" i="56"/>
  <c r="C139" i="56"/>
  <c r="C140" i="56"/>
  <c r="C141" i="56"/>
  <c r="C142" i="56"/>
  <c r="C143" i="56"/>
  <c r="C144" i="56"/>
  <c r="C150" i="56"/>
  <c r="C151" i="56"/>
  <c r="C152" i="56"/>
  <c r="C153" i="56"/>
  <c r="C154" i="56"/>
  <c r="C155" i="56"/>
  <c r="C156" i="56"/>
  <c r="C157" i="56"/>
  <c r="C163" i="56"/>
  <c r="C164" i="56"/>
  <c r="C165" i="56"/>
  <c r="C166" i="56"/>
  <c r="C167" i="56"/>
  <c r="C168" i="56"/>
  <c r="C169" i="56"/>
  <c r="C170" i="56"/>
  <c r="C177" i="56"/>
  <c r="C178" i="56"/>
  <c r="C179" i="56"/>
  <c r="C180" i="56"/>
  <c r="C181" i="56"/>
  <c r="C182" i="56"/>
  <c r="C183" i="56"/>
  <c r="C184" i="56"/>
  <c r="C191" i="56"/>
  <c r="C192" i="56"/>
  <c r="C193" i="56"/>
  <c r="B198" i="56"/>
  <c r="C200" i="56"/>
  <c r="C201" i="56"/>
  <c r="C202" i="56"/>
  <c r="C203" i="56"/>
  <c r="C204" i="56"/>
  <c r="C205" i="56"/>
  <c r="C206" i="56"/>
  <c r="C207" i="56"/>
  <c r="C57" i="56"/>
  <c r="C58" i="56"/>
  <c r="C59" i="56"/>
  <c r="C60" i="56"/>
  <c r="C61" i="56"/>
  <c r="C62" i="56"/>
  <c r="C63" i="56"/>
  <c r="C64" i="56"/>
  <c r="C74" i="56"/>
  <c r="C84" i="56"/>
  <c r="C85" i="56"/>
  <c r="C86" i="56"/>
  <c r="C87" i="56"/>
  <c r="C88" i="56"/>
  <c r="C89" i="56"/>
  <c r="C90" i="56"/>
  <c r="C91" i="56"/>
  <c r="B10" i="56"/>
  <c r="B11" i="56"/>
  <c r="B13" i="56"/>
  <c r="C31" i="56"/>
  <c r="C32" i="56"/>
  <c r="C33" i="56"/>
  <c r="C34" i="56"/>
  <c r="C35" i="56"/>
  <c r="C36" i="56"/>
  <c r="C37" i="56"/>
  <c r="C38" i="56"/>
  <c r="C44" i="56"/>
  <c r="C45" i="56"/>
  <c r="C46" i="56"/>
  <c r="C47" i="56"/>
  <c r="C48" i="56"/>
  <c r="C49" i="56"/>
  <c r="C50" i="56"/>
  <c r="C51" i="56"/>
  <c r="B1" i="56"/>
  <c r="C247" i="46"/>
  <c r="C246" i="46"/>
  <c r="C245" i="46"/>
  <c r="C244" i="46"/>
  <c r="C243" i="46"/>
  <c r="C242" i="46"/>
  <c r="C241" i="46"/>
  <c r="C240" i="46"/>
  <c r="B238" i="46"/>
  <c r="C239" i="46" s="1"/>
  <c r="B225" i="46"/>
  <c r="C226" i="46" s="1"/>
  <c r="C234" i="46"/>
  <c r="C233" i="46"/>
  <c r="C232" i="46"/>
  <c r="C231" i="46"/>
  <c r="C230" i="46"/>
  <c r="C229" i="46"/>
  <c r="C228" i="46"/>
  <c r="C227" i="46"/>
  <c r="B212" i="46"/>
  <c r="C221" i="46"/>
  <c r="C220" i="46"/>
  <c r="C219" i="46"/>
  <c r="C218" i="46"/>
  <c r="C217" i="46"/>
  <c r="C216" i="46"/>
  <c r="C215" i="46"/>
  <c r="C214" i="46"/>
  <c r="C184" i="46"/>
  <c r="C183" i="46"/>
  <c r="C182" i="46"/>
  <c r="C181" i="46"/>
  <c r="C180" i="46"/>
  <c r="C179" i="46"/>
  <c r="C178" i="46"/>
  <c r="C177" i="46"/>
  <c r="C131" i="46"/>
  <c r="C130" i="46"/>
  <c r="C129" i="46"/>
  <c r="C128" i="46"/>
  <c r="C127" i="46"/>
  <c r="C126" i="46"/>
  <c r="C125" i="46"/>
  <c r="C124" i="46"/>
  <c r="C144" i="46"/>
  <c r="C143" i="46"/>
  <c r="C142" i="46"/>
  <c r="C141" i="46"/>
  <c r="C140" i="46"/>
  <c r="C139" i="46"/>
  <c r="C138" i="46"/>
  <c r="C137" i="46"/>
  <c r="C157" i="46"/>
  <c r="C156" i="46"/>
  <c r="C155" i="46"/>
  <c r="C154" i="46"/>
  <c r="C153" i="46"/>
  <c r="C152" i="46"/>
  <c r="C151" i="46"/>
  <c r="C150" i="46"/>
  <c r="C170" i="46"/>
  <c r="C169" i="46"/>
  <c r="C168" i="46"/>
  <c r="C167" i="46"/>
  <c r="C166" i="46"/>
  <c r="C165" i="46"/>
  <c r="C164" i="46"/>
  <c r="C163" i="46"/>
  <c r="H248" i="56" l="1"/>
  <c r="H249" i="56" s="1"/>
  <c r="E248" i="56"/>
  <c r="E249" i="56" s="1"/>
  <c r="G248" i="56"/>
  <c r="G249" i="56" s="1"/>
  <c r="F248" i="56"/>
  <c r="F249" i="56" s="1"/>
  <c r="I248" i="56"/>
  <c r="I249" i="56" s="1"/>
  <c r="P241" i="56"/>
  <c r="P248" i="56" s="1"/>
  <c r="K241" i="56"/>
  <c r="K248" i="56" s="1"/>
  <c r="M249" i="56" s="1"/>
  <c r="C118" i="46"/>
  <c r="C117" i="46"/>
  <c r="C116" i="46"/>
  <c r="C115" i="46"/>
  <c r="C114" i="46"/>
  <c r="C113" i="46"/>
  <c r="C112" i="46"/>
  <c r="C111" i="46"/>
  <c r="C104" i="46"/>
  <c r="C103" i="46"/>
  <c r="C102" i="46"/>
  <c r="C101" i="46"/>
  <c r="C100" i="46"/>
  <c r="C99" i="46"/>
  <c r="C98" i="46"/>
  <c r="C97" i="46"/>
  <c r="P249" i="56" l="1"/>
  <c r="O249" i="56"/>
  <c r="N249" i="56"/>
  <c r="L249" i="56"/>
  <c r="L21" i="56" l="1"/>
  <c r="K21" i="56"/>
  <c r="K22" i="56"/>
  <c r="L22" i="56"/>
  <c r="N21" i="56"/>
  <c r="P21" i="56"/>
  <c r="M21" i="56" l="1"/>
  <c r="O21" i="56"/>
  <c r="P22" i="56"/>
  <c r="N22" i="56"/>
  <c r="O22" i="56"/>
  <c r="M22" i="56"/>
  <c r="B13" i="46" l="1"/>
  <c r="C91" i="46" l="1"/>
  <c r="C90" i="46"/>
  <c r="C89" i="46"/>
  <c r="C88" i="46"/>
  <c r="C87" i="46"/>
  <c r="C86" i="46"/>
  <c r="C85" i="46"/>
  <c r="C84" i="46"/>
  <c r="C78" i="46" l="1"/>
  <c r="C77" i="46"/>
  <c r="C76" i="46"/>
  <c r="C75" i="46"/>
  <c r="C74" i="46"/>
  <c r="C73" i="46"/>
  <c r="C72" i="46"/>
  <c r="C71" i="46"/>
  <c r="C64" i="46"/>
  <c r="C63" i="46"/>
  <c r="C62" i="46"/>
  <c r="C61" i="46"/>
  <c r="C60" i="46"/>
  <c r="C59" i="46"/>
  <c r="C58" i="46"/>
  <c r="C57" i="46"/>
  <c r="C51" i="46"/>
  <c r="C50" i="46"/>
  <c r="C49" i="46"/>
  <c r="C48" i="46"/>
  <c r="C47" i="46"/>
  <c r="C46" i="46"/>
  <c r="C45" i="46"/>
  <c r="C44" i="46"/>
  <c r="C38" i="46"/>
  <c r="C37" i="46"/>
  <c r="C36" i="46"/>
  <c r="C35" i="46"/>
  <c r="C34" i="46"/>
  <c r="C33" i="46"/>
  <c r="C32" i="46"/>
  <c r="C31" i="46"/>
  <c r="E90" i="50" l="1"/>
  <c r="F90" i="50"/>
  <c r="G90" i="50"/>
  <c r="H90" i="50"/>
  <c r="I90" i="50"/>
  <c r="D90" i="50"/>
  <c r="D10" i="47"/>
  <c r="D9" i="47"/>
  <c r="E61" i="50"/>
  <c r="F61" i="50"/>
  <c r="G61" i="50"/>
  <c r="H61" i="50"/>
  <c r="I61" i="50"/>
  <c r="D61" i="50"/>
  <c r="C46" i="50" l="1"/>
  <c r="I10" i="47"/>
  <c r="H10" i="47"/>
  <c r="G10" i="47"/>
  <c r="F10" i="47"/>
  <c r="E10" i="47"/>
  <c r="I9" i="47"/>
  <c r="H9" i="47"/>
  <c r="G9" i="47"/>
  <c r="F9" i="47"/>
  <c r="E9" i="47"/>
  <c r="E126" i="21"/>
  <c r="F121" i="21"/>
  <c r="F120" i="21"/>
  <c r="E9" i="21" l="1"/>
  <c r="E8" i="21"/>
  <c r="E7" i="21"/>
  <c r="I112" i="21" l="1"/>
  <c r="K112" i="21" s="1"/>
  <c r="I111" i="21"/>
  <c r="K111" i="21" s="1"/>
  <c r="H111" i="21"/>
  <c r="I110" i="21"/>
  <c r="K110" i="21" s="1"/>
  <c r="H109" i="21"/>
  <c r="I109" i="21" s="1"/>
  <c r="K109" i="21" s="1"/>
  <c r="I108" i="21"/>
  <c r="K108" i="21" s="1"/>
  <c r="I107" i="21"/>
  <c r="K107" i="21" s="1"/>
  <c r="H106" i="21"/>
  <c r="I106" i="21" s="1"/>
  <c r="I99" i="21"/>
  <c r="I101" i="21" s="1"/>
  <c r="I91" i="21"/>
  <c r="K91" i="21" s="1"/>
  <c r="I90" i="21"/>
  <c r="K90" i="21" s="1"/>
  <c r="H90" i="21"/>
  <c r="I89" i="21"/>
  <c r="K89" i="21" s="1"/>
  <c r="H88" i="21"/>
  <c r="I88" i="21" s="1"/>
  <c r="K88" i="21" s="1"/>
  <c r="I87" i="21"/>
  <c r="K87" i="21" s="1"/>
  <c r="I86" i="21"/>
  <c r="K86" i="21" s="1"/>
  <c r="H85" i="21"/>
  <c r="I85" i="21" s="1"/>
  <c r="I77" i="21"/>
  <c r="K77" i="21" s="1"/>
  <c r="I76" i="21"/>
  <c r="K76" i="21" s="1"/>
  <c r="H76" i="21"/>
  <c r="I75" i="21"/>
  <c r="K75" i="21" s="1"/>
  <c r="I74" i="21"/>
  <c r="K74" i="21" s="1"/>
  <c r="I73" i="21"/>
  <c r="K73" i="21" s="1"/>
  <c r="H73" i="21"/>
  <c r="I72" i="21"/>
  <c r="K72" i="21" s="1"/>
  <c r="H72" i="21"/>
  <c r="I66" i="21"/>
  <c r="K66" i="21" s="1"/>
  <c r="I65" i="21"/>
  <c r="K65" i="21" s="1"/>
  <c r="H65" i="21"/>
  <c r="I64" i="21"/>
  <c r="K64" i="21" s="1"/>
  <c r="I63" i="21"/>
  <c r="K63" i="21" s="1"/>
  <c r="I62" i="21"/>
  <c r="I55" i="21"/>
  <c r="K55" i="21" s="1"/>
  <c r="I54" i="21"/>
  <c r="K54" i="21" s="1"/>
  <c r="H54" i="21"/>
  <c r="I53" i="21"/>
  <c r="K53" i="21" s="1"/>
  <c r="I52" i="21"/>
  <c r="K52" i="21" s="1"/>
  <c r="I51" i="21"/>
  <c r="K51" i="21" s="1"/>
  <c r="I50" i="21"/>
  <c r="K50" i="21" s="1"/>
  <c r="H49" i="21"/>
  <c r="I49" i="21" s="1"/>
  <c r="I42" i="21"/>
  <c r="K42" i="21" s="1"/>
  <c r="I41" i="21"/>
  <c r="K41" i="21" s="1"/>
  <c r="H41" i="21"/>
  <c r="I40" i="21"/>
  <c r="K40" i="21" s="1"/>
  <c r="I39" i="21"/>
  <c r="K39" i="21" s="1"/>
  <c r="I38" i="21"/>
  <c r="K38" i="21" s="1"/>
  <c r="I37" i="21"/>
  <c r="I30" i="21"/>
  <c r="K30" i="21" s="1"/>
  <c r="I29" i="21"/>
  <c r="K29" i="21" s="1"/>
  <c r="H29" i="21"/>
  <c r="I28" i="21"/>
  <c r="K28" i="21" s="1"/>
  <c r="I27" i="21"/>
  <c r="K27" i="21" s="1"/>
  <c r="I26" i="21"/>
  <c r="K26" i="21" s="1"/>
  <c r="H25" i="21"/>
  <c r="I25" i="21" s="1"/>
  <c r="K25" i="21" s="1"/>
  <c r="H24" i="21"/>
  <c r="I24" i="21" s="1"/>
  <c r="K24" i="21" s="1"/>
  <c r="H23" i="21"/>
  <c r="I23" i="21" s="1"/>
  <c r="B11" i="46"/>
  <c r="B10" i="46"/>
  <c r="C593" i="32"/>
  <c r="C592" i="32"/>
  <c r="C591" i="32"/>
  <c r="C590" i="32"/>
  <c r="C589" i="32"/>
  <c r="C588" i="32"/>
  <c r="C578" i="32"/>
  <c r="C580" i="32"/>
  <c r="E580" i="32" s="1"/>
  <c r="F580" i="32" s="1"/>
  <c r="G580" i="32" s="1"/>
  <c r="H580" i="32" s="1"/>
  <c r="I580" i="32" s="1"/>
  <c r="G578" i="32"/>
  <c r="F578" i="32"/>
  <c r="H578" i="32"/>
  <c r="I578" i="32"/>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I32" i="21" l="1"/>
  <c r="I44" i="21"/>
  <c r="K79" i="21"/>
  <c r="C46" i="42" s="1"/>
  <c r="K37" i="21"/>
  <c r="K44" i="21" s="1"/>
  <c r="C43" i="42" s="1"/>
  <c r="I68" i="21"/>
  <c r="K49" i="21"/>
  <c r="K57" i="21" s="1"/>
  <c r="C44" i="42" s="1"/>
  <c r="I57" i="21"/>
  <c r="K106" i="21"/>
  <c r="K114" i="21" s="1"/>
  <c r="C49" i="42" s="1"/>
  <c r="I114" i="21"/>
  <c r="K85" i="21"/>
  <c r="K93" i="21" s="1"/>
  <c r="C47" i="42" s="1"/>
  <c r="I93" i="21"/>
  <c r="K99" i="21"/>
  <c r="K101" i="21" s="1"/>
  <c r="C48" i="42" s="1"/>
  <c r="K62" i="21"/>
  <c r="K68" i="21" s="1"/>
  <c r="C45" i="42" s="1"/>
  <c r="I79" i="21"/>
  <c r="K23" i="21"/>
  <c r="K32" i="21" s="1"/>
  <c r="C42" i="42" s="1"/>
  <c r="E578" i="32"/>
  <c r="E576" i="32" l="1"/>
  <c r="F576" i="32"/>
  <c r="G576" i="32"/>
  <c r="H576" i="32"/>
  <c r="I576" i="32"/>
  <c r="C193" i="46" l="1"/>
  <c r="C192" i="46"/>
  <c r="C191" i="46"/>
  <c r="V30" i="57"/>
  <c r="V31" i="57"/>
  <c r="V32" i="57"/>
  <c r="V33" i="57"/>
  <c r="V34" i="57"/>
  <c r="V5" i="57"/>
  <c r="V6" i="57"/>
  <c r="V7" i="57"/>
  <c r="V8" i="57"/>
  <c r="V9" i="57"/>
  <c r="V10" i="57"/>
  <c r="V11" i="57"/>
  <c r="V12" i="57"/>
  <c r="V13" i="57"/>
  <c r="V14" i="57"/>
  <c r="V15" i="57"/>
  <c r="V16" i="57"/>
  <c r="V17" i="57"/>
  <c r="V18" i="57"/>
  <c r="Q118" i="50" s="1"/>
  <c r="V19" i="57"/>
  <c r="V20" i="57"/>
  <c r="V21" i="57"/>
  <c r="V22" i="57"/>
  <c r="V23" i="57"/>
  <c r="V24" i="57"/>
  <c r="V25" i="57"/>
  <c r="V26" i="57"/>
  <c r="V27" i="57"/>
  <c r="V28" i="57"/>
  <c r="V29" i="57"/>
  <c r="Q113" i="50" l="1"/>
  <c r="Q112" i="50"/>
  <c r="Q119" i="50"/>
  <c r="Q111" i="50"/>
  <c r="D191" i="56"/>
  <c r="E191" i="56"/>
  <c r="F191" i="56"/>
  <c r="G191" i="56"/>
  <c r="H191" i="56"/>
  <c r="I191" i="56"/>
  <c r="D192" i="56"/>
  <c r="K192" i="56" s="1"/>
  <c r="F192" i="56"/>
  <c r="M192" i="56" s="1"/>
  <c r="G192" i="56"/>
  <c r="N192" i="56" s="1"/>
  <c r="E192" i="56"/>
  <c r="L192" i="56" s="1"/>
  <c r="H192" i="56"/>
  <c r="O192" i="56" s="1"/>
  <c r="I192" i="56"/>
  <c r="P192" i="56" s="1"/>
  <c r="H193" i="56"/>
  <c r="O193" i="56" s="1"/>
  <c r="I193" i="56"/>
  <c r="P193" i="56" s="1"/>
  <c r="D193" i="56"/>
  <c r="K193" i="56" s="1"/>
  <c r="E193" i="56"/>
  <c r="L193" i="56" s="1"/>
  <c r="F193" i="56"/>
  <c r="M193" i="56" s="1"/>
  <c r="G193" i="56"/>
  <c r="N193" i="56" s="1"/>
  <c r="D105" i="57"/>
  <c r="C105" i="57"/>
  <c r="B105" i="57"/>
  <c r="F100" i="57"/>
  <c r="E100" i="57"/>
  <c r="D100" i="57"/>
  <c r="F99" i="57"/>
  <c r="E99" i="57"/>
  <c r="D99" i="57"/>
  <c r="F98" i="57"/>
  <c r="E98" i="57"/>
  <c r="D98" i="57"/>
  <c r="F97" i="57"/>
  <c r="E97" i="57"/>
  <c r="D97" i="57"/>
  <c r="F96" i="57"/>
  <c r="E96" i="57"/>
  <c r="D96" i="57"/>
  <c r="F95" i="57"/>
  <c r="E95" i="57"/>
  <c r="D95" i="57"/>
  <c r="F94" i="57"/>
  <c r="E94" i="57"/>
  <c r="D94" i="57"/>
  <c r="F93" i="57"/>
  <c r="E93" i="57"/>
  <c r="D93" i="57"/>
  <c r="F92" i="57"/>
  <c r="E92" i="57"/>
  <c r="D92" i="57"/>
  <c r="F91" i="57"/>
  <c r="E91" i="57"/>
  <c r="D91" i="57"/>
  <c r="F90" i="57"/>
  <c r="E90" i="57"/>
  <c r="D90" i="57"/>
  <c r="F89" i="57"/>
  <c r="E89" i="57"/>
  <c r="D89" i="57"/>
  <c r="F88" i="57"/>
  <c r="E88" i="57"/>
  <c r="D88" i="57"/>
  <c r="F87" i="57"/>
  <c r="E87" i="57"/>
  <c r="D87" i="57"/>
  <c r="F86" i="57"/>
  <c r="E86" i="57"/>
  <c r="D86" i="57"/>
  <c r="F85" i="57"/>
  <c r="E85" i="57"/>
  <c r="D85" i="57"/>
  <c r="F84" i="57"/>
  <c r="E84" i="57"/>
  <c r="D84" i="57"/>
  <c r="F83" i="57"/>
  <c r="E83" i="57"/>
  <c r="D83" i="57"/>
  <c r="F82" i="57"/>
  <c r="E82" i="57"/>
  <c r="D82" i="57"/>
  <c r="J81" i="57"/>
  <c r="H81" i="57"/>
  <c r="F81" i="57"/>
  <c r="E81" i="57"/>
  <c r="D81" i="57"/>
  <c r="J80" i="57"/>
  <c r="H80" i="57"/>
  <c r="F80" i="57"/>
  <c r="E80" i="57"/>
  <c r="D80" i="57"/>
  <c r="J79" i="57"/>
  <c r="H79" i="57"/>
  <c r="F79" i="57"/>
  <c r="E79" i="57"/>
  <c r="D79" i="57"/>
  <c r="J78" i="57"/>
  <c r="H78" i="57"/>
  <c r="F78" i="57"/>
  <c r="E78" i="57"/>
  <c r="D78" i="57"/>
  <c r="J77" i="57"/>
  <c r="H77" i="57"/>
  <c r="F77" i="57"/>
  <c r="E77" i="57"/>
  <c r="D77" i="57"/>
  <c r="J76" i="57"/>
  <c r="H76" i="57"/>
  <c r="F76" i="57"/>
  <c r="E76" i="57"/>
  <c r="D76" i="57"/>
  <c r="J75" i="57"/>
  <c r="H75" i="57"/>
  <c r="F75" i="57"/>
  <c r="E75" i="57"/>
  <c r="D75" i="57"/>
  <c r="J74" i="57"/>
  <c r="H74" i="57"/>
  <c r="F74" i="57"/>
  <c r="E74" i="57"/>
  <c r="D74" i="57"/>
  <c r="J73" i="57"/>
  <c r="H73" i="57"/>
  <c r="F73" i="57"/>
  <c r="E73" i="57"/>
  <c r="D73" i="57"/>
  <c r="J72" i="57"/>
  <c r="H72" i="57"/>
  <c r="F72" i="57"/>
  <c r="E72" i="57"/>
  <c r="D72" i="57"/>
  <c r="J71" i="57"/>
  <c r="H71" i="57"/>
  <c r="F71" i="57"/>
  <c r="E71" i="57"/>
  <c r="D71" i="57"/>
  <c r="J70" i="57"/>
  <c r="H70" i="57"/>
  <c r="F70" i="57"/>
  <c r="E70" i="57"/>
  <c r="D70" i="57"/>
  <c r="J69" i="57"/>
  <c r="H69" i="57"/>
  <c r="F69" i="57"/>
  <c r="E69" i="57"/>
  <c r="D69" i="57"/>
  <c r="J68" i="57"/>
  <c r="H68" i="57"/>
  <c r="F68" i="57"/>
  <c r="E68" i="57"/>
  <c r="D68" i="57"/>
  <c r="J67" i="57"/>
  <c r="H67" i="57"/>
  <c r="F67" i="57"/>
  <c r="E67" i="57"/>
  <c r="D67" i="57"/>
  <c r="J66" i="57"/>
  <c r="H66" i="57"/>
  <c r="F66" i="57"/>
  <c r="E66" i="57"/>
  <c r="D66" i="57"/>
  <c r="J65" i="57"/>
  <c r="H65" i="57"/>
  <c r="F65" i="57"/>
  <c r="E65" i="57"/>
  <c r="D65" i="57"/>
  <c r="J64" i="57"/>
  <c r="H64" i="57"/>
  <c r="F64" i="57"/>
  <c r="E64" i="57"/>
  <c r="D64" i="57"/>
  <c r="J63" i="57"/>
  <c r="H63" i="57"/>
  <c r="F63" i="57"/>
  <c r="E63" i="57"/>
  <c r="D63" i="57"/>
  <c r="J62" i="57"/>
  <c r="H62" i="57"/>
  <c r="F62" i="57"/>
  <c r="E62" i="57"/>
  <c r="D62" i="57"/>
  <c r="J61" i="57"/>
  <c r="H61" i="57"/>
  <c r="F61" i="57"/>
  <c r="E61" i="57"/>
  <c r="D61" i="57"/>
  <c r="J60" i="57"/>
  <c r="H60" i="57"/>
  <c r="F60" i="57"/>
  <c r="E60" i="57"/>
  <c r="D60" i="57"/>
  <c r="J59" i="57"/>
  <c r="H59" i="57"/>
  <c r="F59" i="57"/>
  <c r="E59" i="57"/>
  <c r="D59" i="57"/>
  <c r="J58" i="57"/>
  <c r="H58" i="57"/>
  <c r="F58" i="57"/>
  <c r="E58" i="57"/>
  <c r="D58" i="57"/>
  <c r="J57" i="57"/>
  <c r="H57" i="57"/>
  <c r="F57" i="57"/>
  <c r="E57" i="57"/>
  <c r="D57" i="57"/>
  <c r="J56" i="57"/>
  <c r="H56" i="57"/>
  <c r="F56" i="57"/>
  <c r="E56" i="57"/>
  <c r="D56" i="57"/>
  <c r="J55" i="57"/>
  <c r="H55" i="57"/>
  <c r="F55" i="57"/>
  <c r="E55" i="57"/>
  <c r="D55" i="57"/>
  <c r="J54" i="57"/>
  <c r="H54" i="57"/>
  <c r="F54" i="57"/>
  <c r="E54" i="57"/>
  <c r="D54" i="57"/>
  <c r="J53" i="57"/>
  <c r="H53" i="57"/>
  <c r="F53" i="57"/>
  <c r="E53" i="57"/>
  <c r="D53" i="57"/>
  <c r="J52" i="57"/>
  <c r="H52" i="57"/>
  <c r="F52" i="57"/>
  <c r="E52" i="57"/>
  <c r="D52" i="57"/>
  <c r="J51" i="57"/>
  <c r="H51" i="57"/>
  <c r="F51" i="57"/>
  <c r="E51" i="57"/>
  <c r="D51" i="57"/>
  <c r="J50" i="57"/>
  <c r="H50" i="57"/>
  <c r="F50" i="57"/>
  <c r="E50" i="57"/>
  <c r="D50" i="57"/>
  <c r="J49" i="57"/>
  <c r="H49" i="57"/>
  <c r="F49" i="57"/>
  <c r="E49" i="57"/>
  <c r="D49" i="57"/>
  <c r="J48" i="57"/>
  <c r="H48" i="57"/>
  <c r="F48" i="57"/>
  <c r="E48" i="57"/>
  <c r="D48" i="57"/>
  <c r="J47" i="57"/>
  <c r="H47" i="57"/>
  <c r="F47" i="57"/>
  <c r="E47" i="57"/>
  <c r="D47" i="57"/>
  <c r="J46" i="57"/>
  <c r="H46" i="57"/>
  <c r="F46" i="57"/>
  <c r="E46" i="57"/>
  <c r="D46" i="57"/>
  <c r="J45" i="57"/>
  <c r="H45" i="57"/>
  <c r="F45" i="57"/>
  <c r="E45" i="57"/>
  <c r="D45" i="57"/>
  <c r="J44" i="57"/>
  <c r="H44" i="57"/>
  <c r="F44" i="57"/>
  <c r="E44" i="57"/>
  <c r="D44" i="57"/>
  <c r="J43" i="57"/>
  <c r="H43" i="57"/>
  <c r="F43" i="57"/>
  <c r="E43" i="57"/>
  <c r="D43" i="57"/>
  <c r="J42" i="57"/>
  <c r="K42" i="57" s="1"/>
  <c r="H42" i="57"/>
  <c r="F42" i="57"/>
  <c r="E42" i="57"/>
  <c r="D42" i="57"/>
  <c r="J41" i="57"/>
  <c r="K41" i="57" s="1"/>
  <c r="H41" i="57"/>
  <c r="F41" i="57"/>
  <c r="E41" i="57"/>
  <c r="D41" i="57"/>
  <c r="J40" i="57"/>
  <c r="H40" i="57"/>
  <c r="F40" i="57"/>
  <c r="E40" i="57"/>
  <c r="D40" i="57"/>
  <c r="J39" i="57"/>
  <c r="K39" i="57" s="1"/>
  <c r="H39" i="57"/>
  <c r="F39" i="57"/>
  <c r="E39" i="57"/>
  <c r="D39" i="57"/>
  <c r="J38" i="57"/>
  <c r="H38" i="57"/>
  <c r="F38" i="57"/>
  <c r="E38" i="57"/>
  <c r="D38" i="57"/>
  <c r="J37" i="57"/>
  <c r="H37" i="57"/>
  <c r="F37" i="57"/>
  <c r="E37" i="57"/>
  <c r="D37" i="57"/>
  <c r="J36" i="57"/>
  <c r="H36" i="57"/>
  <c r="F36" i="57"/>
  <c r="E36" i="57"/>
  <c r="D36" i="57"/>
  <c r="J35" i="57"/>
  <c r="H35" i="57"/>
  <c r="F35" i="57"/>
  <c r="E35" i="57"/>
  <c r="D35" i="57"/>
  <c r="J34" i="57"/>
  <c r="H34" i="57"/>
  <c r="F34" i="57"/>
  <c r="E34" i="57"/>
  <c r="D34" i="57"/>
  <c r="J33" i="57"/>
  <c r="H33" i="57"/>
  <c r="F33" i="57"/>
  <c r="E33" i="57"/>
  <c r="D33" i="57"/>
  <c r="J32" i="57"/>
  <c r="H32" i="57"/>
  <c r="F32" i="57"/>
  <c r="E32" i="57"/>
  <c r="D32" i="57"/>
  <c r="J31" i="57"/>
  <c r="H31" i="57"/>
  <c r="F31" i="57"/>
  <c r="E31" i="57"/>
  <c r="D31" i="57"/>
  <c r="J30" i="57"/>
  <c r="H30" i="57"/>
  <c r="F30" i="57"/>
  <c r="E30" i="57"/>
  <c r="D30" i="57"/>
  <c r="J29" i="57"/>
  <c r="H29" i="57"/>
  <c r="F29" i="57"/>
  <c r="E29" i="57"/>
  <c r="D29" i="57"/>
  <c r="J28" i="57"/>
  <c r="H28" i="57"/>
  <c r="F28" i="57"/>
  <c r="E28" i="57"/>
  <c r="D28" i="57"/>
  <c r="J27" i="57"/>
  <c r="H27" i="57"/>
  <c r="F27" i="57"/>
  <c r="E27" i="57"/>
  <c r="D27" i="57"/>
  <c r="J26" i="57"/>
  <c r="H26" i="57"/>
  <c r="F26" i="57"/>
  <c r="E26" i="57"/>
  <c r="D26" i="57"/>
  <c r="J25" i="57"/>
  <c r="H25" i="57"/>
  <c r="F25" i="57"/>
  <c r="E25" i="57"/>
  <c r="D25" i="57"/>
  <c r="J24" i="57"/>
  <c r="H24" i="57"/>
  <c r="F24" i="57"/>
  <c r="E24" i="57"/>
  <c r="D24" i="57"/>
  <c r="J23" i="57"/>
  <c r="H23" i="57"/>
  <c r="F23" i="57"/>
  <c r="E23" i="57"/>
  <c r="D23" i="57"/>
  <c r="J22" i="57"/>
  <c r="H22" i="57"/>
  <c r="F22" i="57"/>
  <c r="E22" i="57"/>
  <c r="D22" i="57"/>
  <c r="J21" i="57"/>
  <c r="H21" i="57"/>
  <c r="F21" i="57"/>
  <c r="E21" i="57"/>
  <c r="D21" i="57"/>
  <c r="J20" i="57"/>
  <c r="H20" i="57"/>
  <c r="F20" i="57"/>
  <c r="E20" i="57"/>
  <c r="D20" i="57"/>
  <c r="J19" i="57"/>
  <c r="H19" i="57"/>
  <c r="F19" i="57"/>
  <c r="E19" i="57"/>
  <c r="D19" i="57"/>
  <c r="J18" i="57"/>
  <c r="H18" i="57"/>
  <c r="F18" i="57"/>
  <c r="E18" i="57"/>
  <c r="D18" i="57"/>
  <c r="J17" i="57"/>
  <c r="H17" i="57"/>
  <c r="F17" i="57"/>
  <c r="E17" i="57"/>
  <c r="D17" i="57"/>
  <c r="J16" i="57"/>
  <c r="H16" i="57"/>
  <c r="F16" i="57"/>
  <c r="E16" i="57"/>
  <c r="D16" i="57"/>
  <c r="J15" i="57"/>
  <c r="H15" i="57"/>
  <c r="F15" i="57"/>
  <c r="E15" i="57"/>
  <c r="D15" i="57"/>
  <c r="J14" i="57"/>
  <c r="H14" i="57"/>
  <c r="F14" i="57"/>
  <c r="E14" i="57"/>
  <c r="D14" i="57"/>
  <c r="J13" i="57"/>
  <c r="H13" i="57"/>
  <c r="F13" i="57"/>
  <c r="E13" i="57"/>
  <c r="D13" i="57"/>
  <c r="J12" i="57"/>
  <c r="H12" i="57"/>
  <c r="F12" i="57"/>
  <c r="E12" i="57"/>
  <c r="D12" i="57"/>
  <c r="J11" i="57"/>
  <c r="H11" i="57"/>
  <c r="F11" i="57"/>
  <c r="E11" i="57"/>
  <c r="D11" i="57"/>
  <c r="J10" i="57"/>
  <c r="H10" i="57"/>
  <c r="F10" i="57"/>
  <c r="E10" i="57"/>
  <c r="D10" i="57"/>
  <c r="J9" i="57"/>
  <c r="H9" i="57"/>
  <c r="F9" i="57"/>
  <c r="E9" i="57"/>
  <c r="D9" i="57"/>
  <c r="J8" i="57"/>
  <c r="H8" i="57"/>
  <c r="F8" i="57"/>
  <c r="E8" i="57"/>
  <c r="D8" i="57"/>
  <c r="J7" i="57"/>
  <c r="K7" i="57" s="1"/>
  <c r="H7" i="57"/>
  <c r="F7" i="57"/>
  <c r="E7" i="57"/>
  <c r="D7" i="57"/>
  <c r="J6" i="57"/>
  <c r="H6" i="57"/>
  <c r="F6" i="57"/>
  <c r="E6" i="57"/>
  <c r="D6" i="57"/>
  <c r="J5" i="57"/>
  <c r="H5" i="57"/>
  <c r="F5" i="57"/>
  <c r="E5" i="57"/>
  <c r="D5" i="57"/>
  <c r="L6" i="57" l="1"/>
  <c r="K6" i="57"/>
  <c r="L16" i="57"/>
  <c r="K16" i="57"/>
  <c r="L32" i="57"/>
  <c r="K32" i="57"/>
  <c r="L40" i="57"/>
  <c r="K40" i="57"/>
  <c r="N40" i="57" s="1"/>
  <c r="M48" i="57"/>
  <c r="K48" i="57"/>
  <c r="L80" i="57"/>
  <c r="K80" i="57"/>
  <c r="L13" i="57"/>
  <c r="K13" i="57"/>
  <c r="L21" i="57"/>
  <c r="K21" i="57"/>
  <c r="N21" i="57" s="1"/>
  <c r="L29" i="57"/>
  <c r="K29" i="57"/>
  <c r="M45" i="57"/>
  <c r="K45" i="57"/>
  <c r="M53" i="57"/>
  <c r="K53" i="57"/>
  <c r="M61" i="57"/>
  <c r="K61" i="57"/>
  <c r="M69" i="57"/>
  <c r="K69" i="57"/>
  <c r="M10" i="57"/>
  <c r="K10" i="57"/>
  <c r="M18" i="57"/>
  <c r="K18" i="57"/>
  <c r="M26" i="57"/>
  <c r="K26" i="57"/>
  <c r="N26" i="57" s="1"/>
  <c r="M34" i="57"/>
  <c r="K34" i="57"/>
  <c r="L50" i="57"/>
  <c r="K50" i="57"/>
  <c r="L58" i="57"/>
  <c r="K58" i="57"/>
  <c r="L66" i="57"/>
  <c r="K66" i="57"/>
  <c r="N66" i="57" s="1"/>
  <c r="L74" i="57"/>
  <c r="K74" i="57"/>
  <c r="L24" i="57"/>
  <c r="K24" i="57"/>
  <c r="M64" i="57"/>
  <c r="K64" i="57"/>
  <c r="M72" i="57"/>
  <c r="K72" i="57"/>
  <c r="N72" i="57" s="1"/>
  <c r="L5" i="57"/>
  <c r="K5" i="57"/>
  <c r="L37" i="57"/>
  <c r="K37" i="57"/>
  <c r="M77" i="57"/>
  <c r="K77" i="57"/>
  <c r="M15" i="57"/>
  <c r="K15" i="57"/>
  <c r="N15" i="57" s="1"/>
  <c r="M23" i="57"/>
  <c r="K23" i="57"/>
  <c r="M31" i="57"/>
  <c r="K31" i="57"/>
  <c r="L47" i="57"/>
  <c r="K47" i="57"/>
  <c r="L55" i="57"/>
  <c r="K55" i="57"/>
  <c r="N55" i="57" s="1"/>
  <c r="L63" i="57"/>
  <c r="K63" i="57"/>
  <c r="L71" i="57"/>
  <c r="K71" i="57"/>
  <c r="L79" i="57"/>
  <c r="K79" i="57"/>
  <c r="M56" i="57"/>
  <c r="K56" i="57"/>
  <c r="N56" i="57" s="1"/>
  <c r="L8" i="57"/>
  <c r="K8" i="57"/>
  <c r="L12" i="57"/>
  <c r="K12" i="57"/>
  <c r="L20" i="57"/>
  <c r="K20" i="57"/>
  <c r="L28" i="57"/>
  <c r="K28" i="57"/>
  <c r="N28" i="57" s="1"/>
  <c r="L36" i="57"/>
  <c r="K36" i="57"/>
  <c r="K44" i="57"/>
  <c r="M52" i="57"/>
  <c r="K52" i="57"/>
  <c r="M60" i="57"/>
  <c r="K60" i="57"/>
  <c r="L68" i="57"/>
  <c r="K68" i="57"/>
  <c r="M76" i="57"/>
  <c r="K76" i="57"/>
  <c r="L9" i="57"/>
  <c r="K9" i="57"/>
  <c r="L17" i="57"/>
  <c r="K17" i="57"/>
  <c r="N17" i="57" s="1"/>
  <c r="L25" i="57"/>
  <c r="K25" i="57"/>
  <c r="L33" i="57"/>
  <c r="K33" i="57"/>
  <c r="M49" i="57"/>
  <c r="K49" i="57"/>
  <c r="M57" i="57"/>
  <c r="K57" i="57"/>
  <c r="N57" i="57" s="1"/>
  <c r="M65" i="57"/>
  <c r="K65" i="57"/>
  <c r="M73" i="57"/>
  <c r="K73" i="57"/>
  <c r="M81" i="57"/>
  <c r="K81" i="57"/>
  <c r="M14" i="57"/>
  <c r="K14" i="57"/>
  <c r="N14" i="57" s="1"/>
  <c r="M22" i="57"/>
  <c r="K22" i="57"/>
  <c r="M30" i="57"/>
  <c r="K30" i="57"/>
  <c r="M38" i="57"/>
  <c r="K38" i="57"/>
  <c r="L46" i="57"/>
  <c r="K46" i="57"/>
  <c r="N46" i="57" s="1"/>
  <c r="L54" i="57"/>
  <c r="K54" i="57"/>
  <c r="L62" i="57"/>
  <c r="K62" i="57"/>
  <c r="L70" i="57"/>
  <c r="K70" i="57"/>
  <c r="L78" i="57"/>
  <c r="K78" i="57"/>
  <c r="N78" i="57" s="1"/>
  <c r="M11" i="57"/>
  <c r="K11" i="57"/>
  <c r="M19" i="57"/>
  <c r="K19" i="57"/>
  <c r="M27" i="57"/>
  <c r="K27" i="57"/>
  <c r="M35" i="57"/>
  <c r="K35" i="57"/>
  <c r="N35" i="57" s="1"/>
  <c r="M43" i="57"/>
  <c r="K43" i="57"/>
  <c r="L51" i="57"/>
  <c r="K51" i="57"/>
  <c r="L59" i="57"/>
  <c r="K59" i="57"/>
  <c r="L67" i="57"/>
  <c r="K67" i="57"/>
  <c r="N67" i="57" s="1"/>
  <c r="L75" i="57"/>
  <c r="K75" i="57"/>
  <c r="P191" i="56"/>
  <c r="P194" i="56" s="1"/>
  <c r="I194" i="56"/>
  <c r="O191" i="56"/>
  <c r="O194" i="56" s="1"/>
  <c r="H194" i="56"/>
  <c r="N191" i="56"/>
  <c r="N194" i="56" s="1"/>
  <c r="G194" i="56"/>
  <c r="M191" i="56"/>
  <c r="M194" i="56" s="1"/>
  <c r="M195" i="56" s="1"/>
  <c r="F194" i="56"/>
  <c r="L191" i="56"/>
  <c r="L194" i="56" s="1"/>
  <c r="E194" i="56"/>
  <c r="D194" i="56"/>
  <c r="K191" i="56"/>
  <c r="K194" i="56" s="1"/>
  <c r="L34" i="57"/>
  <c r="L22" i="57"/>
  <c r="N22" i="57" s="1"/>
  <c r="L81" i="57"/>
  <c r="M51" i="57"/>
  <c r="M42" i="57"/>
  <c r="L45" i="57"/>
  <c r="G43" i="57"/>
  <c r="G60" i="57"/>
  <c r="L26" i="57"/>
  <c r="G24" i="57"/>
  <c r="G14" i="57"/>
  <c r="L18" i="57"/>
  <c r="G22" i="57"/>
  <c r="L77" i="57"/>
  <c r="N30" i="57"/>
  <c r="G39" i="57"/>
  <c r="G46" i="57"/>
  <c r="G57" i="57"/>
  <c r="L64" i="57"/>
  <c r="G66" i="57"/>
  <c r="G68" i="57"/>
  <c r="L30" i="57"/>
  <c r="G18" i="57"/>
  <c r="M55" i="57"/>
  <c r="L69" i="57"/>
  <c r="G98" i="57"/>
  <c r="G15" i="57"/>
  <c r="M39" i="57"/>
  <c r="E105" i="57"/>
  <c r="R38" i="57" s="1"/>
  <c r="V38" i="57" s="1"/>
  <c r="G72" i="57"/>
  <c r="N34" i="57"/>
  <c r="L38" i="57"/>
  <c r="N38" i="57" s="1"/>
  <c r="G52" i="57"/>
  <c r="G63" i="57"/>
  <c r="G77" i="57"/>
  <c r="G78" i="57"/>
  <c r="G99" i="57"/>
  <c r="L48" i="57"/>
  <c r="N48" i="57" s="1"/>
  <c r="G50" i="57"/>
  <c r="L52" i="57"/>
  <c r="N52" i="57" s="1"/>
  <c r="M68" i="57"/>
  <c r="L11" i="57"/>
  <c r="G19" i="57"/>
  <c r="G30" i="57"/>
  <c r="G34" i="57"/>
  <c r="G38" i="57"/>
  <c r="G42" i="57"/>
  <c r="G56" i="57"/>
  <c r="G75" i="57"/>
  <c r="G26" i="57"/>
  <c r="G29" i="57"/>
  <c r="G41" i="57"/>
  <c r="G48" i="57"/>
  <c r="L57" i="57"/>
  <c r="M63" i="57"/>
  <c r="M80" i="57"/>
  <c r="N80" i="57" s="1"/>
  <c r="G11" i="57"/>
  <c r="L35" i="57"/>
  <c r="G51" i="57"/>
  <c r="G64" i="57"/>
  <c r="L76" i="57"/>
  <c r="N76" i="57" s="1"/>
  <c r="G80" i="57"/>
  <c r="L19" i="57"/>
  <c r="G32" i="57"/>
  <c r="M75" i="57"/>
  <c r="G10" i="57"/>
  <c r="L15" i="57"/>
  <c r="N18" i="57"/>
  <c r="G20" i="57"/>
  <c r="L23" i="57"/>
  <c r="M33" i="57"/>
  <c r="G35" i="57"/>
  <c r="L65" i="57"/>
  <c r="N68" i="57"/>
  <c r="G76" i="57"/>
  <c r="G84" i="57"/>
  <c r="G100" i="57"/>
  <c r="R37" i="57" s="1"/>
  <c r="V37" i="57" s="1"/>
  <c r="G7" i="57"/>
  <c r="G25" i="57"/>
  <c r="M40" i="57"/>
  <c r="G47" i="57"/>
  <c r="G53" i="57"/>
  <c r="G54" i="57"/>
  <c r="G65" i="57"/>
  <c r="M67" i="57"/>
  <c r="M79" i="57"/>
  <c r="G87" i="57"/>
  <c r="G92" i="57"/>
  <c r="G95" i="57"/>
  <c r="L56" i="57"/>
  <c r="M21" i="57"/>
  <c r="L27" i="57"/>
  <c r="G33" i="57"/>
  <c r="M37" i="57"/>
  <c r="L44" i="57"/>
  <c r="N44" i="57" s="1"/>
  <c r="G58" i="57"/>
  <c r="N60" i="57"/>
  <c r="L61" i="57"/>
  <c r="G69" i="57"/>
  <c r="G70" i="57"/>
  <c r="L73" i="57"/>
  <c r="G81" i="57"/>
  <c r="G82" i="57"/>
  <c r="R35" i="57" s="1"/>
  <c r="V35" i="57" s="1"/>
  <c r="G85" i="57"/>
  <c r="G90" i="57"/>
  <c r="G93" i="57"/>
  <c r="G6" i="57"/>
  <c r="G9" i="57"/>
  <c r="G13" i="57"/>
  <c r="G17" i="57"/>
  <c r="L31" i="57"/>
  <c r="N31" i="57" s="1"/>
  <c r="G40" i="57"/>
  <c r="M44" i="57"/>
  <c r="L49" i="57"/>
  <c r="M59" i="57"/>
  <c r="L60" i="57"/>
  <c r="G67" i="57"/>
  <c r="M71" i="57"/>
  <c r="L72" i="57"/>
  <c r="G79" i="57"/>
  <c r="G88" i="57"/>
  <c r="G96" i="57"/>
  <c r="G36" i="57"/>
  <c r="G45" i="57"/>
  <c r="G55" i="57"/>
  <c r="G83" i="57"/>
  <c r="G91" i="57"/>
  <c r="R36" i="57" s="1"/>
  <c r="V36" i="57" s="1"/>
  <c r="Q122" i="50" s="1"/>
  <c r="G5" i="57"/>
  <c r="G8" i="57"/>
  <c r="G12" i="57"/>
  <c r="G16" i="57"/>
  <c r="G21" i="57"/>
  <c r="G23" i="57"/>
  <c r="G27" i="57"/>
  <c r="G28" i="57"/>
  <c r="G37" i="57"/>
  <c r="G44" i="57"/>
  <c r="M47" i="57"/>
  <c r="L53" i="57"/>
  <c r="G61" i="57"/>
  <c r="G62" i="57"/>
  <c r="N64" i="57"/>
  <c r="G73" i="57"/>
  <c r="G74" i="57"/>
  <c r="G86" i="57"/>
  <c r="G31" i="57"/>
  <c r="G49" i="57"/>
  <c r="G59" i="57"/>
  <c r="G71" i="57"/>
  <c r="G89" i="57"/>
  <c r="G94" i="57"/>
  <c r="G97" i="57"/>
  <c r="M17" i="57"/>
  <c r="L10" i="57"/>
  <c r="N10" i="57" s="1"/>
  <c r="L14" i="57"/>
  <c r="M13" i="57"/>
  <c r="N13" i="57" s="1"/>
  <c r="L7" i="57"/>
  <c r="N7" i="57" s="1"/>
  <c r="N11" i="57"/>
  <c r="N19" i="57"/>
  <c r="N23" i="57"/>
  <c r="N27" i="57"/>
  <c r="L41" i="57"/>
  <c r="N41" i="57" s="1"/>
  <c r="N45" i="57"/>
  <c r="N49" i="57"/>
  <c r="N53" i="57"/>
  <c r="N61" i="57"/>
  <c r="N65" i="57"/>
  <c r="N69" i="57"/>
  <c r="N73" i="57"/>
  <c r="N77" i="57"/>
  <c r="N81" i="57"/>
  <c r="M6" i="57"/>
  <c r="M9" i="57"/>
  <c r="N9" i="57" s="1"/>
  <c r="M25" i="57"/>
  <c r="N25" i="57" s="1"/>
  <c r="M29" i="57"/>
  <c r="N29" i="57" s="1"/>
  <c r="M7" i="57"/>
  <c r="M41" i="57"/>
  <c r="N16" i="57"/>
  <c r="L39" i="57"/>
  <c r="N39" i="57" s="1"/>
  <c r="L42" i="57"/>
  <c r="N42" i="57" s="1"/>
  <c r="N50" i="57"/>
  <c r="M5" i="57"/>
  <c r="N5" i="57" s="1"/>
  <c r="N6" i="57"/>
  <c r="M8" i="57"/>
  <c r="N8" i="57" s="1"/>
  <c r="M12" i="57"/>
  <c r="N12" i="57" s="1"/>
  <c r="M16" i="57"/>
  <c r="M20" i="57"/>
  <c r="N20" i="57" s="1"/>
  <c r="M24" i="57"/>
  <c r="N24" i="57" s="1"/>
  <c r="M28" i="57"/>
  <c r="M32" i="57"/>
  <c r="N32" i="57" s="1"/>
  <c r="N33" i="57"/>
  <c r="M36" i="57"/>
  <c r="N36" i="57" s="1"/>
  <c r="N37" i="57"/>
  <c r="L43" i="57"/>
  <c r="N43" i="57" s="1"/>
  <c r="M46" i="57"/>
  <c r="N47" i="57"/>
  <c r="M50" i="57"/>
  <c r="N51" i="57"/>
  <c r="M54" i="57"/>
  <c r="N54" i="57" s="1"/>
  <c r="M58" i="57"/>
  <c r="N58" i="57" s="1"/>
  <c r="N59" i="57"/>
  <c r="M62" i="57"/>
  <c r="N62" i="57" s="1"/>
  <c r="N63" i="57"/>
  <c r="M66" i="57"/>
  <c r="M70" i="57"/>
  <c r="N70" i="57" s="1"/>
  <c r="N71" i="57"/>
  <c r="M74" i="57"/>
  <c r="N74" i="57" s="1"/>
  <c r="N75" i="57"/>
  <c r="M78" i="57"/>
  <c r="N79" i="57"/>
  <c r="E195" i="56" l="1"/>
  <c r="F195" i="56"/>
  <c r="G195" i="56"/>
  <c r="H195" i="56"/>
  <c r="O195" i="56"/>
  <c r="N195" i="56"/>
  <c r="I195" i="56"/>
  <c r="L195" i="56"/>
  <c r="P195" i="56"/>
  <c r="C166" i="53"/>
  <c r="C167" i="53"/>
  <c r="C168" i="53"/>
  <c r="C169" i="53"/>
  <c r="C170" i="53"/>
  <c r="C171" i="53"/>
  <c r="C165" i="53"/>
  <c r="C132" i="53"/>
  <c r="C131" i="53"/>
  <c r="C130" i="53"/>
  <c r="C129" i="53"/>
  <c r="N24" i="53"/>
  <c r="N23" i="53"/>
  <c r="C45" i="50"/>
  <c r="F18" i="50"/>
  <c r="F40" i="50"/>
  <c r="G39" i="50" l="1"/>
  <c r="L46" i="50"/>
  <c r="C39" i="50"/>
  <c r="F16" i="50"/>
  <c r="C16" i="50"/>
  <c r="F14" i="50"/>
  <c r="N25" i="53"/>
  <c r="G47" i="53" l="1"/>
  <c r="I47" i="53" s="1"/>
  <c r="G46" i="53"/>
  <c r="I46" i="53" s="1"/>
  <c r="H12" i="50" l="1"/>
  <c r="F19" i="50"/>
  <c r="G43" i="50" l="1"/>
  <c r="H43" i="50" s="1"/>
  <c r="I43" i="50" s="1"/>
  <c r="J43" i="50" s="1"/>
  <c r="K43" i="50" s="1"/>
  <c r="B1" i="53" l="1"/>
  <c r="B1" i="46"/>
  <c r="B1" i="42"/>
  <c r="B1" i="47"/>
  <c r="D24" i="53" l="1"/>
  <c r="D23" i="53"/>
  <c r="D22" i="53"/>
  <c r="G44" i="50"/>
  <c r="H44" i="50" l="1"/>
  <c r="I44" i="50" s="1"/>
  <c r="J44" i="50" s="1"/>
  <c r="K44"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C202" i="32"/>
  <c r="N78" i="43"/>
  <c r="N76" i="43"/>
  <c r="D75" i="43"/>
  <c r="E75" i="43"/>
  <c r="F75" i="43"/>
  <c r="G75" i="43"/>
  <c r="H75" i="43"/>
  <c r="I75" i="43"/>
  <c r="J75" i="43"/>
  <c r="K75" i="43"/>
  <c r="L75" i="43"/>
  <c r="M75" i="43"/>
  <c r="N75" i="43"/>
  <c r="C75" i="43"/>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G45" i="53"/>
  <c r="I45" i="53" s="1"/>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F550" i="32" l="1"/>
  <c r="F143" i="32"/>
  <c r="F26" i="32"/>
  <c r="F157" i="32"/>
  <c r="F27" i="32"/>
  <c r="F515" i="32"/>
  <c r="F538"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E14" i="32" l="1"/>
  <c r="E16" i="32" s="1"/>
  <c r="D16" i="32"/>
  <c r="F14" i="32" l="1"/>
  <c r="F15" i="32" s="1"/>
  <c r="F16" i="32" s="1"/>
  <c r="G12" i="50" l="1"/>
  <c r="F24" i="50"/>
  <c r="F45" i="50"/>
  <c r="F46" i="50" l="1"/>
  <c r="I45" i="50"/>
  <c r="J45" i="50"/>
  <c r="H45" i="50"/>
  <c r="K45" i="50"/>
  <c r="G45" i="50"/>
  <c r="F26" i="50"/>
  <c r="D8" i="47" l="1"/>
  <c r="D7" i="56"/>
  <c r="F50" i="50"/>
  <c r="D64" i="50" s="1"/>
  <c r="D13" i="42" s="1"/>
  <c r="D7" i="46"/>
  <c r="D8" i="42"/>
  <c r="F49" i="50"/>
  <c r="D67" i="50" s="1"/>
  <c r="D16" i="42" s="1"/>
  <c r="D24" i="42" s="1"/>
  <c r="G25" i="50"/>
  <c r="G26" i="50"/>
  <c r="G27" i="50" s="1"/>
  <c r="G28" i="50" s="1"/>
  <c r="F27" i="50"/>
  <c r="F28" i="50" s="1"/>
  <c r="F29" i="50" s="1"/>
  <c r="F30" i="50" s="1"/>
  <c r="F31" i="50" s="1"/>
  <c r="F32" i="50" s="1"/>
  <c r="F33" i="50" s="1"/>
  <c r="D65" i="50" l="1"/>
  <c r="D14" i="42" s="1"/>
  <c r="D22" i="42" s="1"/>
  <c r="D66" i="50"/>
  <c r="D15" i="42" s="1"/>
  <c r="D23" i="42" s="1"/>
  <c r="D21" i="42"/>
  <c r="E72" i="50"/>
  <c r="D13" i="47"/>
  <c r="E75" i="50"/>
  <c r="D16" i="47"/>
  <c r="G29" i="50"/>
  <c r="G30" i="50" s="1"/>
  <c r="G31" i="50" s="1"/>
  <c r="G32" i="50" s="1"/>
  <c r="G33" i="50" s="1"/>
  <c r="D15" i="47" l="1"/>
  <c r="E73" i="50"/>
  <c r="D14" i="47"/>
  <c r="D25" i="42" s="1"/>
  <c r="D23" i="47" s="1"/>
  <c r="E74" i="50"/>
  <c r="D68" i="50"/>
  <c r="D17" i="42"/>
  <c r="D17" i="47" l="1"/>
  <c r="E76" i="50"/>
  <c r="D98" i="50" s="1"/>
  <c r="D35" i="42" s="1"/>
  <c r="G46" i="50"/>
  <c r="E7" i="56" s="1"/>
  <c r="H46" i="50"/>
  <c r="F7" i="56" s="1"/>
  <c r="K46" i="50"/>
  <c r="I7" i="56" s="1"/>
  <c r="I46" i="50"/>
  <c r="G7" i="56" s="1"/>
  <c r="J46" i="50"/>
  <c r="H7" i="56" s="1"/>
  <c r="D231" i="56" l="1"/>
  <c r="D218" i="56"/>
  <c r="D205" i="56"/>
  <c r="D219" i="46"/>
  <c r="D232" i="46"/>
  <c r="D245" i="46"/>
  <c r="D94" i="50"/>
  <c r="D31" i="42" s="1"/>
  <c r="D18" i="47"/>
  <c r="D95" i="50"/>
  <c r="D32" i="42" s="1"/>
  <c r="D100" i="50"/>
  <c r="D37" i="42" s="1"/>
  <c r="D93" i="50"/>
  <c r="D30" i="42" s="1"/>
  <c r="D97" i="50"/>
  <c r="D34" i="42" s="1"/>
  <c r="D99" i="50"/>
  <c r="D36" i="42" s="1"/>
  <c r="D18" i="42"/>
  <c r="D96" i="50"/>
  <c r="D33" i="42" s="1"/>
  <c r="D62" i="56"/>
  <c r="D182" i="56"/>
  <c r="D36" i="56"/>
  <c r="D49" i="56"/>
  <c r="K49" i="56" s="1"/>
  <c r="D62" i="46"/>
  <c r="D182" i="46"/>
  <c r="D205" i="46" s="1"/>
  <c r="K205" i="46" s="1"/>
  <c r="D49" i="46"/>
  <c r="D36" i="46"/>
  <c r="D47" i="42"/>
  <c r="H8" i="47"/>
  <c r="H7" i="46"/>
  <c r="H8" i="42"/>
  <c r="E8" i="47"/>
  <c r="E7" i="46"/>
  <c r="E8" i="42"/>
  <c r="G7" i="46"/>
  <c r="G8" i="47"/>
  <c r="G8" i="42"/>
  <c r="I8" i="47"/>
  <c r="I8" i="42"/>
  <c r="I7" i="46"/>
  <c r="F7" i="46"/>
  <c r="F8" i="47"/>
  <c r="F8" i="42"/>
  <c r="J49" i="50"/>
  <c r="J50" i="50"/>
  <c r="H64" i="50" s="1"/>
  <c r="H13" i="42" s="1"/>
  <c r="H21" i="42" s="1"/>
  <c r="I50" i="50"/>
  <c r="G64" i="50" s="1"/>
  <c r="G13" i="42" s="1"/>
  <c r="G21" i="42" s="1"/>
  <c r="I49" i="50"/>
  <c r="K49" i="50"/>
  <c r="K50" i="50"/>
  <c r="H50" i="50"/>
  <c r="F64" i="50" s="1"/>
  <c r="F13" i="42" s="1"/>
  <c r="F21" i="42" s="1"/>
  <c r="H49" i="50"/>
  <c r="G50" i="50"/>
  <c r="E64" i="50" s="1"/>
  <c r="E13" i="42" s="1"/>
  <c r="E21" i="42" s="1"/>
  <c r="G49" i="50"/>
  <c r="D116" i="56" l="1"/>
  <c r="D142" i="56" s="1"/>
  <c r="D129" i="56"/>
  <c r="D34" i="56"/>
  <c r="D229" i="56"/>
  <c r="D217" i="46"/>
  <c r="D230" i="46"/>
  <c r="D243" i="46"/>
  <c r="D216" i="56"/>
  <c r="D203" i="56"/>
  <c r="D37" i="56"/>
  <c r="D246" i="46"/>
  <c r="D233" i="46"/>
  <c r="D232" i="56"/>
  <c r="D219" i="56"/>
  <c r="D206" i="56"/>
  <c r="D220" i="46"/>
  <c r="D129" i="46"/>
  <c r="D155" i="46" s="1"/>
  <c r="K155" i="46" s="1"/>
  <c r="D116" i="46"/>
  <c r="D142" i="46" s="1"/>
  <c r="D181" i="56"/>
  <c r="D230" i="56"/>
  <c r="D217" i="56"/>
  <c r="D204" i="56"/>
  <c r="D218" i="46"/>
  <c r="D231" i="46"/>
  <c r="D244" i="46"/>
  <c r="D226" i="56"/>
  <c r="D213" i="56"/>
  <c r="D200" i="56"/>
  <c r="D214" i="46"/>
  <c r="D227" i="46"/>
  <c r="D240" i="46"/>
  <c r="D58" i="56"/>
  <c r="D98" i="56" s="1"/>
  <c r="D227" i="56"/>
  <c r="K227" i="56" s="1"/>
  <c r="D214" i="56"/>
  <c r="D201" i="56"/>
  <c r="D215" i="46"/>
  <c r="D228" i="46"/>
  <c r="D241" i="46"/>
  <c r="D184" i="56"/>
  <c r="D220" i="56"/>
  <c r="D221" i="46"/>
  <c r="D247" i="46"/>
  <c r="D233" i="56"/>
  <c r="D234" i="46"/>
  <c r="D207" i="56"/>
  <c r="D33" i="56"/>
  <c r="D229" i="46"/>
  <c r="D228" i="56"/>
  <c r="D215" i="56"/>
  <c r="D202" i="56"/>
  <c r="D216" i="46"/>
  <c r="D242" i="46"/>
  <c r="D89" i="56"/>
  <c r="K142" i="46"/>
  <c r="D43" i="42"/>
  <c r="D32" i="46"/>
  <c r="D45" i="56"/>
  <c r="K45" i="56" s="1"/>
  <c r="D45" i="46"/>
  <c r="D32" i="56"/>
  <c r="K32" i="56" s="1"/>
  <c r="D178" i="56"/>
  <c r="D179" i="46"/>
  <c r="D202" i="46" s="1"/>
  <c r="K202" i="46" s="1"/>
  <c r="D33" i="46"/>
  <c r="D59" i="46"/>
  <c r="D179" i="56"/>
  <c r="D46" i="46"/>
  <c r="D44" i="42"/>
  <c r="D46" i="56"/>
  <c r="K46" i="56" s="1"/>
  <c r="D59" i="56"/>
  <c r="D178" i="46"/>
  <c r="D201" i="46" s="1"/>
  <c r="K201" i="46" s="1"/>
  <c r="D51" i="46"/>
  <c r="D58" i="46"/>
  <c r="D61" i="56"/>
  <c r="D48" i="46"/>
  <c r="D181" i="46"/>
  <c r="D204" i="46" s="1"/>
  <c r="K204" i="46" s="1"/>
  <c r="D63" i="56"/>
  <c r="D61" i="46"/>
  <c r="D46" i="42"/>
  <c r="D35" i="46"/>
  <c r="D50" i="56"/>
  <c r="K50" i="56" s="1"/>
  <c r="D48" i="42"/>
  <c r="D64" i="56"/>
  <c r="D48" i="56"/>
  <c r="K48" i="56" s="1"/>
  <c r="D35" i="56"/>
  <c r="D180" i="56"/>
  <c r="D60" i="56"/>
  <c r="D34" i="46"/>
  <c r="D45" i="42"/>
  <c r="D47" i="46"/>
  <c r="D180" i="46"/>
  <c r="D203" i="46" s="1"/>
  <c r="K203" i="46" s="1"/>
  <c r="D60" i="46"/>
  <c r="D47" i="56"/>
  <c r="K47" i="56" s="1"/>
  <c r="D101" i="50"/>
  <c r="D37" i="46"/>
  <c r="D183" i="46"/>
  <c r="D206" i="46" s="1"/>
  <c r="K206" i="46" s="1"/>
  <c r="D183" i="56"/>
  <c r="D50" i="46"/>
  <c r="D63" i="46"/>
  <c r="D38" i="46"/>
  <c r="D51" i="56"/>
  <c r="K51" i="56" s="1"/>
  <c r="D184" i="46"/>
  <c r="D207" i="46" s="1"/>
  <c r="K207" i="46" s="1"/>
  <c r="D38" i="56"/>
  <c r="K38" i="56" s="1"/>
  <c r="D49" i="42"/>
  <c r="D64" i="46"/>
  <c r="K34" i="56"/>
  <c r="K182" i="56"/>
  <c r="K36" i="56"/>
  <c r="D103" i="56"/>
  <c r="K33" i="56"/>
  <c r="D177" i="56"/>
  <c r="D57" i="56"/>
  <c r="D31" i="56"/>
  <c r="D44" i="56"/>
  <c r="D168" i="56"/>
  <c r="D76" i="56"/>
  <c r="K231" i="56"/>
  <c r="D102" i="56"/>
  <c r="K37" i="56"/>
  <c r="K232" i="46"/>
  <c r="K245" i="46"/>
  <c r="D168" i="46"/>
  <c r="K168" i="46" s="1"/>
  <c r="K219" i="46"/>
  <c r="D102" i="46"/>
  <c r="K102" i="46" s="1"/>
  <c r="D77" i="46"/>
  <c r="K77" i="46" s="1"/>
  <c r="D76" i="46"/>
  <c r="K76" i="46" s="1"/>
  <c r="D89" i="46"/>
  <c r="K89" i="46" s="1"/>
  <c r="D57" i="46"/>
  <c r="D177" i="46"/>
  <c r="D200" i="46" s="1"/>
  <c r="D44" i="46"/>
  <c r="D31" i="46"/>
  <c r="D42" i="42"/>
  <c r="D38" i="42"/>
  <c r="F72" i="50"/>
  <c r="E13" i="47"/>
  <c r="F13" i="47"/>
  <c r="G72" i="50"/>
  <c r="H13" i="47"/>
  <c r="I72" i="50"/>
  <c r="G13" i="47"/>
  <c r="H72" i="50"/>
  <c r="H67" i="50"/>
  <c r="H16" i="42" s="1"/>
  <c r="H24" i="42" s="1"/>
  <c r="H66" i="50"/>
  <c r="H15" i="42" s="1"/>
  <c r="H23" i="42" s="1"/>
  <c r="H65" i="50"/>
  <c r="H14" i="42" s="1"/>
  <c r="H22" i="42" s="1"/>
  <c r="L16" i="53"/>
  <c r="N16" i="53" s="1"/>
  <c r="C30" i="53" s="1"/>
  <c r="I64" i="50"/>
  <c r="I13" i="42" s="1"/>
  <c r="I21" i="42" s="1"/>
  <c r="I67" i="50"/>
  <c r="I16" i="42" s="1"/>
  <c r="I24" i="42" s="1"/>
  <c r="I66" i="50"/>
  <c r="I15" i="42" s="1"/>
  <c r="I23" i="42" s="1"/>
  <c r="I65" i="50"/>
  <c r="I14" i="42" s="1"/>
  <c r="I22" i="42" s="1"/>
  <c r="E66" i="50"/>
  <c r="E15" i="42" s="1"/>
  <c r="E23" i="42" s="1"/>
  <c r="E65" i="50"/>
  <c r="E67" i="50"/>
  <c r="E16" i="42" s="1"/>
  <c r="E24" i="42" s="1"/>
  <c r="G67" i="50"/>
  <c r="G16" i="42" s="1"/>
  <c r="G24" i="42" s="1"/>
  <c r="G66" i="50"/>
  <c r="G15" i="42" s="1"/>
  <c r="G23" i="42" s="1"/>
  <c r="G65" i="50"/>
  <c r="F66" i="50"/>
  <c r="F15" i="42" s="1"/>
  <c r="F23" i="42" s="1"/>
  <c r="F65" i="50"/>
  <c r="F14" i="42" s="1"/>
  <c r="F22" i="42" s="1"/>
  <c r="F67" i="50"/>
  <c r="I193" i="46"/>
  <c r="P193" i="46" s="1"/>
  <c r="H193" i="46"/>
  <c r="O193" i="46" s="1"/>
  <c r="F191" i="46"/>
  <c r="M191" i="46" s="1"/>
  <c r="D193" i="46"/>
  <c r="K193" i="46" s="1"/>
  <c r="D72" i="56" l="1"/>
  <c r="D111" i="56"/>
  <c r="D137" i="56" s="1"/>
  <c r="D124" i="56"/>
  <c r="D113" i="56"/>
  <c r="D139" i="56" s="1"/>
  <c r="D126" i="56"/>
  <c r="D117" i="56"/>
  <c r="D143" i="56" s="1"/>
  <c r="D130" i="56"/>
  <c r="D156" i="56" s="1"/>
  <c r="D124" i="46"/>
  <c r="D150" i="46" s="1"/>
  <c r="K150" i="46" s="1"/>
  <c r="D111" i="46"/>
  <c r="D137" i="46" s="1"/>
  <c r="D127" i="46"/>
  <c r="D114" i="46"/>
  <c r="D140" i="46" s="1"/>
  <c r="D85" i="56"/>
  <c r="D130" i="46"/>
  <c r="D117" i="46"/>
  <c r="D143" i="46" s="1"/>
  <c r="D118" i="56"/>
  <c r="D144" i="56" s="1"/>
  <c r="D131" i="56"/>
  <c r="D157" i="56" s="1"/>
  <c r="D114" i="56"/>
  <c r="D140" i="56" s="1"/>
  <c r="D127" i="56"/>
  <c r="D153" i="56" s="1"/>
  <c r="D115" i="56"/>
  <c r="D141" i="56" s="1"/>
  <c r="D128" i="56"/>
  <c r="D112" i="56"/>
  <c r="D138" i="56" s="1"/>
  <c r="D125" i="56"/>
  <c r="D128" i="46"/>
  <c r="D115" i="46"/>
  <c r="D141" i="46" s="1"/>
  <c r="K141" i="46" s="1"/>
  <c r="D164" i="56"/>
  <c r="D131" i="46"/>
  <c r="D157" i="46" s="1"/>
  <c r="K157" i="46" s="1"/>
  <c r="D118" i="46"/>
  <c r="D144" i="46" s="1"/>
  <c r="D125" i="46"/>
  <c r="D151" i="46" s="1"/>
  <c r="K151" i="46" s="1"/>
  <c r="D112" i="46"/>
  <c r="D138" i="46" s="1"/>
  <c r="D126" i="46"/>
  <c r="D113" i="46"/>
  <c r="D139" i="46" s="1"/>
  <c r="D87" i="56"/>
  <c r="D90" i="56"/>
  <c r="K200" i="46"/>
  <c r="K208" i="46" s="1"/>
  <c r="K20" i="46" s="1"/>
  <c r="D208" i="46"/>
  <c r="D170" i="56"/>
  <c r="D91" i="56"/>
  <c r="D86" i="56"/>
  <c r="D101" i="56"/>
  <c r="D154" i="56"/>
  <c r="D88" i="56"/>
  <c r="K247" i="46"/>
  <c r="K144" i="46"/>
  <c r="D72" i="46"/>
  <c r="K72" i="46" s="1"/>
  <c r="K138" i="46"/>
  <c r="K231" i="46"/>
  <c r="D100" i="46"/>
  <c r="K100" i="46" s="1"/>
  <c r="D153" i="46"/>
  <c r="K153" i="46" s="1"/>
  <c r="K140" i="46"/>
  <c r="K233" i="46"/>
  <c r="K143" i="46"/>
  <c r="K229" i="46"/>
  <c r="D152" i="46"/>
  <c r="K152" i="46" s="1"/>
  <c r="K139" i="46"/>
  <c r="D167" i="56"/>
  <c r="K230" i="56"/>
  <c r="D75" i="56"/>
  <c r="D165" i="56"/>
  <c r="K179" i="56"/>
  <c r="D86" i="46"/>
  <c r="K86" i="46" s="1"/>
  <c r="D73" i="46"/>
  <c r="K73" i="46" s="1"/>
  <c r="K216" i="46"/>
  <c r="K242" i="46"/>
  <c r="D99" i="46"/>
  <c r="K99" i="46" s="1"/>
  <c r="D165" i="46"/>
  <c r="K165" i="46" s="1"/>
  <c r="K241" i="46"/>
  <c r="K228" i="46"/>
  <c r="K215" i="46"/>
  <c r="D85" i="46"/>
  <c r="K85" i="46" s="1"/>
  <c r="D98" i="46"/>
  <c r="K98" i="46" s="1"/>
  <c r="D164" i="46"/>
  <c r="K164" i="46" s="1"/>
  <c r="D88" i="46"/>
  <c r="K88" i="46" s="1"/>
  <c r="D101" i="46"/>
  <c r="K101" i="46" s="1"/>
  <c r="K228" i="56"/>
  <c r="D99" i="56"/>
  <c r="K178" i="56"/>
  <c r="D152" i="56"/>
  <c r="D73" i="56"/>
  <c r="K181" i="56"/>
  <c r="D87" i="46"/>
  <c r="K87" i="46" s="1"/>
  <c r="D75" i="46"/>
  <c r="K75" i="46" s="1"/>
  <c r="D74" i="46"/>
  <c r="K74" i="46" s="1"/>
  <c r="K218" i="46"/>
  <c r="K244" i="46"/>
  <c r="D167" i="46"/>
  <c r="K167" i="46" s="1"/>
  <c r="D74" i="56"/>
  <c r="D78" i="56"/>
  <c r="D104" i="46"/>
  <c r="K104" i="46" s="1"/>
  <c r="K221" i="46"/>
  <c r="K220" i="46"/>
  <c r="K183" i="56"/>
  <c r="K232" i="56"/>
  <c r="K35" i="56"/>
  <c r="D170" i="46"/>
  <c r="K170" i="46" s="1"/>
  <c r="D169" i="46"/>
  <c r="K169" i="46" s="1"/>
  <c r="K246" i="46"/>
  <c r="D169" i="56"/>
  <c r="D77" i="56"/>
  <c r="K234" i="46"/>
  <c r="K233" i="56"/>
  <c r="D103" i="46"/>
  <c r="K103" i="46" s="1"/>
  <c r="K217" i="46"/>
  <c r="D166" i="56"/>
  <c r="D90" i="46"/>
  <c r="K90" i="46" s="1"/>
  <c r="K229" i="56"/>
  <c r="D100" i="56"/>
  <c r="D104" i="56"/>
  <c r="D185" i="56"/>
  <c r="D20" i="56" s="1"/>
  <c r="D166" i="46"/>
  <c r="K166" i="46" s="1"/>
  <c r="D39" i="46"/>
  <c r="D10" i="46" s="1"/>
  <c r="K243" i="46"/>
  <c r="D50" i="42"/>
  <c r="D24" i="47" s="1"/>
  <c r="D91" i="46"/>
  <c r="K91" i="46" s="1"/>
  <c r="K230" i="46"/>
  <c r="D78" i="46"/>
  <c r="K78" i="46" s="1"/>
  <c r="K180" i="56"/>
  <c r="K184" i="56"/>
  <c r="D155" i="56"/>
  <c r="K44" i="56"/>
  <c r="K52" i="56" s="1"/>
  <c r="K11" i="56" s="1"/>
  <c r="D52" i="56"/>
  <c r="D11" i="56" s="1"/>
  <c r="K177" i="56"/>
  <c r="K31" i="56"/>
  <c r="D163" i="56"/>
  <c r="D97" i="56"/>
  <c r="D71" i="56"/>
  <c r="D84" i="56"/>
  <c r="D65" i="56"/>
  <c r="D39" i="56"/>
  <c r="D10" i="56" s="1"/>
  <c r="D151" i="56"/>
  <c r="K240" i="46"/>
  <c r="D163" i="46"/>
  <c r="K163" i="46" s="1"/>
  <c r="D84" i="46"/>
  <c r="K84" i="46" s="1"/>
  <c r="D97" i="46"/>
  <c r="K97" i="46" s="1"/>
  <c r="D185" i="46"/>
  <c r="D71" i="46"/>
  <c r="K71" i="46" s="1"/>
  <c r="I17" i="42"/>
  <c r="F16" i="42"/>
  <c r="F24" i="42" s="1"/>
  <c r="H68" i="50"/>
  <c r="E14" i="47"/>
  <c r="E14" i="42"/>
  <c r="H17" i="42"/>
  <c r="G14" i="47"/>
  <c r="G14" i="42"/>
  <c r="G75" i="50"/>
  <c r="F16" i="47"/>
  <c r="G73" i="50"/>
  <c r="F14" i="47"/>
  <c r="F74" i="50"/>
  <c r="E15" i="47"/>
  <c r="G74" i="50"/>
  <c r="F15" i="47"/>
  <c r="E68" i="50"/>
  <c r="F75" i="50"/>
  <c r="E16" i="47"/>
  <c r="J73" i="50"/>
  <c r="I14" i="47"/>
  <c r="I73" i="50"/>
  <c r="H14" i="47"/>
  <c r="J74" i="50"/>
  <c r="I15" i="47"/>
  <c r="I74" i="50"/>
  <c r="H15" i="47"/>
  <c r="H74" i="50"/>
  <c r="G15" i="47"/>
  <c r="J75" i="50"/>
  <c r="I16" i="47"/>
  <c r="I75" i="50"/>
  <c r="H16" i="47"/>
  <c r="J72" i="50"/>
  <c r="I13" i="47"/>
  <c r="G16" i="47"/>
  <c r="H75" i="50"/>
  <c r="G68" i="50"/>
  <c r="H73" i="50"/>
  <c r="F73" i="50"/>
  <c r="F68" i="50"/>
  <c r="L18" i="53"/>
  <c r="N18" i="53" s="1"/>
  <c r="C32" i="53" s="1"/>
  <c r="L17" i="53"/>
  <c r="N17" i="53" s="1"/>
  <c r="C31" i="53" s="1"/>
  <c r="I68" i="50"/>
  <c r="E143" i="53"/>
  <c r="E147" i="53"/>
  <c r="E144" i="53"/>
  <c r="E149" i="53"/>
  <c r="E146" i="53"/>
  <c r="E148" i="53"/>
  <c r="E145" i="53"/>
  <c r="E169" i="53"/>
  <c r="E167" i="53"/>
  <c r="E168" i="53"/>
  <c r="E165" i="53"/>
  <c r="E171" i="53"/>
  <c r="E170" i="53"/>
  <c r="E166" i="53"/>
  <c r="E259" i="46"/>
  <c r="L259" i="46" s="1"/>
  <c r="E256" i="46"/>
  <c r="L256" i="46" s="1"/>
  <c r="E261" i="46"/>
  <c r="L261" i="46" s="1"/>
  <c r="E258" i="46"/>
  <c r="L258" i="46" s="1"/>
  <c r="E255" i="46"/>
  <c r="L255" i="46" s="1"/>
  <c r="E260" i="46"/>
  <c r="L260" i="46" s="1"/>
  <c r="E257" i="46"/>
  <c r="L257" i="46" s="1"/>
  <c r="H191" i="46"/>
  <c r="O191" i="46" s="1"/>
  <c r="I191" i="46"/>
  <c r="P191" i="46" s="1"/>
  <c r="F193" i="46"/>
  <c r="M193" i="46" s="1"/>
  <c r="G191" i="46"/>
  <c r="N191" i="46" s="1"/>
  <c r="E192" i="46"/>
  <c r="L192" i="46" s="1"/>
  <c r="E193" i="46"/>
  <c r="L193" i="46" s="1"/>
  <c r="G193" i="46"/>
  <c r="N193" i="46" s="1"/>
  <c r="E191" i="46"/>
  <c r="L191" i="46" s="1"/>
  <c r="D154" i="46" l="1"/>
  <c r="K154" i="46" s="1"/>
  <c r="D20" i="46"/>
  <c r="D156" i="46"/>
  <c r="K156" i="46" s="1"/>
  <c r="K248" i="46"/>
  <c r="K23" i="46" s="1"/>
  <c r="K92" i="46"/>
  <c r="K13" i="46" s="1"/>
  <c r="D221" i="56"/>
  <c r="D22" i="56" s="1"/>
  <c r="D79" i="56"/>
  <c r="D12" i="56" s="1"/>
  <c r="D92" i="56"/>
  <c r="D13" i="56" s="1"/>
  <c r="D208" i="56"/>
  <c r="D21" i="56" s="1"/>
  <c r="K39" i="56"/>
  <c r="K10" i="56" s="1"/>
  <c r="D105" i="56"/>
  <c r="D14" i="56" s="1"/>
  <c r="D171" i="56"/>
  <c r="D19" i="56" s="1"/>
  <c r="K185" i="56"/>
  <c r="K20" i="56" s="1"/>
  <c r="K226" i="56"/>
  <c r="K234" i="56" s="1"/>
  <c r="K23" i="56" s="1"/>
  <c r="D234" i="56"/>
  <c r="D23" i="56" s="1"/>
  <c r="D119" i="56"/>
  <c r="D15" i="56" s="1"/>
  <c r="D132" i="56"/>
  <c r="D16" i="56" s="1"/>
  <c r="D150" i="56"/>
  <c r="D158" i="56" s="1"/>
  <c r="D18" i="56" s="1"/>
  <c r="K227" i="46"/>
  <c r="K235" i="46" s="1"/>
  <c r="K22" i="46" s="1"/>
  <c r="D235" i="46"/>
  <c r="K214" i="46"/>
  <c r="K222" i="46" s="1"/>
  <c r="K21" i="46" s="1"/>
  <c r="D222" i="46"/>
  <c r="D119" i="46"/>
  <c r="D15" i="46" s="1"/>
  <c r="K137" i="46"/>
  <c r="D132" i="46"/>
  <c r="D16" i="46" s="1"/>
  <c r="D92" i="46"/>
  <c r="D13" i="46" s="1"/>
  <c r="F17" i="42"/>
  <c r="E22" i="42"/>
  <c r="E25" i="42" s="1"/>
  <c r="E26" i="42" s="1"/>
  <c r="E17" i="42"/>
  <c r="G22" i="42"/>
  <c r="G25" i="42" s="1"/>
  <c r="G26" i="42" s="1"/>
  <c r="G17" i="42"/>
  <c r="H25" i="42"/>
  <c r="H26" i="42" s="1"/>
  <c r="I25" i="42"/>
  <c r="I26" i="42" s="1"/>
  <c r="F25" i="42"/>
  <c r="F26" i="42" s="1"/>
  <c r="G76" i="50"/>
  <c r="K105" i="46"/>
  <c r="K14" i="46" s="1"/>
  <c r="H17" i="47"/>
  <c r="I17" i="47"/>
  <c r="F76" i="50"/>
  <c r="G17" i="47"/>
  <c r="E17" i="47"/>
  <c r="I76" i="50"/>
  <c r="H76" i="50"/>
  <c r="F17" i="47"/>
  <c r="J76" i="50"/>
  <c r="D191" i="46"/>
  <c r="D25" i="47"/>
  <c r="D30" i="53"/>
  <c r="D65" i="46"/>
  <c r="O194" i="46"/>
  <c r="N194" i="46"/>
  <c r="M194" i="46"/>
  <c r="L262" i="46"/>
  <c r="P194" i="46"/>
  <c r="L194" i="46"/>
  <c r="E150" i="53"/>
  <c r="E172" i="53"/>
  <c r="H194" i="46"/>
  <c r="I194" i="46"/>
  <c r="F194" i="46"/>
  <c r="E262" i="46"/>
  <c r="E194" i="46"/>
  <c r="G194" i="46"/>
  <c r="K158" i="46" l="1"/>
  <c r="K18" i="46" s="1"/>
  <c r="D158" i="46"/>
  <c r="D80" i="53" s="1"/>
  <c r="K24" i="56"/>
  <c r="D145" i="56"/>
  <c r="D17" i="56" s="1"/>
  <c r="D129" i="53"/>
  <c r="D21" i="46"/>
  <c r="D130" i="53"/>
  <c r="D22" i="46"/>
  <c r="D145" i="46"/>
  <c r="I23" i="47"/>
  <c r="H23" i="47"/>
  <c r="H27" i="42"/>
  <c r="G23" i="47"/>
  <c r="G27" i="42"/>
  <c r="E23" i="47"/>
  <c r="E27" i="42"/>
  <c r="F23" i="47"/>
  <c r="F27" i="42"/>
  <c r="D51" i="53"/>
  <c r="D52" i="53" s="1"/>
  <c r="I18" i="47"/>
  <c r="I18" i="42"/>
  <c r="I98" i="50"/>
  <c r="I35" i="42" s="1"/>
  <c r="I93" i="50"/>
  <c r="I30" i="42" s="1"/>
  <c r="I95" i="50"/>
  <c r="I32" i="42" s="1"/>
  <c r="I100" i="50"/>
  <c r="I37" i="42" s="1"/>
  <c r="I97" i="50"/>
  <c r="I34" i="42" s="1"/>
  <c r="I94" i="50"/>
  <c r="I96" i="50"/>
  <c r="I33" i="42" s="1"/>
  <c r="I99" i="50"/>
  <c r="I36" i="42" s="1"/>
  <c r="F18" i="47"/>
  <c r="F97" i="50"/>
  <c r="F34" i="42" s="1"/>
  <c r="F94" i="50"/>
  <c r="F31" i="42" s="1"/>
  <c r="F99" i="50"/>
  <c r="F36" i="42" s="1"/>
  <c r="F96" i="50"/>
  <c r="F33" i="42" s="1"/>
  <c r="F93" i="50"/>
  <c r="F98" i="50"/>
  <c r="F35" i="42" s="1"/>
  <c r="F100" i="50"/>
  <c r="F37" i="42" s="1"/>
  <c r="F18" i="42"/>
  <c r="F95" i="50"/>
  <c r="F32" i="42" s="1"/>
  <c r="G18" i="47"/>
  <c r="G100" i="50"/>
  <c r="G37" i="42" s="1"/>
  <c r="G97" i="50"/>
  <c r="G34" i="42" s="1"/>
  <c r="G99" i="50"/>
  <c r="G36" i="42" s="1"/>
  <c r="G98" i="50"/>
  <c r="G35" i="42" s="1"/>
  <c r="G94" i="50"/>
  <c r="G31" i="42" s="1"/>
  <c r="G95" i="50"/>
  <c r="G32" i="42" s="1"/>
  <c r="G96" i="50"/>
  <c r="G33" i="42" s="1"/>
  <c r="G93" i="50"/>
  <c r="G18" i="42"/>
  <c r="E18" i="47"/>
  <c r="E94" i="50"/>
  <c r="E31" i="42" s="1"/>
  <c r="E99" i="50"/>
  <c r="E36" i="42" s="1"/>
  <c r="E93" i="50"/>
  <c r="E30" i="42" s="1"/>
  <c r="E96" i="50"/>
  <c r="E33" i="42" s="1"/>
  <c r="E100" i="50"/>
  <c r="E37" i="42" s="1"/>
  <c r="E18" i="42"/>
  <c r="E98" i="50"/>
  <c r="E35" i="42" s="1"/>
  <c r="E95" i="50"/>
  <c r="E97" i="50"/>
  <c r="E34" i="42" s="1"/>
  <c r="H18" i="47"/>
  <c r="H95" i="50"/>
  <c r="H32" i="42" s="1"/>
  <c r="H100" i="50"/>
  <c r="H37" i="42" s="1"/>
  <c r="H18" i="42"/>
  <c r="H98" i="50"/>
  <c r="H35" i="42" s="1"/>
  <c r="H97" i="50"/>
  <c r="H34" i="42" s="1"/>
  <c r="H94" i="50"/>
  <c r="H31" i="42" s="1"/>
  <c r="H93" i="50"/>
  <c r="H30" i="42" s="1"/>
  <c r="H99" i="50"/>
  <c r="H36" i="42" s="1"/>
  <c r="H96" i="50"/>
  <c r="D105" i="46"/>
  <c r="D64" i="53"/>
  <c r="D66" i="53" s="1"/>
  <c r="K191" i="46"/>
  <c r="K194" i="46" s="1"/>
  <c r="M195" i="46" s="1"/>
  <c r="D194" i="46"/>
  <c r="D105" i="53" s="1"/>
  <c r="D106" i="53" s="1"/>
  <c r="G146" i="53"/>
  <c r="G170" i="53"/>
  <c r="G260" i="46"/>
  <c r="N260" i="46" s="1"/>
  <c r="G149" i="53"/>
  <c r="G168" i="53"/>
  <c r="G143" i="53"/>
  <c r="G150" i="53" s="1"/>
  <c r="G257" i="46"/>
  <c r="N257" i="46" s="1"/>
  <c r="G169" i="53"/>
  <c r="G255" i="46"/>
  <c r="G165" i="53"/>
  <c r="G172" i="53" s="1"/>
  <c r="G259" i="46"/>
  <c r="N259" i="46" s="1"/>
  <c r="G148" i="53"/>
  <c r="G171" i="53"/>
  <c r="G256" i="46"/>
  <c r="N256" i="46" s="1"/>
  <c r="G145" i="53"/>
  <c r="G166" i="53"/>
  <c r="G261" i="46"/>
  <c r="N261" i="46" s="1"/>
  <c r="G192" i="46"/>
  <c r="N192" i="46" s="1"/>
  <c r="G147" i="53"/>
  <c r="G167" i="53"/>
  <c r="G258" i="46"/>
  <c r="N258" i="46" s="1"/>
  <c r="G144" i="53"/>
  <c r="D31" i="53"/>
  <c r="H146" i="53"/>
  <c r="H255" i="46"/>
  <c r="H170" i="53"/>
  <c r="H260" i="46"/>
  <c r="O260" i="46" s="1"/>
  <c r="H144" i="53"/>
  <c r="H258" i="46"/>
  <c r="O258" i="46" s="1"/>
  <c r="H143" i="53"/>
  <c r="H150" i="53" s="1"/>
  <c r="H169" i="53"/>
  <c r="H148" i="53"/>
  <c r="H171" i="53"/>
  <c r="H257" i="46"/>
  <c r="O257" i="46" s="1"/>
  <c r="H168" i="53"/>
  <c r="H192" i="46"/>
  <c r="O192" i="46" s="1"/>
  <c r="H145" i="53"/>
  <c r="H167" i="53"/>
  <c r="H259" i="46"/>
  <c r="O259" i="46" s="1"/>
  <c r="H147" i="53"/>
  <c r="H166" i="53"/>
  <c r="H261" i="46"/>
  <c r="O261" i="46" s="1"/>
  <c r="H149" i="53"/>
  <c r="H165" i="53"/>
  <c r="H172" i="53" s="1"/>
  <c r="H256" i="46"/>
  <c r="O256" i="46" s="1"/>
  <c r="F165" i="53"/>
  <c r="F172" i="53" s="1"/>
  <c r="F167" i="53"/>
  <c r="F170" i="53"/>
  <c r="F168" i="53"/>
  <c r="F149" i="53"/>
  <c r="F144" i="53"/>
  <c r="F146" i="53"/>
  <c r="F260" i="46"/>
  <c r="M260" i="46" s="1"/>
  <c r="F255" i="46"/>
  <c r="F257" i="46"/>
  <c r="M257" i="46" s="1"/>
  <c r="F171" i="53"/>
  <c r="F166" i="53"/>
  <c r="F256" i="46"/>
  <c r="M256" i="46" s="1"/>
  <c r="F261" i="46"/>
  <c r="M261" i="46" s="1"/>
  <c r="F145" i="53"/>
  <c r="F147" i="53"/>
  <c r="F259" i="46"/>
  <c r="M259" i="46" s="1"/>
  <c r="F169" i="53"/>
  <c r="F258" i="46"/>
  <c r="M258" i="46" s="1"/>
  <c r="F143" i="53"/>
  <c r="F150" i="53" s="1"/>
  <c r="F192" i="46"/>
  <c r="M192" i="46" s="1"/>
  <c r="F148" i="53"/>
  <c r="D32" i="53"/>
  <c r="E32" i="53" s="1"/>
  <c r="F32" i="53" s="1"/>
  <c r="G32" i="53" s="1"/>
  <c r="H32" i="53" s="1"/>
  <c r="I32" i="53" s="1"/>
  <c r="D52" i="46"/>
  <c r="D11" i="46" s="1"/>
  <c r="D145" i="53"/>
  <c r="D169" i="53"/>
  <c r="D261" i="46"/>
  <c r="K261" i="46" s="1"/>
  <c r="D260" i="46"/>
  <c r="K260" i="46" s="1"/>
  <c r="D146" i="53"/>
  <c r="D167" i="53"/>
  <c r="D256" i="46"/>
  <c r="K256" i="46" s="1"/>
  <c r="D255" i="46"/>
  <c r="D147" i="53"/>
  <c r="D170" i="53"/>
  <c r="D149" i="53"/>
  <c r="D148" i="53"/>
  <c r="D166" i="53"/>
  <c r="D248" i="46"/>
  <c r="D165" i="53"/>
  <c r="D172" i="53" s="1"/>
  <c r="D143" i="53"/>
  <c r="D150" i="53" s="1"/>
  <c r="E151" i="53" s="1"/>
  <c r="D257" i="46"/>
  <c r="K257" i="46" s="1"/>
  <c r="D171" i="53"/>
  <c r="D258" i="46"/>
  <c r="K258" i="46" s="1"/>
  <c r="D192" i="46"/>
  <c r="K192" i="46" s="1"/>
  <c r="D144" i="53"/>
  <c r="D168" i="53"/>
  <c r="D259" i="46"/>
  <c r="K259" i="46" s="1"/>
  <c r="I149" i="53"/>
  <c r="I258" i="46"/>
  <c r="P258" i="46" s="1"/>
  <c r="I192" i="46"/>
  <c r="P192" i="46" s="1"/>
  <c r="I170" i="53"/>
  <c r="I146" i="53"/>
  <c r="I169" i="53"/>
  <c r="I255" i="46"/>
  <c r="I147" i="53"/>
  <c r="I143" i="53"/>
  <c r="I150" i="53" s="1"/>
  <c r="I165" i="53"/>
  <c r="I172" i="53" s="1"/>
  <c r="I260" i="46"/>
  <c r="P260" i="46" s="1"/>
  <c r="I148" i="53"/>
  <c r="I171" i="53"/>
  <c r="I257" i="46"/>
  <c r="P257" i="46" s="1"/>
  <c r="I145" i="53"/>
  <c r="I168" i="53"/>
  <c r="I259" i="46"/>
  <c r="P259" i="46" s="1"/>
  <c r="I144" i="53"/>
  <c r="I167" i="53"/>
  <c r="I256" i="46"/>
  <c r="P256" i="46" s="1"/>
  <c r="I166" i="53"/>
  <c r="I261" i="46"/>
  <c r="P261" i="46" s="1"/>
  <c r="E64" i="53"/>
  <c r="E132" i="53"/>
  <c r="H64" i="53"/>
  <c r="F64" i="53"/>
  <c r="I64" i="53"/>
  <c r="G64" i="53"/>
  <c r="F105" i="53"/>
  <c r="F106" i="53" s="1"/>
  <c r="I105" i="53"/>
  <c r="I106" i="53" s="1"/>
  <c r="H105" i="53"/>
  <c r="H106" i="53" s="1"/>
  <c r="G105" i="53"/>
  <c r="G106" i="53" s="1"/>
  <c r="E105" i="53"/>
  <c r="E106" i="53" s="1"/>
  <c r="F244" i="46" l="1"/>
  <c r="F217" i="56"/>
  <c r="F204" i="56"/>
  <c r="F218" i="46"/>
  <c r="F230" i="56"/>
  <c r="F231" i="46"/>
  <c r="H228" i="56"/>
  <c r="H215" i="56"/>
  <c r="H202" i="56"/>
  <c r="H216" i="46"/>
  <c r="H229" i="46"/>
  <c r="H242" i="46"/>
  <c r="E214" i="46"/>
  <c r="E227" i="46"/>
  <c r="E213" i="56"/>
  <c r="E226" i="56"/>
  <c r="E200" i="56"/>
  <c r="E240" i="46"/>
  <c r="G214" i="56"/>
  <c r="G241" i="46"/>
  <c r="G201" i="56"/>
  <c r="G227" i="56"/>
  <c r="G215" i="46"/>
  <c r="G228" i="46"/>
  <c r="F247" i="46"/>
  <c r="F234" i="46"/>
  <c r="F233" i="56"/>
  <c r="F220" i="56"/>
  <c r="F207" i="56"/>
  <c r="F221" i="46"/>
  <c r="I219" i="56"/>
  <c r="I220" i="46"/>
  <c r="I233" i="46"/>
  <c r="I232" i="56"/>
  <c r="I246" i="46"/>
  <c r="I206" i="56"/>
  <c r="F227" i="56"/>
  <c r="F214" i="56"/>
  <c r="F201" i="56"/>
  <c r="F215" i="46"/>
  <c r="F228" i="46"/>
  <c r="F241" i="46"/>
  <c r="F228" i="56"/>
  <c r="F215" i="56"/>
  <c r="F202" i="56"/>
  <c r="F216" i="46"/>
  <c r="F229" i="46"/>
  <c r="F242" i="46"/>
  <c r="E216" i="56"/>
  <c r="E229" i="56"/>
  <c r="E243" i="46"/>
  <c r="E217" i="46"/>
  <c r="E230" i="46"/>
  <c r="E203" i="56"/>
  <c r="I231" i="56"/>
  <c r="I205" i="56"/>
  <c r="I218" i="56"/>
  <c r="I219" i="46"/>
  <c r="I232" i="46"/>
  <c r="I245" i="46"/>
  <c r="H232" i="56"/>
  <c r="H219" i="56"/>
  <c r="H206" i="56"/>
  <c r="H220" i="46"/>
  <c r="H233" i="46"/>
  <c r="H246" i="46"/>
  <c r="E232" i="56"/>
  <c r="E219" i="56"/>
  <c r="E206" i="56"/>
  <c r="E220" i="46"/>
  <c r="E233" i="46"/>
  <c r="E246" i="46"/>
  <c r="G245" i="46"/>
  <c r="G218" i="56"/>
  <c r="G205" i="56"/>
  <c r="G219" i="46"/>
  <c r="G231" i="56"/>
  <c r="G232" i="46"/>
  <c r="F231" i="56"/>
  <c r="F218" i="56"/>
  <c r="F205" i="56"/>
  <c r="F219" i="46"/>
  <c r="F232" i="46"/>
  <c r="F245" i="46"/>
  <c r="I229" i="56"/>
  <c r="I216" i="56"/>
  <c r="I203" i="56"/>
  <c r="I217" i="46"/>
  <c r="I230" i="46"/>
  <c r="I243" i="46"/>
  <c r="I202" i="56"/>
  <c r="I229" i="46"/>
  <c r="I228" i="56"/>
  <c r="I216" i="46"/>
  <c r="I242" i="46"/>
  <c r="I215" i="56"/>
  <c r="G229" i="56"/>
  <c r="G216" i="56"/>
  <c r="G203" i="56"/>
  <c r="G217" i="46"/>
  <c r="G230" i="46"/>
  <c r="G243" i="46"/>
  <c r="G228" i="56"/>
  <c r="G215" i="56"/>
  <c r="G202" i="56"/>
  <c r="G216" i="46"/>
  <c r="G229" i="46"/>
  <c r="G242" i="46"/>
  <c r="H240" i="46"/>
  <c r="H226" i="56"/>
  <c r="H213" i="56"/>
  <c r="H200" i="56"/>
  <c r="H214" i="46"/>
  <c r="H227" i="46"/>
  <c r="E218" i="46"/>
  <c r="E230" i="56"/>
  <c r="E231" i="46"/>
  <c r="E244" i="46"/>
  <c r="E217" i="56"/>
  <c r="E204" i="56"/>
  <c r="E227" i="56"/>
  <c r="E214" i="56"/>
  <c r="E201" i="56"/>
  <c r="E215" i="46"/>
  <c r="E228" i="46"/>
  <c r="E241" i="46"/>
  <c r="G232" i="56"/>
  <c r="G219" i="56"/>
  <c r="G206" i="56"/>
  <c r="G220" i="46"/>
  <c r="G233" i="46"/>
  <c r="G246" i="46"/>
  <c r="E233" i="56"/>
  <c r="E220" i="56"/>
  <c r="E234" i="46"/>
  <c r="E247" i="46"/>
  <c r="E207" i="56"/>
  <c r="E221" i="46"/>
  <c r="H233" i="56"/>
  <c r="H220" i="56"/>
  <c r="H207" i="56"/>
  <c r="H221" i="46"/>
  <c r="H234" i="46"/>
  <c r="H247" i="46"/>
  <c r="H214" i="56"/>
  <c r="H215" i="46"/>
  <c r="H201" i="56"/>
  <c r="H227" i="56"/>
  <c r="H228" i="46"/>
  <c r="H241" i="46"/>
  <c r="G217" i="56"/>
  <c r="G230" i="56"/>
  <c r="G244" i="46"/>
  <c r="G204" i="56"/>
  <c r="G218" i="46"/>
  <c r="G231" i="46"/>
  <c r="F230" i="46"/>
  <c r="F243" i="46"/>
  <c r="F229" i="56"/>
  <c r="F216" i="56"/>
  <c r="F203" i="56"/>
  <c r="F217" i="46"/>
  <c r="I230" i="56"/>
  <c r="I217" i="56"/>
  <c r="I204" i="56"/>
  <c r="I218" i="46"/>
  <c r="I231" i="46"/>
  <c r="I244" i="46"/>
  <c r="H245" i="46"/>
  <c r="H205" i="56"/>
  <c r="H219" i="46"/>
  <c r="H218" i="56"/>
  <c r="H231" i="56"/>
  <c r="H232" i="46"/>
  <c r="I226" i="56"/>
  <c r="I213" i="56"/>
  <c r="I200" i="56"/>
  <c r="I214" i="46"/>
  <c r="I227" i="46"/>
  <c r="I240" i="46"/>
  <c r="H244" i="46"/>
  <c r="H230" i="56"/>
  <c r="H217" i="56"/>
  <c r="H204" i="56"/>
  <c r="H218" i="46"/>
  <c r="H231" i="46"/>
  <c r="E231" i="56"/>
  <c r="E218" i="56"/>
  <c r="E205" i="56"/>
  <c r="E219" i="46"/>
  <c r="E232" i="46"/>
  <c r="E245" i="46"/>
  <c r="G233" i="56"/>
  <c r="G220" i="56"/>
  <c r="G207" i="56"/>
  <c r="G221" i="46"/>
  <c r="G234" i="46"/>
  <c r="G247" i="46"/>
  <c r="F232" i="56"/>
  <c r="F219" i="56"/>
  <c r="F206" i="56"/>
  <c r="F220" i="46"/>
  <c r="F233" i="46"/>
  <c r="F246" i="46"/>
  <c r="I233" i="56"/>
  <c r="I220" i="56"/>
  <c r="I207" i="56"/>
  <c r="I221" i="46"/>
  <c r="I234" i="46"/>
  <c r="I247" i="46"/>
  <c r="D18" i="46"/>
  <c r="F182" i="56"/>
  <c r="F62" i="56"/>
  <c r="F36" i="56"/>
  <c r="F49" i="56"/>
  <c r="M49" i="56" s="1"/>
  <c r="H35" i="56"/>
  <c r="H181" i="56"/>
  <c r="H61" i="56"/>
  <c r="H48" i="56"/>
  <c r="O48" i="56" s="1"/>
  <c r="E182" i="56"/>
  <c r="E62" i="56"/>
  <c r="E36" i="56"/>
  <c r="E49" i="56"/>
  <c r="L49" i="56" s="1"/>
  <c r="G184" i="56"/>
  <c r="G64" i="56"/>
  <c r="G38" i="56"/>
  <c r="G51" i="56"/>
  <c r="N51" i="56" s="1"/>
  <c r="F63" i="56"/>
  <c r="F37" i="56"/>
  <c r="F183" i="56"/>
  <c r="F50" i="56"/>
  <c r="M50" i="56" s="1"/>
  <c r="I64" i="56"/>
  <c r="I184" i="56"/>
  <c r="I38" i="56"/>
  <c r="I51" i="56"/>
  <c r="P51" i="56" s="1"/>
  <c r="G180" i="56"/>
  <c r="G34" i="56"/>
  <c r="G60" i="56"/>
  <c r="G47" i="56"/>
  <c r="N47" i="56" s="1"/>
  <c r="H182" i="56"/>
  <c r="H62" i="56"/>
  <c r="H36" i="56"/>
  <c r="H49" i="56"/>
  <c r="F32" i="56"/>
  <c r="F178" i="56"/>
  <c r="F58" i="56"/>
  <c r="F45" i="56"/>
  <c r="M45" i="56" s="1"/>
  <c r="I59" i="56"/>
  <c r="I33" i="56"/>
  <c r="I179" i="56"/>
  <c r="I46" i="56"/>
  <c r="P46" i="56" s="1"/>
  <c r="E184" i="56"/>
  <c r="E38" i="56"/>
  <c r="E64" i="56"/>
  <c r="E51" i="56"/>
  <c r="L51" i="56" s="1"/>
  <c r="H64" i="56"/>
  <c r="H38" i="56"/>
  <c r="H184" i="56"/>
  <c r="H51" i="56"/>
  <c r="O51" i="56" s="1"/>
  <c r="E34" i="56"/>
  <c r="E180" i="56"/>
  <c r="E60" i="56"/>
  <c r="E47" i="56"/>
  <c r="L47" i="56" s="1"/>
  <c r="G59" i="56"/>
  <c r="G33" i="56"/>
  <c r="G179" i="56"/>
  <c r="G46" i="56"/>
  <c r="N46" i="56" s="1"/>
  <c r="I36" i="56"/>
  <c r="I182" i="56"/>
  <c r="I62" i="56"/>
  <c r="I49" i="56"/>
  <c r="P49" i="56" s="1"/>
  <c r="H33" i="56"/>
  <c r="H59" i="56"/>
  <c r="H179" i="56"/>
  <c r="H46" i="56"/>
  <c r="O46" i="56" s="1"/>
  <c r="E177" i="56"/>
  <c r="E57" i="56"/>
  <c r="E31" i="56"/>
  <c r="E44" i="56"/>
  <c r="L44" i="56" s="1"/>
  <c r="G32" i="56"/>
  <c r="G58" i="56"/>
  <c r="G178" i="56"/>
  <c r="G45" i="56"/>
  <c r="N45" i="56" s="1"/>
  <c r="F184" i="56"/>
  <c r="F64" i="56"/>
  <c r="F38" i="56"/>
  <c r="F51" i="56"/>
  <c r="M51" i="56" s="1"/>
  <c r="I183" i="56"/>
  <c r="I63" i="56"/>
  <c r="I37" i="56"/>
  <c r="I50" i="56"/>
  <c r="P50" i="56" s="1"/>
  <c r="F33" i="56"/>
  <c r="F179" i="56"/>
  <c r="F59" i="56"/>
  <c r="F46" i="56"/>
  <c r="M46" i="56" s="1"/>
  <c r="I177" i="56"/>
  <c r="I57" i="56"/>
  <c r="I31" i="56"/>
  <c r="I44" i="56"/>
  <c r="I34" i="56"/>
  <c r="I60" i="56"/>
  <c r="I180" i="56"/>
  <c r="I47" i="56"/>
  <c r="P47" i="56" s="1"/>
  <c r="F35" i="56"/>
  <c r="F181" i="56"/>
  <c r="F61" i="56"/>
  <c r="F48" i="56"/>
  <c r="M48" i="56" s="1"/>
  <c r="H183" i="56"/>
  <c r="H63" i="56"/>
  <c r="H37" i="56"/>
  <c r="H50" i="56"/>
  <c r="O50" i="56" s="1"/>
  <c r="G182" i="56"/>
  <c r="G62" i="56"/>
  <c r="G36" i="56"/>
  <c r="G49" i="56"/>
  <c r="N49" i="56" s="1"/>
  <c r="H177" i="56"/>
  <c r="H31" i="56"/>
  <c r="H57" i="56"/>
  <c r="H44" i="56"/>
  <c r="O44" i="56" s="1"/>
  <c r="E35" i="56"/>
  <c r="E61" i="56"/>
  <c r="E181" i="56"/>
  <c r="E48" i="56"/>
  <c r="L48" i="56" s="1"/>
  <c r="E178" i="56"/>
  <c r="E58" i="56"/>
  <c r="E32" i="56"/>
  <c r="E45" i="56"/>
  <c r="L45" i="56" s="1"/>
  <c r="G183" i="56"/>
  <c r="G63" i="56"/>
  <c r="G37" i="56"/>
  <c r="G50" i="56"/>
  <c r="N50" i="56" s="1"/>
  <c r="E63" i="56"/>
  <c r="E183" i="56"/>
  <c r="E37" i="56"/>
  <c r="E50" i="56"/>
  <c r="L50" i="56" s="1"/>
  <c r="H178" i="56"/>
  <c r="H58" i="56"/>
  <c r="H32" i="56"/>
  <c r="H45" i="56"/>
  <c r="O45" i="56" s="1"/>
  <c r="G61" i="56"/>
  <c r="G35" i="56"/>
  <c r="G181" i="56"/>
  <c r="G48" i="56"/>
  <c r="N48" i="56" s="1"/>
  <c r="F180" i="56"/>
  <c r="F60" i="56"/>
  <c r="F34" i="56"/>
  <c r="F47" i="56"/>
  <c r="M47" i="56" s="1"/>
  <c r="I35" i="56"/>
  <c r="I181" i="56"/>
  <c r="I61" i="56"/>
  <c r="I48" i="56"/>
  <c r="P48" i="56" s="1"/>
  <c r="D79" i="53"/>
  <c r="D17" i="46"/>
  <c r="D131" i="53"/>
  <c r="D23" i="46"/>
  <c r="K145" i="46"/>
  <c r="K17" i="46" s="1"/>
  <c r="D65" i="53"/>
  <c r="D14" i="46"/>
  <c r="G64" i="46"/>
  <c r="G184" i="46"/>
  <c r="G207" i="46" s="1"/>
  <c r="N207" i="46" s="1"/>
  <c r="F63" i="46"/>
  <c r="F183" i="46"/>
  <c r="F206" i="46" s="1"/>
  <c r="M206" i="46" s="1"/>
  <c r="H61" i="46"/>
  <c r="H181" i="46"/>
  <c r="H204" i="46" s="1"/>
  <c r="O204" i="46" s="1"/>
  <c r="E62" i="46"/>
  <c r="E182" i="46"/>
  <c r="E205" i="46" s="1"/>
  <c r="L205" i="46" s="1"/>
  <c r="I64" i="46"/>
  <c r="I184" i="46"/>
  <c r="I207" i="46" s="1"/>
  <c r="P207" i="46" s="1"/>
  <c r="H62" i="46"/>
  <c r="H182" i="46"/>
  <c r="H205" i="46" s="1"/>
  <c r="O205" i="46" s="1"/>
  <c r="F58" i="46"/>
  <c r="F178" i="46"/>
  <c r="F201" i="46" s="1"/>
  <c r="M201" i="46" s="1"/>
  <c r="I59" i="46"/>
  <c r="I179" i="46"/>
  <c r="I202" i="46" s="1"/>
  <c r="P202" i="46" s="1"/>
  <c r="G60" i="46"/>
  <c r="G180" i="46"/>
  <c r="G203" i="46" s="1"/>
  <c r="N203" i="46" s="1"/>
  <c r="F59" i="46"/>
  <c r="F179" i="46"/>
  <c r="F202" i="46" s="1"/>
  <c r="M202" i="46" s="1"/>
  <c r="F61" i="46"/>
  <c r="F181" i="46"/>
  <c r="F204" i="46" s="1"/>
  <c r="M204" i="46" s="1"/>
  <c r="H64" i="46"/>
  <c r="H184" i="46"/>
  <c r="H207" i="46" s="1"/>
  <c r="O207" i="46" s="1"/>
  <c r="E60" i="46"/>
  <c r="E180" i="46"/>
  <c r="E203" i="46" s="1"/>
  <c r="L203" i="46" s="1"/>
  <c r="G59" i="46"/>
  <c r="G179" i="46"/>
  <c r="G202" i="46" s="1"/>
  <c r="N202" i="46" s="1"/>
  <c r="I62" i="46"/>
  <c r="I182" i="46"/>
  <c r="I205" i="46" s="1"/>
  <c r="P205" i="46" s="1"/>
  <c r="I57" i="46"/>
  <c r="I177" i="46"/>
  <c r="I200" i="46" s="1"/>
  <c r="H59" i="46"/>
  <c r="H179" i="46"/>
  <c r="H202" i="46" s="1"/>
  <c r="O202" i="46" s="1"/>
  <c r="E57" i="46"/>
  <c r="E177" i="46"/>
  <c r="E200" i="46" s="1"/>
  <c r="G58" i="46"/>
  <c r="G178" i="46"/>
  <c r="G201" i="46" s="1"/>
  <c r="N201" i="46" s="1"/>
  <c r="F64" i="46"/>
  <c r="F184" i="46"/>
  <c r="F207" i="46" s="1"/>
  <c r="M207" i="46" s="1"/>
  <c r="I63" i="46"/>
  <c r="I183" i="46"/>
  <c r="I206" i="46" s="1"/>
  <c r="P206" i="46" s="1"/>
  <c r="H63" i="46"/>
  <c r="H183" i="46"/>
  <c r="H206" i="46" s="1"/>
  <c r="O206" i="46" s="1"/>
  <c r="E63" i="46"/>
  <c r="E183" i="46"/>
  <c r="E206" i="46" s="1"/>
  <c r="L206" i="46" s="1"/>
  <c r="G62" i="46"/>
  <c r="G182" i="46"/>
  <c r="G205" i="46" s="1"/>
  <c r="N205" i="46" s="1"/>
  <c r="F62" i="46"/>
  <c r="F182" i="46"/>
  <c r="F205" i="46" s="1"/>
  <c r="M205" i="46" s="1"/>
  <c r="I60" i="46"/>
  <c r="I180" i="46"/>
  <c r="I203" i="46" s="1"/>
  <c r="P203" i="46" s="1"/>
  <c r="E64" i="46"/>
  <c r="E184" i="46"/>
  <c r="E207" i="46" s="1"/>
  <c r="L207" i="46" s="1"/>
  <c r="H57" i="46"/>
  <c r="H177" i="46"/>
  <c r="H200" i="46" s="1"/>
  <c r="E61" i="46"/>
  <c r="E181" i="46"/>
  <c r="E204" i="46" s="1"/>
  <c r="L204" i="46" s="1"/>
  <c r="E58" i="46"/>
  <c r="E178" i="46"/>
  <c r="E201" i="46" s="1"/>
  <c r="L201" i="46" s="1"/>
  <c r="G63" i="46"/>
  <c r="G183" i="46"/>
  <c r="G206" i="46" s="1"/>
  <c r="N206" i="46" s="1"/>
  <c r="H58" i="46"/>
  <c r="H178" i="46"/>
  <c r="H201" i="46" s="1"/>
  <c r="O201" i="46" s="1"/>
  <c r="G61" i="46"/>
  <c r="G181" i="46"/>
  <c r="G204" i="46" s="1"/>
  <c r="N204" i="46" s="1"/>
  <c r="F60" i="46"/>
  <c r="F180" i="46"/>
  <c r="F203" i="46" s="1"/>
  <c r="M203" i="46" s="1"/>
  <c r="I61" i="46"/>
  <c r="I181" i="46"/>
  <c r="I204" i="46" s="1"/>
  <c r="P204" i="46" s="1"/>
  <c r="I195" i="46"/>
  <c r="H76" i="47" s="1"/>
  <c r="I27" i="42"/>
  <c r="H43" i="42"/>
  <c r="H45" i="46"/>
  <c r="H32" i="46"/>
  <c r="E47" i="42"/>
  <c r="E49" i="46"/>
  <c r="E36" i="46"/>
  <c r="G49" i="42"/>
  <c r="G51" i="46"/>
  <c r="G38" i="46"/>
  <c r="F48" i="42"/>
  <c r="F50" i="46"/>
  <c r="F37" i="46"/>
  <c r="H47" i="42"/>
  <c r="H49" i="46"/>
  <c r="H36" i="46"/>
  <c r="F43" i="42"/>
  <c r="F45" i="46"/>
  <c r="F32" i="46"/>
  <c r="I44" i="42"/>
  <c r="I46" i="46"/>
  <c r="I33" i="46"/>
  <c r="I46" i="42"/>
  <c r="I48" i="46"/>
  <c r="I35" i="46"/>
  <c r="H46" i="42"/>
  <c r="H48" i="46"/>
  <c r="H35" i="46"/>
  <c r="I49" i="42"/>
  <c r="I51" i="46"/>
  <c r="I38" i="46"/>
  <c r="E49" i="42"/>
  <c r="E51" i="46"/>
  <c r="E38" i="46"/>
  <c r="G45" i="42"/>
  <c r="G47" i="46"/>
  <c r="G34" i="46"/>
  <c r="F44" i="42"/>
  <c r="F46" i="46"/>
  <c r="F33" i="46"/>
  <c r="F46" i="42"/>
  <c r="F48" i="46"/>
  <c r="F35" i="46"/>
  <c r="I44" i="46"/>
  <c r="I31" i="46"/>
  <c r="F45" i="42"/>
  <c r="F47" i="46"/>
  <c r="F34" i="46"/>
  <c r="E45" i="42"/>
  <c r="E47" i="46"/>
  <c r="E34" i="46"/>
  <c r="H44" i="42"/>
  <c r="H46" i="46"/>
  <c r="H33" i="46"/>
  <c r="E44" i="46"/>
  <c r="E31" i="46"/>
  <c r="G43" i="42"/>
  <c r="G45" i="46"/>
  <c r="G32" i="46"/>
  <c r="F49" i="42"/>
  <c r="F51" i="46"/>
  <c r="F38" i="46"/>
  <c r="I48" i="42"/>
  <c r="I50" i="46"/>
  <c r="I37" i="46"/>
  <c r="G46" i="42"/>
  <c r="G48" i="46"/>
  <c r="G35" i="46"/>
  <c r="H49" i="42"/>
  <c r="H51" i="46"/>
  <c r="H38" i="46"/>
  <c r="I47" i="42"/>
  <c r="I49" i="46"/>
  <c r="I36" i="46"/>
  <c r="H48" i="42"/>
  <c r="H50" i="46"/>
  <c r="H37" i="46"/>
  <c r="E48" i="42"/>
  <c r="E50" i="46"/>
  <c r="E37" i="46"/>
  <c r="G47" i="42"/>
  <c r="G49" i="46"/>
  <c r="G36" i="46"/>
  <c r="F47" i="42"/>
  <c r="F49" i="46"/>
  <c r="F36" i="46"/>
  <c r="I45" i="42"/>
  <c r="I47" i="46"/>
  <c r="I34" i="46"/>
  <c r="G44" i="42"/>
  <c r="G46" i="46"/>
  <c r="G33" i="46"/>
  <c r="H44" i="46"/>
  <c r="H31" i="46"/>
  <c r="E46" i="42"/>
  <c r="E48" i="46"/>
  <c r="E35" i="46"/>
  <c r="E43" i="42"/>
  <c r="E45" i="46"/>
  <c r="E32" i="46"/>
  <c r="G48" i="42"/>
  <c r="G50" i="46"/>
  <c r="G37" i="46"/>
  <c r="I101" i="50"/>
  <c r="I31" i="42"/>
  <c r="E101" i="50"/>
  <c r="E32" i="42"/>
  <c r="G101" i="50"/>
  <c r="G30" i="42"/>
  <c r="H42" i="42"/>
  <c r="I42" i="42"/>
  <c r="F101" i="50"/>
  <c r="F30" i="42"/>
  <c r="H101" i="50"/>
  <c r="H33" i="42"/>
  <c r="E42" i="42"/>
  <c r="P195" i="46"/>
  <c r="G195" i="46"/>
  <c r="F76" i="47" s="1"/>
  <c r="F195" i="46"/>
  <c r="E76" i="47" s="1"/>
  <c r="O195" i="46"/>
  <c r="E195" i="46"/>
  <c r="D76" i="47" s="1"/>
  <c r="L195" i="46"/>
  <c r="H195" i="46"/>
  <c r="G76" i="47" s="1"/>
  <c r="N195" i="46"/>
  <c r="F151" i="53"/>
  <c r="I151" i="53"/>
  <c r="M255" i="46"/>
  <c r="M262" i="46" s="1"/>
  <c r="F262" i="46"/>
  <c r="O255" i="46"/>
  <c r="O262" i="46" s="1"/>
  <c r="H262" i="46"/>
  <c r="D79" i="46"/>
  <c r="D12" i="46" s="1"/>
  <c r="D33" i="53"/>
  <c r="N255" i="46"/>
  <c r="N262" i="46" s="1"/>
  <c r="G262" i="46"/>
  <c r="P255" i="46"/>
  <c r="P262" i="46" s="1"/>
  <c r="I262" i="46"/>
  <c r="K79" i="46"/>
  <c r="K12" i="46" s="1"/>
  <c r="D171" i="46"/>
  <c r="D19" i="46" s="1"/>
  <c r="K255" i="46"/>
  <c r="K262" i="46" s="1"/>
  <c r="L263" i="46" s="1"/>
  <c r="D262" i="46"/>
  <c r="G151" i="53"/>
  <c r="H151" i="53"/>
  <c r="E66" i="53"/>
  <c r="G66" i="53"/>
  <c r="H66" i="53"/>
  <c r="I66" i="53"/>
  <c r="F66" i="53"/>
  <c r="H107" i="53"/>
  <c r="I107" i="53"/>
  <c r="G107" i="53"/>
  <c r="F107" i="53"/>
  <c r="E107" i="53"/>
  <c r="I113" i="56" l="1"/>
  <c r="I139" i="56" s="1"/>
  <c r="I126" i="56"/>
  <c r="E114" i="46"/>
  <c r="E140" i="46" s="1"/>
  <c r="L140" i="46" s="1"/>
  <c r="E127" i="46"/>
  <c r="H125" i="46"/>
  <c r="H112" i="46"/>
  <c r="H138" i="46" s="1"/>
  <c r="H124" i="46"/>
  <c r="H111" i="46"/>
  <c r="H137" i="46" s="1"/>
  <c r="G116" i="46"/>
  <c r="G142" i="46" s="1"/>
  <c r="G129" i="46"/>
  <c r="F131" i="46"/>
  <c r="F118" i="46"/>
  <c r="F144" i="46" s="1"/>
  <c r="I124" i="46"/>
  <c r="I111" i="46"/>
  <c r="I137" i="46" s="1"/>
  <c r="H131" i="46"/>
  <c r="H118" i="46"/>
  <c r="H144" i="46" s="1"/>
  <c r="I126" i="46"/>
  <c r="I113" i="46"/>
  <c r="I139" i="46" s="1"/>
  <c r="E129" i="46"/>
  <c r="E116" i="46"/>
  <c r="E142" i="46" s="1"/>
  <c r="E112" i="56"/>
  <c r="E138" i="56" s="1"/>
  <c r="E125" i="56"/>
  <c r="H117" i="56"/>
  <c r="H143" i="56" s="1"/>
  <c r="H130" i="56"/>
  <c r="I114" i="56"/>
  <c r="I140" i="56" s="1"/>
  <c r="I127" i="56"/>
  <c r="F118" i="56"/>
  <c r="F144" i="56" s="1"/>
  <c r="F131" i="56"/>
  <c r="E111" i="56"/>
  <c r="E137" i="56" s="1"/>
  <c r="E124" i="56"/>
  <c r="E116" i="56"/>
  <c r="E142" i="56" s="1"/>
  <c r="E129" i="56"/>
  <c r="F116" i="56"/>
  <c r="F142" i="56" s="1"/>
  <c r="F129" i="56"/>
  <c r="H229" i="56"/>
  <c r="H216" i="56"/>
  <c r="H203" i="56"/>
  <c r="H217" i="46"/>
  <c r="H230" i="46"/>
  <c r="H243" i="46"/>
  <c r="G127" i="46"/>
  <c r="G114" i="46"/>
  <c r="G140" i="46" s="1"/>
  <c r="I214" i="56"/>
  <c r="I227" i="56"/>
  <c r="I201" i="56"/>
  <c r="I215" i="46"/>
  <c r="I228" i="46"/>
  <c r="I241" i="46"/>
  <c r="F113" i="56"/>
  <c r="F139" i="56" s="1"/>
  <c r="F126" i="56"/>
  <c r="E127" i="56"/>
  <c r="E114" i="56"/>
  <c r="E140" i="56" s="1"/>
  <c r="F112" i="56"/>
  <c r="F138" i="56" s="1"/>
  <c r="F125" i="56"/>
  <c r="G128" i="56"/>
  <c r="G115" i="56"/>
  <c r="G141" i="56" s="1"/>
  <c r="E117" i="56"/>
  <c r="E143" i="56" s="1"/>
  <c r="E130" i="56"/>
  <c r="F117" i="56"/>
  <c r="F143" i="56" s="1"/>
  <c r="F130" i="56"/>
  <c r="G113" i="56"/>
  <c r="G139" i="56" s="1"/>
  <c r="G126" i="56"/>
  <c r="H126" i="46"/>
  <c r="H113" i="46"/>
  <c r="H139" i="46" s="1"/>
  <c r="F214" i="46"/>
  <c r="F227" i="46"/>
  <c r="F213" i="56"/>
  <c r="F240" i="46"/>
  <c r="F226" i="56"/>
  <c r="F200" i="56"/>
  <c r="I128" i="56"/>
  <c r="I115" i="56"/>
  <c r="I141" i="56" s="1"/>
  <c r="E118" i="56"/>
  <c r="E144" i="56" s="1"/>
  <c r="E131" i="56"/>
  <c r="G127" i="56"/>
  <c r="G114" i="56"/>
  <c r="G140" i="56" s="1"/>
  <c r="I128" i="46"/>
  <c r="I115" i="46"/>
  <c r="I141" i="46" s="1"/>
  <c r="G130" i="46"/>
  <c r="G117" i="46"/>
  <c r="G143" i="46" s="1"/>
  <c r="E131" i="46"/>
  <c r="E118" i="46"/>
  <c r="E144" i="46" s="1"/>
  <c r="E130" i="46"/>
  <c r="E117" i="46"/>
  <c r="E143" i="46" s="1"/>
  <c r="G112" i="46"/>
  <c r="G138" i="46" s="1"/>
  <c r="G125" i="46"/>
  <c r="I116" i="46"/>
  <c r="I142" i="46" s="1"/>
  <c r="I129" i="46"/>
  <c r="F128" i="46"/>
  <c r="F115" i="46"/>
  <c r="F141" i="46" s="1"/>
  <c r="F125" i="46"/>
  <c r="F112" i="46"/>
  <c r="F138" i="46" s="1"/>
  <c r="H128" i="46"/>
  <c r="H115" i="46"/>
  <c r="H141" i="46" s="1"/>
  <c r="G131" i="46"/>
  <c r="G118" i="46"/>
  <c r="G144" i="46" s="1"/>
  <c r="H111" i="56"/>
  <c r="H137" i="56" s="1"/>
  <c r="H124" i="56"/>
  <c r="G226" i="56"/>
  <c r="G227" i="46"/>
  <c r="G240" i="46"/>
  <c r="G200" i="56"/>
  <c r="G213" i="56"/>
  <c r="G214" i="46"/>
  <c r="F115" i="56"/>
  <c r="F141" i="56" s="1"/>
  <c r="F128" i="56"/>
  <c r="H128" i="56"/>
  <c r="H115" i="56"/>
  <c r="H141" i="56" s="1"/>
  <c r="E228" i="56"/>
  <c r="E215" i="56"/>
  <c r="E202" i="56"/>
  <c r="E216" i="46"/>
  <c r="E229" i="46"/>
  <c r="E242" i="46"/>
  <c r="H118" i="56"/>
  <c r="H144" i="56" s="1"/>
  <c r="H131" i="56"/>
  <c r="I118" i="56"/>
  <c r="I144" i="56" s="1"/>
  <c r="I131" i="56"/>
  <c r="G128" i="46"/>
  <c r="G115" i="46"/>
  <c r="G141" i="46" s="1"/>
  <c r="E128" i="46"/>
  <c r="E115" i="46"/>
  <c r="E141" i="46" s="1"/>
  <c r="F129" i="46"/>
  <c r="F116" i="46"/>
  <c r="F142" i="46" s="1"/>
  <c r="I117" i="46"/>
  <c r="I143" i="46" s="1"/>
  <c r="I130" i="46"/>
  <c r="I131" i="46"/>
  <c r="I118" i="46"/>
  <c r="I144" i="46" s="1"/>
  <c r="I116" i="56"/>
  <c r="I142" i="56" s="1"/>
  <c r="I129" i="56"/>
  <c r="F127" i="46"/>
  <c r="F114" i="46"/>
  <c r="F140" i="46" s="1"/>
  <c r="E125" i="46"/>
  <c r="E112" i="46"/>
  <c r="E138" i="46" s="1"/>
  <c r="L138" i="46" s="1"/>
  <c r="I127" i="46"/>
  <c r="I114" i="46"/>
  <c r="I140" i="46" s="1"/>
  <c r="H130" i="46"/>
  <c r="H117" i="46"/>
  <c r="H143" i="46" s="1"/>
  <c r="E111" i="46"/>
  <c r="E137" i="46" s="1"/>
  <c r="E124" i="46"/>
  <c r="G126" i="46"/>
  <c r="G113" i="46"/>
  <c r="G139" i="46" s="1"/>
  <c r="F126" i="46"/>
  <c r="F113" i="46"/>
  <c r="F139" i="46" s="1"/>
  <c r="H116" i="46"/>
  <c r="H142" i="46" s="1"/>
  <c r="H129" i="46"/>
  <c r="F130" i="46"/>
  <c r="F117" i="46"/>
  <c r="F143" i="46" s="1"/>
  <c r="F127" i="56"/>
  <c r="F114" i="56"/>
  <c r="F140" i="56" s="1"/>
  <c r="H112" i="56"/>
  <c r="H138" i="56" s="1"/>
  <c r="H125" i="56"/>
  <c r="G117" i="56"/>
  <c r="G143" i="56" s="1"/>
  <c r="G130" i="56"/>
  <c r="E115" i="56"/>
  <c r="E141" i="56" s="1"/>
  <c r="E128" i="56"/>
  <c r="G116" i="56"/>
  <c r="G142" i="56" s="1"/>
  <c r="G129" i="56"/>
  <c r="I124" i="56"/>
  <c r="I111" i="56"/>
  <c r="I137" i="56" s="1"/>
  <c r="I117" i="56"/>
  <c r="I143" i="56" s="1"/>
  <c r="I130" i="56"/>
  <c r="G112" i="56"/>
  <c r="G138" i="56" s="1"/>
  <c r="G125" i="56"/>
  <c r="H113" i="56"/>
  <c r="H139" i="56" s="1"/>
  <c r="H126" i="56"/>
  <c r="H116" i="56"/>
  <c r="H142" i="56" s="1"/>
  <c r="H129" i="56"/>
  <c r="G118" i="56"/>
  <c r="G144" i="56" s="1"/>
  <c r="G131" i="56"/>
  <c r="L200" i="46"/>
  <c r="F88" i="56"/>
  <c r="H88" i="56"/>
  <c r="F87" i="56"/>
  <c r="H85" i="56"/>
  <c r="G90" i="56"/>
  <c r="E88" i="56"/>
  <c r="G89" i="56"/>
  <c r="I84" i="56"/>
  <c r="I90" i="56"/>
  <c r="G85" i="56"/>
  <c r="H86" i="56"/>
  <c r="H89" i="56"/>
  <c r="G91" i="56"/>
  <c r="G86" i="56"/>
  <c r="I86" i="56"/>
  <c r="H91" i="56"/>
  <c r="O200" i="46"/>
  <c r="P200" i="46"/>
  <c r="I88" i="56"/>
  <c r="H84" i="56"/>
  <c r="F86" i="56"/>
  <c r="I89" i="56"/>
  <c r="E87" i="56"/>
  <c r="E91" i="56"/>
  <c r="F85" i="56"/>
  <c r="G87" i="56"/>
  <c r="E85" i="56"/>
  <c r="H90" i="56"/>
  <c r="I87" i="56"/>
  <c r="F91" i="56"/>
  <c r="E84" i="56"/>
  <c r="E89" i="56"/>
  <c r="F89" i="56"/>
  <c r="G88" i="56"/>
  <c r="E90" i="56"/>
  <c r="F90" i="56"/>
  <c r="I91" i="56"/>
  <c r="O241" i="46"/>
  <c r="N245" i="46"/>
  <c r="L142" i="46"/>
  <c r="N246" i="46"/>
  <c r="N241" i="46"/>
  <c r="M241" i="46"/>
  <c r="M243" i="46"/>
  <c r="P243" i="46"/>
  <c r="O246" i="46"/>
  <c r="N242" i="46"/>
  <c r="M242" i="46"/>
  <c r="O245" i="46"/>
  <c r="M246" i="46"/>
  <c r="O240" i="46"/>
  <c r="O247" i="46"/>
  <c r="P245" i="46"/>
  <c r="O244" i="46"/>
  <c r="M247" i="46"/>
  <c r="P242" i="46"/>
  <c r="P244" i="46"/>
  <c r="L143" i="46"/>
  <c r="M244" i="46"/>
  <c r="N244" i="46"/>
  <c r="L141" i="46"/>
  <c r="M245" i="46"/>
  <c r="P246" i="46"/>
  <c r="O242" i="46"/>
  <c r="N243" i="46"/>
  <c r="P247" i="46"/>
  <c r="N247" i="46"/>
  <c r="P44" i="56"/>
  <c r="O49" i="56"/>
  <c r="M180" i="56"/>
  <c r="M34" i="56"/>
  <c r="O178" i="56"/>
  <c r="O32" i="56"/>
  <c r="N183" i="56"/>
  <c r="N37" i="56"/>
  <c r="N182" i="56"/>
  <c r="N36" i="56"/>
  <c r="F75" i="56"/>
  <c r="M230" i="56"/>
  <c r="F101" i="56"/>
  <c r="F167" i="56"/>
  <c r="P177" i="56"/>
  <c r="P31" i="56"/>
  <c r="P183" i="56"/>
  <c r="P37" i="56"/>
  <c r="O182" i="56"/>
  <c r="O36" i="56"/>
  <c r="P184" i="56"/>
  <c r="P38" i="56"/>
  <c r="N184" i="56"/>
  <c r="N38" i="56"/>
  <c r="O230" i="56"/>
  <c r="H101" i="56"/>
  <c r="H75" i="56"/>
  <c r="H167" i="56"/>
  <c r="G57" i="56"/>
  <c r="G177" i="56"/>
  <c r="G185" i="56" s="1"/>
  <c r="G31" i="56"/>
  <c r="G44" i="56"/>
  <c r="M229" i="56"/>
  <c r="F74" i="56"/>
  <c r="F166" i="56"/>
  <c r="F100" i="56"/>
  <c r="H164" i="56"/>
  <c r="H72" i="56"/>
  <c r="O227" i="56"/>
  <c r="H98" i="56"/>
  <c r="G77" i="56"/>
  <c r="G169" i="56"/>
  <c r="G103" i="56"/>
  <c r="N232" i="56"/>
  <c r="E101" i="56"/>
  <c r="E167" i="56"/>
  <c r="E75" i="56"/>
  <c r="L230" i="56"/>
  <c r="G76" i="56"/>
  <c r="N231" i="56"/>
  <c r="G102" i="56"/>
  <c r="G168" i="56"/>
  <c r="I71" i="56"/>
  <c r="I163" i="56"/>
  <c r="I97" i="56"/>
  <c r="I103" i="56"/>
  <c r="I169" i="56"/>
  <c r="I77" i="56"/>
  <c r="P232" i="56"/>
  <c r="G98" i="56"/>
  <c r="N227" i="56"/>
  <c r="G164" i="56"/>
  <c r="G72" i="56"/>
  <c r="H165" i="56"/>
  <c r="O228" i="56"/>
  <c r="H73" i="56"/>
  <c r="H99" i="56"/>
  <c r="N179" i="56"/>
  <c r="N33" i="56"/>
  <c r="O184" i="56"/>
  <c r="O38" i="56"/>
  <c r="P179" i="56"/>
  <c r="P33" i="56"/>
  <c r="O231" i="56"/>
  <c r="H76" i="56"/>
  <c r="H102" i="56"/>
  <c r="H168" i="56"/>
  <c r="G78" i="56"/>
  <c r="G170" i="56"/>
  <c r="G104" i="56"/>
  <c r="N233" i="56"/>
  <c r="E179" i="46"/>
  <c r="E202" i="46" s="1"/>
  <c r="L202" i="46" s="1"/>
  <c r="E59" i="56"/>
  <c r="E179" i="56"/>
  <c r="E185" i="56" s="1"/>
  <c r="E33" i="56"/>
  <c r="E46" i="56"/>
  <c r="L181" i="56"/>
  <c r="L35" i="56"/>
  <c r="M181" i="56"/>
  <c r="M35" i="56"/>
  <c r="N178" i="56"/>
  <c r="N32" i="56"/>
  <c r="O179" i="56"/>
  <c r="O33" i="56"/>
  <c r="G165" i="56"/>
  <c r="G73" i="56"/>
  <c r="G99" i="56"/>
  <c r="N228" i="56"/>
  <c r="H170" i="56"/>
  <c r="O233" i="56"/>
  <c r="H78" i="56"/>
  <c r="H104" i="56"/>
  <c r="I73" i="56"/>
  <c r="I165" i="56"/>
  <c r="I99" i="56"/>
  <c r="P228" i="56"/>
  <c r="I78" i="56"/>
  <c r="I104" i="56"/>
  <c r="P233" i="56"/>
  <c r="I170" i="56"/>
  <c r="O181" i="56"/>
  <c r="O35" i="56"/>
  <c r="F177" i="56"/>
  <c r="F185" i="56" s="1"/>
  <c r="F31" i="56"/>
  <c r="F39" i="56" s="1"/>
  <c r="F57" i="56"/>
  <c r="F44" i="56"/>
  <c r="I178" i="56"/>
  <c r="I185" i="56" s="1"/>
  <c r="I32" i="56"/>
  <c r="I58" i="56"/>
  <c r="I45" i="56"/>
  <c r="P45" i="56" s="1"/>
  <c r="P230" i="56"/>
  <c r="I101" i="56"/>
  <c r="I167" i="56"/>
  <c r="I75" i="56"/>
  <c r="L183" i="56"/>
  <c r="L37" i="56"/>
  <c r="L178" i="56"/>
  <c r="L32" i="56"/>
  <c r="H97" i="56"/>
  <c r="H71" i="56"/>
  <c r="H163" i="56"/>
  <c r="O183" i="56"/>
  <c r="O37" i="56"/>
  <c r="F165" i="56"/>
  <c r="F73" i="56"/>
  <c r="F99" i="56"/>
  <c r="M228" i="56"/>
  <c r="M184" i="56"/>
  <c r="M38" i="56"/>
  <c r="L177" i="56"/>
  <c r="L31" i="56"/>
  <c r="P231" i="56"/>
  <c r="I76" i="56"/>
  <c r="I102" i="56"/>
  <c r="I168" i="56"/>
  <c r="L229" i="56"/>
  <c r="E166" i="56"/>
  <c r="E100" i="56"/>
  <c r="E74" i="56"/>
  <c r="E78" i="56"/>
  <c r="E170" i="56"/>
  <c r="E104" i="56"/>
  <c r="L233" i="56"/>
  <c r="F98" i="56"/>
  <c r="M227" i="56"/>
  <c r="F72" i="56"/>
  <c r="F164" i="56"/>
  <c r="G166" i="56"/>
  <c r="G100" i="56"/>
  <c r="N229" i="56"/>
  <c r="G74" i="56"/>
  <c r="L182" i="56"/>
  <c r="L36" i="56"/>
  <c r="M182" i="56"/>
  <c r="M36" i="56"/>
  <c r="H180" i="56"/>
  <c r="H185" i="56" s="1"/>
  <c r="H34" i="56"/>
  <c r="H39" i="56" s="1"/>
  <c r="H60" i="56"/>
  <c r="H47" i="56"/>
  <c r="O47" i="56" s="1"/>
  <c r="N181" i="56"/>
  <c r="N35" i="56"/>
  <c r="E72" i="56"/>
  <c r="L227" i="56"/>
  <c r="E164" i="56"/>
  <c r="E98" i="56"/>
  <c r="E151" i="56"/>
  <c r="O177" i="56"/>
  <c r="O31" i="56"/>
  <c r="H77" i="56"/>
  <c r="H103" i="56"/>
  <c r="H169" i="56"/>
  <c r="O232" i="56"/>
  <c r="P229" i="56"/>
  <c r="I100" i="56"/>
  <c r="I74" i="56"/>
  <c r="I166" i="56"/>
  <c r="F78" i="56"/>
  <c r="F170" i="56"/>
  <c r="F104" i="56"/>
  <c r="M233" i="56"/>
  <c r="E97" i="56"/>
  <c r="E163" i="56"/>
  <c r="E71" i="56"/>
  <c r="L184" i="56"/>
  <c r="L38" i="56"/>
  <c r="N180" i="56"/>
  <c r="N34" i="56"/>
  <c r="M183" i="56"/>
  <c r="M37" i="56"/>
  <c r="L231" i="56"/>
  <c r="E76" i="56"/>
  <c r="E168" i="56"/>
  <c r="E102" i="56"/>
  <c r="M231" i="56"/>
  <c r="F168" i="56"/>
  <c r="F76" i="56"/>
  <c r="F102" i="56"/>
  <c r="P181" i="56"/>
  <c r="P35" i="56"/>
  <c r="G75" i="56"/>
  <c r="N230" i="56"/>
  <c r="G101" i="56"/>
  <c r="G167" i="56"/>
  <c r="L232" i="56"/>
  <c r="E169" i="56"/>
  <c r="E103" i="56"/>
  <c r="E77" i="56"/>
  <c r="P180" i="56"/>
  <c r="P34" i="56"/>
  <c r="M179" i="56"/>
  <c r="M33" i="56"/>
  <c r="P182" i="56"/>
  <c r="P36" i="56"/>
  <c r="L180" i="56"/>
  <c r="L34" i="56"/>
  <c r="M178" i="56"/>
  <c r="M32" i="56"/>
  <c r="F77" i="56"/>
  <c r="M232" i="56"/>
  <c r="F103" i="56"/>
  <c r="F169" i="56"/>
  <c r="L231" i="46"/>
  <c r="L244" i="46"/>
  <c r="L230" i="46"/>
  <c r="L243" i="46"/>
  <c r="P240" i="46"/>
  <c r="L232" i="46"/>
  <c r="L245" i="46"/>
  <c r="L234" i="46"/>
  <c r="L247" i="46"/>
  <c r="L233" i="46"/>
  <c r="L246" i="46"/>
  <c r="L228" i="46"/>
  <c r="L241" i="46"/>
  <c r="L227" i="46"/>
  <c r="M217" i="46"/>
  <c r="M230" i="46"/>
  <c r="P217" i="46"/>
  <c r="P230" i="46"/>
  <c r="O220" i="46"/>
  <c r="O233" i="46"/>
  <c r="N216" i="46"/>
  <c r="N229" i="46"/>
  <c r="M216" i="46"/>
  <c r="M229" i="46"/>
  <c r="O219" i="46"/>
  <c r="O232" i="46"/>
  <c r="M220" i="46"/>
  <c r="M233" i="46"/>
  <c r="N218" i="46"/>
  <c r="N231" i="46"/>
  <c r="M219" i="46"/>
  <c r="M232" i="46"/>
  <c r="P220" i="46"/>
  <c r="P233" i="46"/>
  <c r="O216" i="46"/>
  <c r="O229" i="46"/>
  <c r="N217" i="46"/>
  <c r="N230" i="46"/>
  <c r="P221" i="46"/>
  <c r="P234" i="46"/>
  <c r="N221" i="46"/>
  <c r="N234" i="46"/>
  <c r="O215" i="46"/>
  <c r="O228" i="46"/>
  <c r="O214" i="46"/>
  <c r="N219" i="46"/>
  <c r="N232" i="46"/>
  <c r="M221" i="46"/>
  <c r="M234" i="46"/>
  <c r="P214" i="46"/>
  <c r="O221" i="46"/>
  <c r="O234" i="46"/>
  <c r="P216" i="46"/>
  <c r="P229" i="46"/>
  <c r="P218" i="46"/>
  <c r="P231" i="46"/>
  <c r="N220" i="46"/>
  <c r="N233" i="46"/>
  <c r="N215" i="46"/>
  <c r="N228" i="46"/>
  <c r="P219" i="46"/>
  <c r="P232" i="46"/>
  <c r="M218" i="46"/>
  <c r="M231" i="46"/>
  <c r="M215" i="46"/>
  <c r="M228" i="46"/>
  <c r="O218" i="46"/>
  <c r="O231" i="46"/>
  <c r="E164" i="46"/>
  <c r="L164" i="46" s="1"/>
  <c r="L215" i="46"/>
  <c r="E167" i="46"/>
  <c r="L167" i="46" s="1"/>
  <c r="L218" i="46"/>
  <c r="E166" i="46"/>
  <c r="L166" i="46" s="1"/>
  <c r="L217" i="46"/>
  <c r="E168" i="46"/>
  <c r="L168" i="46" s="1"/>
  <c r="L219" i="46"/>
  <c r="E163" i="46"/>
  <c r="L163" i="46" s="1"/>
  <c r="E170" i="46"/>
  <c r="L170" i="46" s="1"/>
  <c r="L221" i="46"/>
  <c r="E169" i="46"/>
  <c r="L169" i="46" s="1"/>
  <c r="L220" i="46"/>
  <c r="F166" i="46"/>
  <c r="M166" i="46" s="1"/>
  <c r="I166" i="46"/>
  <c r="P166" i="46" s="1"/>
  <c r="H169" i="46"/>
  <c r="O169" i="46" s="1"/>
  <c r="G165" i="46"/>
  <c r="N165" i="46" s="1"/>
  <c r="F165" i="46"/>
  <c r="M165" i="46" s="1"/>
  <c r="H168" i="46"/>
  <c r="O168" i="46" s="1"/>
  <c r="F169" i="46"/>
  <c r="M169" i="46" s="1"/>
  <c r="G167" i="46"/>
  <c r="N167" i="46" s="1"/>
  <c r="F168" i="46"/>
  <c r="M168" i="46" s="1"/>
  <c r="I169" i="46"/>
  <c r="P169" i="46" s="1"/>
  <c r="H165" i="46"/>
  <c r="O165" i="46" s="1"/>
  <c r="G166" i="46"/>
  <c r="N166" i="46" s="1"/>
  <c r="I170" i="46"/>
  <c r="P170" i="46" s="1"/>
  <c r="G170" i="46"/>
  <c r="N170" i="46" s="1"/>
  <c r="H164" i="46"/>
  <c r="O164" i="46" s="1"/>
  <c r="H163" i="46"/>
  <c r="G168" i="46"/>
  <c r="N168" i="46" s="1"/>
  <c r="F170" i="46"/>
  <c r="M170" i="46" s="1"/>
  <c r="I163" i="46"/>
  <c r="H170" i="46"/>
  <c r="O170" i="46" s="1"/>
  <c r="I165" i="46"/>
  <c r="P165" i="46" s="1"/>
  <c r="I167" i="46"/>
  <c r="P167" i="46" s="1"/>
  <c r="G169" i="46"/>
  <c r="N169" i="46" s="1"/>
  <c r="G164" i="46"/>
  <c r="N164" i="46" s="1"/>
  <c r="I168" i="46"/>
  <c r="P168" i="46" s="1"/>
  <c r="F167" i="46"/>
  <c r="M167" i="46" s="1"/>
  <c r="F164" i="46"/>
  <c r="M164" i="46" s="1"/>
  <c r="H167" i="46"/>
  <c r="O167" i="46" s="1"/>
  <c r="L144" i="46"/>
  <c r="L137" i="46"/>
  <c r="E103" i="46"/>
  <c r="L103" i="46" s="1"/>
  <c r="H101" i="46"/>
  <c r="O101" i="46" s="1"/>
  <c r="F100" i="46"/>
  <c r="M100" i="46" s="1"/>
  <c r="E98" i="46"/>
  <c r="L98" i="46" s="1"/>
  <c r="I100" i="46"/>
  <c r="P100" i="46" s="1"/>
  <c r="H103" i="46"/>
  <c r="O103" i="46" s="1"/>
  <c r="E97" i="46"/>
  <c r="L97" i="46" s="1"/>
  <c r="G99" i="46"/>
  <c r="N99" i="46" s="1"/>
  <c r="F99" i="46"/>
  <c r="M99" i="46" s="1"/>
  <c r="H102" i="46"/>
  <c r="O102" i="46" s="1"/>
  <c r="F103" i="46"/>
  <c r="M103" i="46" s="1"/>
  <c r="G103" i="46"/>
  <c r="N103" i="46" s="1"/>
  <c r="F98" i="46"/>
  <c r="M98" i="46" s="1"/>
  <c r="I101" i="46"/>
  <c r="P101" i="46" s="1"/>
  <c r="I102" i="46"/>
  <c r="P102" i="46" s="1"/>
  <c r="G101" i="46"/>
  <c r="N101" i="46" s="1"/>
  <c r="E101" i="46"/>
  <c r="L101" i="46" s="1"/>
  <c r="F102" i="46"/>
  <c r="M102" i="46" s="1"/>
  <c r="I103" i="46"/>
  <c r="P103" i="46" s="1"/>
  <c r="H99" i="46"/>
  <c r="O99" i="46" s="1"/>
  <c r="E100" i="46"/>
  <c r="L100" i="46" s="1"/>
  <c r="G100" i="46"/>
  <c r="N100" i="46" s="1"/>
  <c r="I104" i="46"/>
  <c r="P104" i="46" s="1"/>
  <c r="G104" i="46"/>
  <c r="N104" i="46" s="1"/>
  <c r="G98" i="46"/>
  <c r="N98" i="46" s="1"/>
  <c r="F101" i="46"/>
  <c r="M101" i="46" s="1"/>
  <c r="H98" i="46"/>
  <c r="O98" i="46" s="1"/>
  <c r="H97" i="46"/>
  <c r="O97" i="46" s="1"/>
  <c r="G102" i="46"/>
  <c r="N102" i="46" s="1"/>
  <c r="I97" i="46"/>
  <c r="P97" i="46" s="1"/>
  <c r="I99" i="46"/>
  <c r="P99" i="46" s="1"/>
  <c r="E102" i="46"/>
  <c r="L102" i="46" s="1"/>
  <c r="E91" i="46"/>
  <c r="L91" i="46" s="1"/>
  <c r="E104" i="46"/>
  <c r="L104" i="46" s="1"/>
  <c r="F91" i="46"/>
  <c r="M91" i="46" s="1"/>
  <c r="F104" i="46"/>
  <c r="M104" i="46" s="1"/>
  <c r="H91" i="46"/>
  <c r="O91" i="46" s="1"/>
  <c r="H104" i="46"/>
  <c r="O104" i="46" s="1"/>
  <c r="K171" i="46"/>
  <c r="K19" i="46" s="1"/>
  <c r="I76" i="46"/>
  <c r="P76" i="46" s="1"/>
  <c r="I89" i="46"/>
  <c r="P89" i="46" s="1"/>
  <c r="E84" i="46"/>
  <c r="L84" i="46" s="1"/>
  <c r="F77" i="46"/>
  <c r="M77" i="46" s="1"/>
  <c r="F90" i="46"/>
  <c r="M90" i="46" s="1"/>
  <c r="F75" i="46"/>
  <c r="M75" i="46" s="1"/>
  <c r="F88" i="46"/>
  <c r="M88" i="46" s="1"/>
  <c r="F74" i="46"/>
  <c r="M74" i="46" s="1"/>
  <c r="F87" i="46"/>
  <c r="M87" i="46" s="1"/>
  <c r="H77" i="46"/>
  <c r="O77" i="46" s="1"/>
  <c r="H90" i="46"/>
  <c r="O90" i="46" s="1"/>
  <c r="F73" i="46"/>
  <c r="M73" i="46" s="1"/>
  <c r="F86" i="46"/>
  <c r="M86" i="46" s="1"/>
  <c r="E77" i="46"/>
  <c r="L77" i="46" s="1"/>
  <c r="E90" i="46"/>
  <c r="L90" i="46" s="1"/>
  <c r="H75" i="46"/>
  <c r="O75" i="46" s="1"/>
  <c r="H88" i="46"/>
  <c r="O88" i="46" s="1"/>
  <c r="E72" i="46"/>
  <c r="L72" i="46" s="1"/>
  <c r="E85" i="46"/>
  <c r="L85" i="46" s="1"/>
  <c r="G73" i="46"/>
  <c r="N73" i="46" s="1"/>
  <c r="G86" i="46"/>
  <c r="N86" i="46" s="1"/>
  <c r="G75" i="46"/>
  <c r="N75" i="46" s="1"/>
  <c r="G88" i="46"/>
  <c r="N88" i="46" s="1"/>
  <c r="E75" i="46"/>
  <c r="L75" i="46" s="1"/>
  <c r="E88" i="46"/>
  <c r="L88" i="46" s="1"/>
  <c r="F76" i="46"/>
  <c r="M76" i="46" s="1"/>
  <c r="F89" i="46"/>
  <c r="M89" i="46" s="1"/>
  <c r="I77" i="46"/>
  <c r="P77" i="46" s="1"/>
  <c r="I90" i="46"/>
  <c r="P90" i="46" s="1"/>
  <c r="H73" i="46"/>
  <c r="O73" i="46" s="1"/>
  <c r="H86" i="46"/>
  <c r="O86" i="46" s="1"/>
  <c r="E74" i="46"/>
  <c r="L74" i="46" s="1"/>
  <c r="E87" i="46"/>
  <c r="L87" i="46" s="1"/>
  <c r="G74" i="46"/>
  <c r="N74" i="46" s="1"/>
  <c r="G87" i="46"/>
  <c r="N87" i="46" s="1"/>
  <c r="I78" i="46"/>
  <c r="I91" i="46"/>
  <c r="P91" i="46" s="1"/>
  <c r="G78" i="46"/>
  <c r="G91" i="46"/>
  <c r="N91" i="46" s="1"/>
  <c r="I75" i="46"/>
  <c r="P75" i="46" s="1"/>
  <c r="I88" i="46"/>
  <c r="P88" i="46" s="1"/>
  <c r="G77" i="46"/>
  <c r="N77" i="46" s="1"/>
  <c r="G90" i="46"/>
  <c r="N90" i="46" s="1"/>
  <c r="G72" i="46"/>
  <c r="N72" i="46" s="1"/>
  <c r="G85" i="46"/>
  <c r="N85" i="46" s="1"/>
  <c r="I74" i="46"/>
  <c r="P74" i="46" s="1"/>
  <c r="I87" i="46"/>
  <c r="P87" i="46" s="1"/>
  <c r="H76" i="46"/>
  <c r="O76" i="46" s="1"/>
  <c r="H89" i="46"/>
  <c r="O89" i="46" s="1"/>
  <c r="F72" i="46"/>
  <c r="M72" i="46" s="1"/>
  <c r="F85" i="46"/>
  <c r="M85" i="46" s="1"/>
  <c r="E71" i="46"/>
  <c r="L71" i="46" s="1"/>
  <c r="H72" i="46"/>
  <c r="O72" i="46" s="1"/>
  <c r="H85" i="46"/>
  <c r="O85" i="46" s="1"/>
  <c r="H51" i="53"/>
  <c r="H52" i="53" s="1"/>
  <c r="H53" i="53" s="1"/>
  <c r="H84" i="46"/>
  <c r="O84" i="46" s="1"/>
  <c r="G76" i="46"/>
  <c r="N76" i="46" s="1"/>
  <c r="G89" i="46"/>
  <c r="N89" i="46" s="1"/>
  <c r="I71" i="46"/>
  <c r="P71" i="46" s="1"/>
  <c r="I84" i="46"/>
  <c r="P84" i="46" s="1"/>
  <c r="I73" i="46"/>
  <c r="P73" i="46" s="1"/>
  <c r="I86" i="46"/>
  <c r="P86" i="46" s="1"/>
  <c r="E76" i="46"/>
  <c r="L76" i="46" s="1"/>
  <c r="E89" i="46"/>
  <c r="L89" i="46" s="1"/>
  <c r="H71" i="46"/>
  <c r="O71" i="46" s="1"/>
  <c r="H60" i="46"/>
  <c r="H180" i="46"/>
  <c r="H203" i="46" s="1"/>
  <c r="O203" i="46" s="1"/>
  <c r="F78" i="46"/>
  <c r="H78" i="46"/>
  <c r="I51" i="53"/>
  <c r="I52" i="53" s="1"/>
  <c r="I53" i="53" s="1"/>
  <c r="E78" i="46"/>
  <c r="F57" i="46"/>
  <c r="F177" i="46"/>
  <c r="F200" i="46" s="1"/>
  <c r="I58" i="46"/>
  <c r="I178" i="46"/>
  <c r="I201" i="46" s="1"/>
  <c r="P201" i="46" s="1"/>
  <c r="E51" i="53"/>
  <c r="E52" i="53" s="1"/>
  <c r="E53" i="53" s="1"/>
  <c r="E30" i="53"/>
  <c r="E31" i="53"/>
  <c r="F31" i="53" s="1"/>
  <c r="G31" i="53" s="1"/>
  <c r="H31" i="53" s="1"/>
  <c r="I31" i="53" s="1"/>
  <c r="G57" i="46"/>
  <c r="G177" i="46"/>
  <c r="G200" i="46" s="1"/>
  <c r="E38" i="42"/>
  <c r="E59" i="46"/>
  <c r="G44" i="46"/>
  <c r="G52" i="46" s="1"/>
  <c r="G11" i="46" s="1"/>
  <c r="G31" i="46"/>
  <c r="G39" i="46" s="1"/>
  <c r="G10" i="46" s="1"/>
  <c r="F44" i="46"/>
  <c r="F52" i="46" s="1"/>
  <c r="F11" i="46" s="1"/>
  <c r="F31" i="46"/>
  <c r="F39" i="46" s="1"/>
  <c r="F10" i="46" s="1"/>
  <c r="E44" i="42"/>
  <c r="E50" i="42" s="1"/>
  <c r="E46" i="46"/>
  <c r="E52" i="46" s="1"/>
  <c r="E11" i="46" s="1"/>
  <c r="E33" i="46"/>
  <c r="E39" i="46" s="1"/>
  <c r="E10" i="46" s="1"/>
  <c r="I43" i="42"/>
  <c r="I50" i="42" s="1"/>
  <c r="I45" i="46"/>
  <c r="I52" i="46" s="1"/>
  <c r="I11" i="46" s="1"/>
  <c r="I32" i="46"/>
  <c r="I39" i="46" s="1"/>
  <c r="I10" i="46" s="1"/>
  <c r="H45" i="42"/>
  <c r="H50" i="42" s="1"/>
  <c r="H47" i="46"/>
  <c r="H52" i="46" s="1"/>
  <c r="H11" i="46" s="1"/>
  <c r="H34" i="46"/>
  <c r="H39" i="46" s="1"/>
  <c r="H10" i="46" s="1"/>
  <c r="I38" i="42"/>
  <c r="G42" i="42"/>
  <c r="G50" i="42" s="1"/>
  <c r="G38" i="42"/>
  <c r="F42" i="42"/>
  <c r="F50" i="42" s="1"/>
  <c r="F38" i="42"/>
  <c r="H38" i="42"/>
  <c r="O263" i="46"/>
  <c r="G132" i="53"/>
  <c r="F132" i="53"/>
  <c r="D81" i="53"/>
  <c r="D82" i="53" s="1"/>
  <c r="I132" i="53"/>
  <c r="M263" i="46"/>
  <c r="H263" i="46"/>
  <c r="F263" i="46"/>
  <c r="G263" i="46"/>
  <c r="E263" i="46"/>
  <c r="D132" i="53"/>
  <c r="D133" i="53" s="1"/>
  <c r="I263" i="46"/>
  <c r="N263" i="46"/>
  <c r="H132" i="53"/>
  <c r="P263" i="46"/>
  <c r="D93" i="53"/>
  <c r="D94" i="53" s="1"/>
  <c r="E67" i="53"/>
  <c r="F67" i="53"/>
  <c r="H67" i="53"/>
  <c r="I67" i="53"/>
  <c r="G67" i="53"/>
  <c r="I173" i="53"/>
  <c r="H173" i="53"/>
  <c r="G173" i="53"/>
  <c r="F173" i="53"/>
  <c r="E126" i="46" l="1"/>
  <c r="E113" i="46"/>
  <c r="E139" i="46" s="1"/>
  <c r="H127" i="46"/>
  <c r="H114" i="46"/>
  <c r="H140" i="46" s="1"/>
  <c r="H114" i="56"/>
  <c r="H140" i="56" s="1"/>
  <c r="H127" i="56"/>
  <c r="I112" i="56"/>
  <c r="I138" i="56" s="1"/>
  <c r="I125" i="56"/>
  <c r="F51" i="42"/>
  <c r="F52" i="42" s="1"/>
  <c r="F24" i="47"/>
  <c r="F25" i="47" s="1"/>
  <c r="E51" i="42"/>
  <c r="E52" i="42" s="1"/>
  <c r="E24" i="47"/>
  <c r="E25" i="47" s="1"/>
  <c r="E26" i="47" s="1"/>
  <c r="E27" i="47" s="1"/>
  <c r="F111" i="46"/>
  <c r="F137" i="46" s="1"/>
  <c r="F124" i="46"/>
  <c r="G124" i="46"/>
  <c r="G111" i="46"/>
  <c r="G137" i="46" s="1"/>
  <c r="G111" i="56"/>
  <c r="G137" i="56" s="1"/>
  <c r="G124" i="56"/>
  <c r="G51" i="42"/>
  <c r="G24" i="47"/>
  <c r="G25" i="47" s="1"/>
  <c r="I51" i="42"/>
  <c r="I24" i="47"/>
  <c r="I25" i="47" s="1"/>
  <c r="H51" i="42"/>
  <c r="H52" i="42" s="1"/>
  <c r="H24" i="47"/>
  <c r="H25" i="47" s="1"/>
  <c r="H26" i="47" s="1"/>
  <c r="F111" i="56"/>
  <c r="F137" i="56" s="1"/>
  <c r="F124" i="56"/>
  <c r="E113" i="56"/>
  <c r="E139" i="56" s="1"/>
  <c r="E126" i="56"/>
  <c r="I112" i="46"/>
  <c r="I138" i="46" s="1"/>
  <c r="I125" i="46"/>
  <c r="I208" i="46"/>
  <c r="I209" i="46" s="1"/>
  <c r="P208" i="46"/>
  <c r="H208" i="46"/>
  <c r="H209" i="46" s="1"/>
  <c r="O208" i="46"/>
  <c r="E208" i="46"/>
  <c r="E209" i="46" s="1"/>
  <c r="L208" i="46"/>
  <c r="G84" i="56"/>
  <c r="G92" i="56" s="1"/>
  <c r="N200" i="46"/>
  <c r="N208" i="46" s="1"/>
  <c r="G208" i="46"/>
  <c r="G209" i="46" s="1"/>
  <c r="H65" i="56"/>
  <c r="H66" i="56" s="1"/>
  <c r="H87" i="56"/>
  <c r="H92" i="56" s="1"/>
  <c r="F84" i="56"/>
  <c r="F92" i="56" s="1"/>
  <c r="E65" i="56"/>
  <c r="E66" i="56" s="1"/>
  <c r="E86" i="56"/>
  <c r="E92" i="56" s="1"/>
  <c r="M200" i="46"/>
  <c r="M208" i="46" s="1"/>
  <c r="F208" i="46"/>
  <c r="F209" i="46" s="1"/>
  <c r="I85" i="56"/>
  <c r="I92" i="56" s="1"/>
  <c r="K24" i="46"/>
  <c r="C38" i="47" s="1"/>
  <c r="C44" i="47" s="1"/>
  <c r="P241" i="46"/>
  <c r="P248" i="46" s="1"/>
  <c r="P249" i="46" s="1"/>
  <c r="O243" i="46"/>
  <c r="O248" i="46" s="1"/>
  <c r="M240" i="46"/>
  <c r="M248" i="46" s="1"/>
  <c r="M137" i="46"/>
  <c r="O52" i="56"/>
  <c r="O53" i="56" s="1"/>
  <c r="N240" i="46"/>
  <c r="N248" i="46" s="1"/>
  <c r="E150" i="46"/>
  <c r="L150" i="46" s="1"/>
  <c r="E185" i="46"/>
  <c r="E20" i="46" s="1"/>
  <c r="H20" i="56"/>
  <c r="H186" i="56"/>
  <c r="M177" i="56"/>
  <c r="M185" i="56" s="1"/>
  <c r="M31" i="56"/>
  <c r="M39" i="56" s="1"/>
  <c r="E39" i="56"/>
  <c r="L179" i="56"/>
  <c r="L185" i="56" s="1"/>
  <c r="L33" i="56"/>
  <c r="L39" i="56" s="1"/>
  <c r="E156" i="56"/>
  <c r="F40" i="56"/>
  <c r="F10" i="56"/>
  <c r="F20" i="56"/>
  <c r="F186" i="56"/>
  <c r="L226" i="56"/>
  <c r="I20" i="56"/>
  <c r="I186" i="56"/>
  <c r="E165" i="56"/>
  <c r="E171" i="56" s="1"/>
  <c r="E208" i="56"/>
  <c r="L228" i="56"/>
  <c r="E221" i="56"/>
  <c r="E99" i="56"/>
  <c r="E105" i="56" s="1"/>
  <c r="E73" i="56"/>
  <c r="E79" i="56" s="1"/>
  <c r="P226" i="56"/>
  <c r="E186" i="56"/>
  <c r="E20" i="56"/>
  <c r="E150" i="56"/>
  <c r="I72" i="56"/>
  <c r="I79" i="56" s="1"/>
  <c r="I164" i="56"/>
  <c r="I171" i="56" s="1"/>
  <c r="P227" i="56"/>
  <c r="I221" i="56"/>
  <c r="I98" i="56"/>
  <c r="I105" i="56" s="1"/>
  <c r="I208" i="56"/>
  <c r="E154" i="56"/>
  <c r="E155" i="56"/>
  <c r="H166" i="56"/>
  <c r="H171" i="56" s="1"/>
  <c r="H100" i="56"/>
  <c r="H105" i="56" s="1"/>
  <c r="H119" i="56"/>
  <c r="H208" i="56"/>
  <c r="H221" i="56"/>
  <c r="H74" i="56"/>
  <c r="H79" i="56" s="1"/>
  <c r="O229" i="56"/>
  <c r="I39" i="56"/>
  <c r="P178" i="56"/>
  <c r="P185" i="56" s="1"/>
  <c r="P32" i="56"/>
  <c r="P39" i="56" s="1"/>
  <c r="N44" i="56"/>
  <c r="N52" i="56" s="1"/>
  <c r="G52" i="56"/>
  <c r="H10" i="56"/>
  <c r="H40" i="56"/>
  <c r="O180" i="56"/>
  <c r="O185" i="56" s="1"/>
  <c r="O34" i="56"/>
  <c r="O39" i="56" s="1"/>
  <c r="E157" i="56"/>
  <c r="N177" i="56"/>
  <c r="N185" i="56" s="1"/>
  <c r="N31" i="56"/>
  <c r="N39" i="56" s="1"/>
  <c r="H52" i="56"/>
  <c r="E153" i="56"/>
  <c r="O226" i="56"/>
  <c r="M44" i="56"/>
  <c r="M52" i="56" s="1"/>
  <c r="F52" i="56"/>
  <c r="I65" i="56"/>
  <c r="I66" i="56" s="1"/>
  <c r="G20" i="56"/>
  <c r="G186" i="56"/>
  <c r="I52" i="56"/>
  <c r="F119" i="56"/>
  <c r="F97" i="56"/>
  <c r="F105" i="56" s="1"/>
  <c r="F208" i="56"/>
  <c r="F65" i="56"/>
  <c r="F66" i="56" s="1"/>
  <c r="F71" i="56"/>
  <c r="F79" i="56" s="1"/>
  <c r="F163" i="56"/>
  <c r="F171" i="56" s="1"/>
  <c r="F221" i="56"/>
  <c r="E52" i="56"/>
  <c r="L46" i="56"/>
  <c r="L52" i="56" s="1"/>
  <c r="G221" i="56"/>
  <c r="G163" i="56"/>
  <c r="G171" i="56" s="1"/>
  <c r="G71" i="56"/>
  <c r="G79" i="56" s="1"/>
  <c r="G208" i="56"/>
  <c r="G97" i="56"/>
  <c r="G105" i="56" s="1"/>
  <c r="G65" i="56"/>
  <c r="G66" i="56" s="1"/>
  <c r="G39" i="56"/>
  <c r="P52" i="56"/>
  <c r="F26" i="47"/>
  <c r="G26" i="47"/>
  <c r="I26" i="47"/>
  <c r="H248" i="46"/>
  <c r="H23" i="46" s="1"/>
  <c r="L229" i="46"/>
  <c r="L235" i="46" s="1"/>
  <c r="L22" i="46" s="1"/>
  <c r="L242" i="46"/>
  <c r="L240" i="46"/>
  <c r="P227" i="46"/>
  <c r="G222" i="46"/>
  <c r="G21" i="46" s="1"/>
  <c r="P215" i="46"/>
  <c r="P222" i="46" s="1"/>
  <c r="P228" i="46"/>
  <c r="F222" i="46"/>
  <c r="F21" i="46" s="1"/>
  <c r="O217" i="46"/>
  <c r="O222" i="46" s="1"/>
  <c r="O230" i="46"/>
  <c r="O227" i="46"/>
  <c r="E165" i="46"/>
  <c r="L165" i="46" s="1"/>
  <c r="L171" i="46" s="1"/>
  <c r="L216" i="46"/>
  <c r="L214" i="46"/>
  <c r="F163" i="46"/>
  <c r="G163" i="46"/>
  <c r="I164" i="46"/>
  <c r="P164" i="46" s="1"/>
  <c r="P163" i="46"/>
  <c r="H166" i="46"/>
  <c r="O166" i="46" s="1"/>
  <c r="O163" i="46"/>
  <c r="E155" i="46"/>
  <c r="L155" i="46" s="1"/>
  <c r="E151" i="46"/>
  <c r="L151" i="46" s="1"/>
  <c r="E153" i="46"/>
  <c r="L153" i="46" s="1"/>
  <c r="E156" i="46"/>
  <c r="L156" i="46" s="1"/>
  <c r="E154" i="46"/>
  <c r="L154" i="46" s="1"/>
  <c r="E157" i="46"/>
  <c r="L157" i="46" s="1"/>
  <c r="M138" i="46"/>
  <c r="M144" i="46"/>
  <c r="M141" i="46"/>
  <c r="M139" i="46"/>
  <c r="M142" i="46"/>
  <c r="M140" i="46"/>
  <c r="M143" i="46"/>
  <c r="G97" i="46"/>
  <c r="N97" i="46" s="1"/>
  <c r="N105" i="46" s="1"/>
  <c r="I98" i="46"/>
  <c r="P98" i="46" s="1"/>
  <c r="P105" i="46" s="1"/>
  <c r="H40" i="46"/>
  <c r="E40" i="46"/>
  <c r="I40" i="46"/>
  <c r="F53" i="46"/>
  <c r="E58" i="47" s="1"/>
  <c r="G40" i="46"/>
  <c r="F84" i="46"/>
  <c r="M84" i="46" s="1"/>
  <c r="M92" i="46" s="1"/>
  <c r="F97" i="46"/>
  <c r="H53" i="46"/>
  <c r="G58" i="47" s="1"/>
  <c r="E86" i="46"/>
  <c r="L86" i="46" s="1"/>
  <c r="E99" i="46"/>
  <c r="G53" i="46"/>
  <c r="F58" i="47" s="1"/>
  <c r="H65" i="46"/>
  <c r="H66" i="46" s="1"/>
  <c r="G53" i="47" s="1"/>
  <c r="G54" i="47" s="1"/>
  <c r="H100" i="46"/>
  <c r="E53" i="46"/>
  <c r="D58" i="47" s="1"/>
  <c r="H185" i="46"/>
  <c r="H20" i="46" s="1"/>
  <c r="I53" i="46"/>
  <c r="H58" i="47" s="1"/>
  <c r="F40" i="46"/>
  <c r="I185" i="46"/>
  <c r="M78" i="46"/>
  <c r="N78" i="46"/>
  <c r="L78" i="46"/>
  <c r="P78" i="46"/>
  <c r="O78" i="46"/>
  <c r="H74" i="46"/>
  <c r="H87" i="46"/>
  <c r="G65" i="46"/>
  <c r="G66" i="46" s="1"/>
  <c r="F53" i="47" s="1"/>
  <c r="F54" i="47" s="1"/>
  <c r="G84" i="46"/>
  <c r="F71" i="46"/>
  <c r="I72" i="46"/>
  <c r="I85" i="46"/>
  <c r="G71" i="46"/>
  <c r="E33" i="53"/>
  <c r="G185" i="46"/>
  <c r="G20" i="46" s="1"/>
  <c r="F185" i="46"/>
  <c r="F20" i="46" s="1"/>
  <c r="I65" i="46"/>
  <c r="I66" i="46" s="1"/>
  <c r="H53" i="47" s="1"/>
  <c r="H54" i="47" s="1"/>
  <c r="F30" i="53"/>
  <c r="F51" i="53"/>
  <c r="F52" i="53" s="1"/>
  <c r="F53" i="53" s="1"/>
  <c r="G51" i="53"/>
  <c r="G52" i="53" s="1"/>
  <c r="G53" i="53" s="1"/>
  <c r="F65" i="46"/>
  <c r="F66" i="46" s="1"/>
  <c r="E53" i="47" s="1"/>
  <c r="E54" i="47" s="1"/>
  <c r="E73" i="46"/>
  <c r="E65" i="46"/>
  <c r="E66" i="46" s="1"/>
  <c r="D53" i="47" s="1"/>
  <c r="D54" i="47" s="1"/>
  <c r="G52" i="42"/>
  <c r="D176" i="53"/>
  <c r="E173" i="53"/>
  <c r="G119" i="56" l="1"/>
  <c r="G120" i="56" s="1"/>
  <c r="G119" i="46"/>
  <c r="I119" i="46"/>
  <c r="I120" i="46" s="1"/>
  <c r="H66" i="47" s="1"/>
  <c r="I52" i="42"/>
  <c r="I119" i="56"/>
  <c r="H119" i="46"/>
  <c r="I248" i="46"/>
  <c r="I23" i="46" s="1"/>
  <c r="G248" i="46"/>
  <c r="G23" i="46" s="1"/>
  <c r="L20" i="46"/>
  <c r="L209" i="46"/>
  <c r="O20" i="46"/>
  <c r="O209" i="46"/>
  <c r="P20" i="46"/>
  <c r="P209" i="46"/>
  <c r="M20" i="46"/>
  <c r="M209" i="46"/>
  <c r="F248" i="46"/>
  <c r="F23" i="46" s="1"/>
  <c r="P23" i="46"/>
  <c r="N20" i="46"/>
  <c r="N209" i="46"/>
  <c r="O11" i="56"/>
  <c r="E93" i="53"/>
  <c r="E94" i="53" s="1"/>
  <c r="E95" i="53" s="1"/>
  <c r="I27" i="47"/>
  <c r="E119" i="56"/>
  <c r="E120" i="56" s="1"/>
  <c r="H27" i="47"/>
  <c r="E186" i="46"/>
  <c r="D73" i="47" s="1"/>
  <c r="G27" i="47"/>
  <c r="P10" i="56"/>
  <c r="P40" i="56"/>
  <c r="H209" i="56"/>
  <c r="H21" i="56"/>
  <c r="E209" i="56"/>
  <c r="E21" i="56"/>
  <c r="E172" i="56"/>
  <c r="E19" i="56"/>
  <c r="H106" i="56"/>
  <c r="H14" i="56"/>
  <c r="P186" i="56"/>
  <c r="P20" i="56"/>
  <c r="O20" i="56"/>
  <c r="O186" i="56"/>
  <c r="I106" i="56"/>
  <c r="I14" i="56"/>
  <c r="H13" i="56"/>
  <c r="H93" i="56"/>
  <c r="I80" i="56"/>
  <c r="I12" i="56"/>
  <c r="H12" i="56"/>
  <c r="H80" i="56"/>
  <c r="H120" i="56"/>
  <c r="H15" i="56"/>
  <c r="H222" i="56"/>
  <c r="H22" i="56"/>
  <c r="I13" i="56"/>
  <c r="I93" i="56"/>
  <c r="N226" i="56"/>
  <c r="N234" i="56" s="1"/>
  <c r="G234" i="56"/>
  <c r="L11" i="56"/>
  <c r="L53" i="56"/>
  <c r="F209" i="56"/>
  <c r="F21" i="56"/>
  <c r="F153" i="56"/>
  <c r="H172" i="56"/>
  <c r="H19" i="56"/>
  <c r="G53" i="56"/>
  <c r="G11" i="56"/>
  <c r="E222" i="56"/>
  <c r="E22" i="56"/>
  <c r="E145" i="56"/>
  <c r="I234" i="56"/>
  <c r="E11" i="56"/>
  <c r="E53" i="56"/>
  <c r="F106" i="56"/>
  <c r="F14" i="56"/>
  <c r="O10" i="56"/>
  <c r="O40" i="56"/>
  <c r="N11" i="56"/>
  <c r="N53" i="56"/>
  <c r="E12" i="56"/>
  <c r="E80" i="56"/>
  <c r="P234" i="56"/>
  <c r="I172" i="56"/>
  <c r="I19" i="56"/>
  <c r="F156" i="56"/>
  <c r="L186" i="56"/>
  <c r="L20" i="56"/>
  <c r="G106" i="56"/>
  <c r="G14" i="56"/>
  <c r="F222" i="56"/>
  <c r="F22" i="56"/>
  <c r="F120" i="56"/>
  <c r="F15" i="56"/>
  <c r="I15" i="56"/>
  <c r="I120" i="56"/>
  <c r="E93" i="56"/>
  <c r="E13" i="56"/>
  <c r="F157" i="56"/>
  <c r="I222" i="56"/>
  <c r="I22" i="56"/>
  <c r="F150" i="56"/>
  <c r="E152" i="56"/>
  <c r="E158" i="56" s="1"/>
  <c r="I209" i="56"/>
  <c r="I21" i="56"/>
  <c r="E106" i="56"/>
  <c r="E14" i="56"/>
  <c r="G21" i="56"/>
  <c r="G209" i="56"/>
  <c r="F172" i="56"/>
  <c r="F19" i="56"/>
  <c r="F11" i="56"/>
  <c r="F53" i="56"/>
  <c r="H53" i="56"/>
  <c r="H11" i="56"/>
  <c r="F155" i="56"/>
  <c r="E132" i="56"/>
  <c r="G93" i="56"/>
  <c r="G13" i="56"/>
  <c r="M226" i="56"/>
  <c r="M234" i="56" s="1"/>
  <c r="F234" i="56"/>
  <c r="L10" i="56"/>
  <c r="L40" i="56"/>
  <c r="M11" i="56"/>
  <c r="M53" i="56"/>
  <c r="N10" i="56"/>
  <c r="N40" i="56"/>
  <c r="F154" i="56"/>
  <c r="P53" i="56"/>
  <c r="P11" i="56"/>
  <c r="G80" i="56"/>
  <c r="G12" i="56"/>
  <c r="F13" i="56"/>
  <c r="F93" i="56"/>
  <c r="O234" i="56"/>
  <c r="N20" i="56"/>
  <c r="N186" i="56"/>
  <c r="I10" i="56"/>
  <c r="I40" i="56"/>
  <c r="E10" i="56"/>
  <c r="E40" i="56"/>
  <c r="G40" i="56"/>
  <c r="G10" i="56"/>
  <c r="G172" i="56"/>
  <c r="G19" i="56"/>
  <c r="F80" i="56"/>
  <c r="F12" i="56"/>
  <c r="I53" i="56"/>
  <c r="I11" i="56"/>
  <c r="H234" i="56"/>
  <c r="E234" i="56"/>
  <c r="M10" i="56"/>
  <c r="M40" i="56"/>
  <c r="G222" i="56"/>
  <c r="G22" i="56"/>
  <c r="F151" i="56"/>
  <c r="L234" i="56"/>
  <c r="M186" i="56"/>
  <c r="M20" i="56"/>
  <c r="L248" i="46"/>
  <c r="L249" i="46" s="1"/>
  <c r="N249" i="46"/>
  <c r="N23" i="46"/>
  <c r="P106" i="46"/>
  <c r="P14" i="46"/>
  <c r="O223" i="46"/>
  <c r="O21" i="46"/>
  <c r="E235" i="46"/>
  <c r="E22" i="46" s="1"/>
  <c r="E248" i="46"/>
  <c r="E23" i="46" s="1"/>
  <c r="N106" i="46"/>
  <c r="N14" i="46"/>
  <c r="M93" i="46"/>
  <c r="M13" i="46"/>
  <c r="L172" i="46"/>
  <c r="L19" i="46"/>
  <c r="M249" i="46"/>
  <c r="M23" i="46"/>
  <c r="H235" i="46"/>
  <c r="H22" i="46" s="1"/>
  <c r="P223" i="46"/>
  <c r="P21" i="46"/>
  <c r="O249" i="46"/>
  <c r="O23" i="46"/>
  <c r="G120" i="46"/>
  <c r="F66" i="47" s="1"/>
  <c r="G15" i="46"/>
  <c r="H120" i="46"/>
  <c r="G66" i="47" s="1"/>
  <c r="H15" i="46"/>
  <c r="I15" i="46"/>
  <c r="I93" i="53"/>
  <c r="I94" i="53" s="1"/>
  <c r="I95" i="53" s="1"/>
  <c r="I20" i="46"/>
  <c r="O235" i="46"/>
  <c r="N214" i="46"/>
  <c r="N222" i="46" s="1"/>
  <c r="F131" i="53"/>
  <c r="H222" i="46"/>
  <c r="I249" i="46"/>
  <c r="H81" i="47" s="1"/>
  <c r="H131" i="53"/>
  <c r="H249" i="46"/>
  <c r="G81" i="47" s="1"/>
  <c r="E171" i="46"/>
  <c r="E81" i="53" s="1"/>
  <c r="I222" i="46"/>
  <c r="I21" i="46" s="1"/>
  <c r="M214" i="46"/>
  <c r="M222" i="46" s="1"/>
  <c r="N227" i="46"/>
  <c r="N235" i="46" s="1"/>
  <c r="N22" i="46" s="1"/>
  <c r="G235" i="46"/>
  <c r="G22" i="46" s="1"/>
  <c r="I171" i="46"/>
  <c r="I19" i="46" s="1"/>
  <c r="L236" i="46"/>
  <c r="I235" i="46"/>
  <c r="I22" i="46" s="1"/>
  <c r="M227" i="46"/>
  <c r="M235" i="46" s="1"/>
  <c r="M22" i="46" s="1"/>
  <c r="F235" i="46"/>
  <c r="F22" i="46" s="1"/>
  <c r="P235" i="46"/>
  <c r="P22" i="46" s="1"/>
  <c r="E222" i="46"/>
  <c r="L222" i="46"/>
  <c r="F119" i="46"/>
  <c r="P171" i="46"/>
  <c r="G223" i="46"/>
  <c r="F79" i="47" s="1"/>
  <c r="G129" i="53"/>
  <c r="F223" i="46"/>
  <c r="E79" i="47" s="1"/>
  <c r="F129" i="53"/>
  <c r="H171" i="46"/>
  <c r="H19" i="46" s="1"/>
  <c r="O171" i="46"/>
  <c r="N163" i="46"/>
  <c r="N171" i="46" s="1"/>
  <c r="G171" i="46"/>
  <c r="G19" i="46" s="1"/>
  <c r="M163" i="46"/>
  <c r="M171" i="46" s="1"/>
  <c r="F171" i="46"/>
  <c r="F19" i="46" s="1"/>
  <c r="F150" i="46"/>
  <c r="M150" i="46" s="1"/>
  <c r="F156" i="46"/>
  <c r="M156" i="46" s="1"/>
  <c r="F153" i="46"/>
  <c r="M153" i="46" s="1"/>
  <c r="E152" i="46"/>
  <c r="L152" i="46" s="1"/>
  <c r="F157" i="46"/>
  <c r="M157" i="46" s="1"/>
  <c r="F151" i="46"/>
  <c r="M151" i="46" s="1"/>
  <c r="F154" i="46"/>
  <c r="M154" i="46" s="1"/>
  <c r="F155" i="46"/>
  <c r="M155" i="46" s="1"/>
  <c r="N143" i="46"/>
  <c r="N140" i="46"/>
  <c r="N144" i="46"/>
  <c r="N139" i="46"/>
  <c r="N142" i="46"/>
  <c r="N137" i="46"/>
  <c r="N138" i="46"/>
  <c r="N141" i="46"/>
  <c r="F145" i="46"/>
  <c r="F17" i="46" s="1"/>
  <c r="E119" i="46"/>
  <c r="L139" i="46"/>
  <c r="E132" i="46"/>
  <c r="E92" i="46"/>
  <c r="E13" i="46" s="1"/>
  <c r="G105" i="46"/>
  <c r="I105" i="46"/>
  <c r="I14" i="46" s="1"/>
  <c r="F92" i="46"/>
  <c r="G92" i="46"/>
  <c r="G13" i="46" s="1"/>
  <c r="N84" i="46"/>
  <c r="N92" i="46" s="1"/>
  <c r="M97" i="46"/>
  <c r="M105" i="46" s="1"/>
  <c r="F105" i="46"/>
  <c r="F14" i="46" s="1"/>
  <c r="L99" i="46"/>
  <c r="L105" i="46" s="1"/>
  <c r="E105" i="46"/>
  <c r="E14" i="46" s="1"/>
  <c r="H92" i="46"/>
  <c r="H13" i="46" s="1"/>
  <c r="O87" i="46"/>
  <c r="O92" i="46" s="1"/>
  <c r="L92" i="46"/>
  <c r="I92" i="46"/>
  <c r="I13" i="46" s="1"/>
  <c r="P85" i="46"/>
  <c r="P92" i="46" s="1"/>
  <c r="H186" i="46"/>
  <c r="G73" i="47" s="1"/>
  <c r="I186" i="46"/>
  <c r="H73" i="47" s="1"/>
  <c r="O100" i="46"/>
  <c r="O105" i="46" s="1"/>
  <c r="H105" i="46"/>
  <c r="H14" i="46" s="1"/>
  <c r="H93" i="53"/>
  <c r="H94" i="53" s="1"/>
  <c r="H95" i="53" s="1"/>
  <c r="F79" i="46"/>
  <c r="F12" i="46" s="1"/>
  <c r="M71" i="46"/>
  <c r="M79" i="46" s="1"/>
  <c r="N71" i="46"/>
  <c r="N79" i="46" s="1"/>
  <c r="E79" i="46"/>
  <c r="E12" i="46" s="1"/>
  <c r="L73" i="46"/>
  <c r="L79" i="46" s="1"/>
  <c r="H79" i="46"/>
  <c r="H12" i="46" s="1"/>
  <c r="O74" i="46"/>
  <c r="O79" i="46" s="1"/>
  <c r="I79" i="46"/>
  <c r="I12" i="46" s="1"/>
  <c r="P72" i="46"/>
  <c r="P79" i="46" s="1"/>
  <c r="G79" i="46"/>
  <c r="G12" i="46" s="1"/>
  <c r="E34" i="53"/>
  <c r="G30" i="53"/>
  <c r="F33" i="53"/>
  <c r="F34" i="53" s="1"/>
  <c r="F93" i="53"/>
  <c r="F94" i="53" s="1"/>
  <c r="F186" i="46"/>
  <c r="E73" i="47" s="1"/>
  <c r="G186" i="46"/>
  <c r="F73" i="47" s="1"/>
  <c r="G93" i="53"/>
  <c r="G94" i="53" s="1"/>
  <c r="G95" i="53" s="1"/>
  <c r="F27" i="47"/>
  <c r="G15" i="56" l="1"/>
  <c r="G249" i="46"/>
  <c r="F81" i="47" s="1"/>
  <c r="I131" i="53"/>
  <c r="G131" i="53"/>
  <c r="F249" i="46"/>
  <c r="E81" i="47" s="1"/>
  <c r="E130" i="53"/>
  <c r="E15" i="56"/>
  <c r="E236" i="46"/>
  <c r="D80" i="47" s="1"/>
  <c r="I223" i="46"/>
  <c r="H79" i="47" s="1"/>
  <c r="H236" i="46"/>
  <c r="G80" i="47" s="1"/>
  <c r="L23" i="46"/>
  <c r="E159" i="56"/>
  <c r="E18" i="56"/>
  <c r="G150" i="56"/>
  <c r="F145" i="56"/>
  <c r="G23" i="56"/>
  <c r="G235" i="56"/>
  <c r="E235" i="56"/>
  <c r="E23" i="56"/>
  <c r="O235" i="56"/>
  <c r="O23" i="56"/>
  <c r="O24" i="56" s="1"/>
  <c r="F235" i="56"/>
  <c r="F23" i="56"/>
  <c r="N23" i="56"/>
  <c r="N24" i="56" s="1"/>
  <c r="N235" i="56"/>
  <c r="L23" i="56"/>
  <c r="L24" i="56" s="1"/>
  <c r="L235" i="56"/>
  <c r="H235" i="56"/>
  <c r="H23" i="56"/>
  <c r="G154" i="56"/>
  <c r="M235" i="56"/>
  <c r="M23" i="56"/>
  <c r="M24" i="56" s="1"/>
  <c r="G156" i="56"/>
  <c r="I23" i="56"/>
  <c r="I235" i="56"/>
  <c r="G151" i="56"/>
  <c r="G153" i="56"/>
  <c r="G157" i="56"/>
  <c r="E133" i="56"/>
  <c r="E16" i="56"/>
  <c r="F152" i="56"/>
  <c r="F158" i="56" s="1"/>
  <c r="G132" i="56"/>
  <c r="P235" i="56"/>
  <c r="P23" i="56"/>
  <c r="P24" i="56" s="1"/>
  <c r="E146" i="56"/>
  <c r="E17" i="56"/>
  <c r="G155" i="56"/>
  <c r="F132" i="56"/>
  <c r="M106" i="46"/>
  <c r="M14" i="46"/>
  <c r="O106" i="46"/>
  <c r="O14" i="46"/>
  <c r="L80" i="46"/>
  <c r="L12" i="46"/>
  <c r="M172" i="46"/>
  <c r="M19" i="46"/>
  <c r="I129" i="53"/>
  <c r="N80" i="46"/>
  <c r="N12" i="46"/>
  <c r="N223" i="46"/>
  <c r="N21" i="46"/>
  <c r="L106" i="46"/>
  <c r="L14" i="46"/>
  <c r="H130" i="53"/>
  <c r="M80" i="46"/>
  <c r="M12" i="46"/>
  <c r="P93" i="46"/>
  <c r="P13" i="46"/>
  <c r="N172" i="46"/>
  <c r="N19" i="46"/>
  <c r="O172" i="46"/>
  <c r="O19" i="46"/>
  <c r="P172" i="46"/>
  <c r="P19" i="46"/>
  <c r="M223" i="46"/>
  <c r="M21" i="46"/>
  <c r="P80" i="46"/>
  <c r="P12" i="46"/>
  <c r="N93" i="46"/>
  <c r="N13" i="46"/>
  <c r="L223" i="46"/>
  <c r="L21" i="46"/>
  <c r="E249" i="46"/>
  <c r="D81" i="47" s="1"/>
  <c r="O236" i="46"/>
  <c r="O22" i="46"/>
  <c r="L93" i="46"/>
  <c r="L13" i="46"/>
  <c r="O80" i="46"/>
  <c r="O12" i="46"/>
  <c r="O93" i="46"/>
  <c r="O13" i="46"/>
  <c r="E131" i="53"/>
  <c r="E133" i="46"/>
  <c r="D67" i="47" s="1"/>
  <c r="E16" i="46"/>
  <c r="E223" i="46"/>
  <c r="D79" i="47" s="1"/>
  <c r="E21" i="46"/>
  <c r="H129" i="53"/>
  <c r="H21" i="46"/>
  <c r="I81" i="53"/>
  <c r="E172" i="46"/>
  <c r="D70" i="47" s="1"/>
  <c r="E19" i="46"/>
  <c r="H223" i="46"/>
  <c r="G79" i="47" s="1"/>
  <c r="I172" i="46"/>
  <c r="H70" i="47" s="1"/>
  <c r="E120" i="46"/>
  <c r="D66" i="47" s="1"/>
  <c r="E15" i="46"/>
  <c r="G106" i="46"/>
  <c r="F63" i="47" s="1"/>
  <c r="G14" i="46"/>
  <c r="F120" i="46"/>
  <c r="E66" i="47" s="1"/>
  <c r="F15" i="46"/>
  <c r="F93" i="46"/>
  <c r="E62" i="47" s="1"/>
  <c r="F13" i="46"/>
  <c r="E129" i="53"/>
  <c r="F236" i="46"/>
  <c r="E80" i="47" s="1"/>
  <c r="F130" i="53"/>
  <c r="F133" i="53" s="1"/>
  <c r="F134" i="53" s="1"/>
  <c r="G236" i="46"/>
  <c r="F80" i="47" s="1"/>
  <c r="G130" i="53"/>
  <c r="G133" i="53" s="1"/>
  <c r="G134" i="53" s="1"/>
  <c r="M236" i="46"/>
  <c r="N236" i="46"/>
  <c r="I130" i="53"/>
  <c r="I236" i="46"/>
  <c r="H80" i="47" s="1"/>
  <c r="P236" i="46"/>
  <c r="G172" i="46"/>
  <c r="F70" i="47" s="1"/>
  <c r="G81" i="53"/>
  <c r="F172" i="46"/>
  <c r="E70" i="47" s="1"/>
  <c r="F81" i="53"/>
  <c r="H81" i="53"/>
  <c r="H172" i="46"/>
  <c r="G70" i="47" s="1"/>
  <c r="G154" i="46"/>
  <c r="N154" i="46" s="1"/>
  <c r="G153" i="46"/>
  <c r="N153" i="46" s="1"/>
  <c r="G151" i="46"/>
  <c r="N151" i="46" s="1"/>
  <c r="G157" i="46"/>
  <c r="N157" i="46" s="1"/>
  <c r="G156" i="46"/>
  <c r="N156" i="46" s="1"/>
  <c r="L158" i="46"/>
  <c r="E158" i="46"/>
  <c r="E18" i="46" s="1"/>
  <c r="G155" i="46"/>
  <c r="N155" i="46" s="1"/>
  <c r="G132" i="46"/>
  <c r="F152" i="46"/>
  <c r="M152" i="46" s="1"/>
  <c r="G150" i="46"/>
  <c r="N150" i="46" s="1"/>
  <c r="E93" i="46"/>
  <c r="D62" i="47" s="1"/>
  <c r="M145" i="46"/>
  <c r="L145" i="46"/>
  <c r="E145" i="46"/>
  <c r="E17" i="46" s="1"/>
  <c r="F146" i="46"/>
  <c r="E68" i="47" s="1"/>
  <c r="F79" i="53"/>
  <c r="G65" i="53"/>
  <c r="O143" i="46"/>
  <c r="O140" i="46"/>
  <c r="O139" i="46"/>
  <c r="O142" i="46"/>
  <c r="O137" i="46"/>
  <c r="O144" i="46"/>
  <c r="O141" i="46"/>
  <c r="O138" i="46"/>
  <c r="G145" i="46"/>
  <c r="G17" i="46" s="1"/>
  <c r="I106" i="46"/>
  <c r="H63" i="47" s="1"/>
  <c r="F132" i="46"/>
  <c r="I65" i="53"/>
  <c r="H93" i="46"/>
  <c r="G62" i="47" s="1"/>
  <c r="I80" i="46"/>
  <c r="H61" i="47" s="1"/>
  <c r="E65" i="53"/>
  <c r="E106" i="46"/>
  <c r="D63" i="47" s="1"/>
  <c r="E80" i="46"/>
  <c r="D61" i="47" s="1"/>
  <c r="F80" i="46"/>
  <c r="E61" i="47" s="1"/>
  <c r="H65" i="53"/>
  <c r="H106" i="46"/>
  <c r="G63" i="47" s="1"/>
  <c r="G80" i="46"/>
  <c r="F61" i="47" s="1"/>
  <c r="H80" i="46"/>
  <c r="G61" i="47" s="1"/>
  <c r="I93" i="46"/>
  <c r="H62" i="47" s="1"/>
  <c r="F65" i="53"/>
  <c r="F106" i="46"/>
  <c r="E63" i="47" s="1"/>
  <c r="G93" i="46"/>
  <c r="F62" i="47" s="1"/>
  <c r="H30" i="53"/>
  <c r="G33" i="53"/>
  <c r="F95" i="53"/>
  <c r="F18" i="56" l="1"/>
  <c r="F159" i="56"/>
  <c r="H155" i="56"/>
  <c r="I155" i="56"/>
  <c r="I151" i="56"/>
  <c r="H151" i="56"/>
  <c r="I154" i="56"/>
  <c r="H154" i="56"/>
  <c r="G16" i="56"/>
  <c r="G133" i="56"/>
  <c r="G145" i="56"/>
  <c r="I157" i="56"/>
  <c r="H157" i="56"/>
  <c r="H150" i="56"/>
  <c r="I156" i="56"/>
  <c r="H156" i="56"/>
  <c r="F16" i="56"/>
  <c r="F133" i="56"/>
  <c r="G152" i="56"/>
  <c r="G158" i="56" s="1"/>
  <c r="I153" i="56"/>
  <c r="H153" i="56"/>
  <c r="F146" i="56"/>
  <c r="F17" i="56"/>
  <c r="H133" i="53"/>
  <c r="H134" i="53" s="1"/>
  <c r="E133" i="53"/>
  <c r="E134" i="53" s="1"/>
  <c r="L146" i="46"/>
  <c r="L17" i="46"/>
  <c r="M146" i="46"/>
  <c r="M17" i="46"/>
  <c r="L159" i="46"/>
  <c r="L18" i="46"/>
  <c r="I133" i="53"/>
  <c r="I134" i="53" s="1"/>
  <c r="G133" i="46"/>
  <c r="F67" i="47" s="1"/>
  <c r="G16" i="46"/>
  <c r="F133" i="46"/>
  <c r="E67" i="47" s="1"/>
  <c r="F16" i="46"/>
  <c r="F158" i="46"/>
  <c r="I155" i="46"/>
  <c r="P155" i="46" s="1"/>
  <c r="H155" i="46"/>
  <c r="O155" i="46" s="1"/>
  <c r="I157" i="46"/>
  <c r="P157" i="46" s="1"/>
  <c r="H157" i="46"/>
  <c r="O157" i="46" s="1"/>
  <c r="M158" i="46"/>
  <c r="H151" i="46"/>
  <c r="O151" i="46" s="1"/>
  <c r="I151" i="46"/>
  <c r="P151" i="46" s="1"/>
  <c r="E159" i="46"/>
  <c r="D69" i="47" s="1"/>
  <c r="E80" i="53"/>
  <c r="I153" i="46"/>
  <c r="P153" i="46" s="1"/>
  <c r="H153" i="46"/>
  <c r="O153" i="46" s="1"/>
  <c r="I150" i="46"/>
  <c r="P150" i="46" s="1"/>
  <c r="H150" i="46"/>
  <c r="O150" i="46" s="1"/>
  <c r="H132" i="46"/>
  <c r="G152" i="46"/>
  <c r="N152" i="46" s="1"/>
  <c r="I156" i="46"/>
  <c r="P156" i="46" s="1"/>
  <c r="H156" i="46"/>
  <c r="O156" i="46" s="1"/>
  <c r="I154" i="46"/>
  <c r="P154" i="46" s="1"/>
  <c r="H154" i="46"/>
  <c r="O154" i="46" s="1"/>
  <c r="N145" i="46"/>
  <c r="P141" i="46"/>
  <c r="P138" i="46"/>
  <c r="P143" i="46"/>
  <c r="P137" i="46"/>
  <c r="P140" i="46"/>
  <c r="P139" i="46"/>
  <c r="P144" i="46"/>
  <c r="P142" i="46"/>
  <c r="H145" i="46"/>
  <c r="H17" i="46" s="1"/>
  <c r="E146" i="46"/>
  <c r="D68" i="47" s="1"/>
  <c r="E79" i="53"/>
  <c r="G79" i="53"/>
  <c r="G146" i="46"/>
  <c r="F68" i="47" s="1"/>
  <c r="G34" i="53"/>
  <c r="I30" i="53"/>
  <c r="I33" i="53" s="1"/>
  <c r="H33" i="53"/>
  <c r="G159" i="56" l="1"/>
  <c r="G18" i="56"/>
  <c r="H145" i="56"/>
  <c r="I150" i="56"/>
  <c r="I152" i="56"/>
  <c r="H152" i="56"/>
  <c r="H158" i="56" s="1"/>
  <c r="G146" i="56"/>
  <c r="G17" i="56"/>
  <c r="H132" i="56"/>
  <c r="L24" i="46"/>
  <c r="M159" i="46"/>
  <c r="M18" i="46"/>
  <c r="M24" i="46" s="1"/>
  <c r="N146" i="46"/>
  <c r="N17" i="46"/>
  <c r="F159" i="46"/>
  <c r="E69" i="47" s="1"/>
  <c r="F18" i="46"/>
  <c r="H133" i="46"/>
  <c r="G67" i="47" s="1"/>
  <c r="H16" i="46"/>
  <c r="F80" i="53"/>
  <c r="F82" i="53" s="1"/>
  <c r="F83" i="53" s="1"/>
  <c r="E82" i="53"/>
  <c r="E83" i="53" s="1"/>
  <c r="G158" i="46"/>
  <c r="H152" i="46"/>
  <c r="O152" i="46" s="1"/>
  <c r="N158" i="46"/>
  <c r="I145" i="46"/>
  <c r="I17" i="46" s="1"/>
  <c r="H146" i="46"/>
  <c r="G68" i="47" s="1"/>
  <c r="H79" i="53"/>
  <c r="O145" i="46"/>
  <c r="H34" i="53"/>
  <c r="I34" i="53"/>
  <c r="H159" i="56" l="1"/>
  <c r="H18" i="56"/>
  <c r="I145" i="56"/>
  <c r="H146" i="56"/>
  <c r="H17" i="56"/>
  <c r="I158" i="56"/>
  <c r="H133" i="56"/>
  <c r="H16" i="56"/>
  <c r="I132" i="56"/>
  <c r="E38" i="47"/>
  <c r="E44" i="47" s="1"/>
  <c r="D38" i="47"/>
  <c r="D44" i="47" s="1"/>
  <c r="O146" i="46"/>
  <c r="O17" i="46"/>
  <c r="N159" i="46"/>
  <c r="N18" i="46"/>
  <c r="N24" i="46" s="1"/>
  <c r="G159" i="46"/>
  <c r="F69" i="47" s="1"/>
  <c r="G18" i="46"/>
  <c r="G80" i="53"/>
  <c r="G82" i="53" s="1"/>
  <c r="G83" i="53" s="1"/>
  <c r="E176" i="53"/>
  <c r="E177" i="53" s="1"/>
  <c r="E178" i="53" s="1"/>
  <c r="F176" i="53"/>
  <c r="I152" i="46"/>
  <c r="P152" i="46" s="1"/>
  <c r="I132" i="46"/>
  <c r="H158" i="46"/>
  <c r="H18" i="46" s="1"/>
  <c r="O158" i="46"/>
  <c r="I146" i="46"/>
  <c r="H68" i="47" s="1"/>
  <c r="I79" i="53"/>
  <c r="P145" i="46"/>
  <c r="E57" i="47"/>
  <c r="H57" i="47"/>
  <c r="D57" i="47"/>
  <c r="G57" i="47"/>
  <c r="F57" i="47"/>
  <c r="I159" i="56" l="1"/>
  <c r="I18" i="56"/>
  <c r="I146" i="56"/>
  <c r="I17" i="56"/>
  <c r="I133" i="56"/>
  <c r="I16" i="56"/>
  <c r="E40" i="47"/>
  <c r="E39" i="47"/>
  <c r="D39" i="47"/>
  <c r="D46" i="47"/>
  <c r="D45" i="47"/>
  <c r="D40" i="47"/>
  <c r="F38" i="47"/>
  <c r="F40" i="47" s="1"/>
  <c r="P146" i="46"/>
  <c r="P17" i="46"/>
  <c r="O159" i="46"/>
  <c r="O18" i="46"/>
  <c r="O24" i="46" s="1"/>
  <c r="E45" i="47"/>
  <c r="E46" i="47"/>
  <c r="I133" i="46"/>
  <c r="H67" i="47" s="1"/>
  <c r="I16" i="46"/>
  <c r="G176" i="53"/>
  <c r="G177" i="53" s="1"/>
  <c r="F177" i="53"/>
  <c r="F178" i="53" s="1"/>
  <c r="H80" i="53"/>
  <c r="H82" i="53" s="1"/>
  <c r="H159" i="46"/>
  <c r="G69" i="47" s="1"/>
  <c r="P158" i="46"/>
  <c r="I158" i="46"/>
  <c r="I18" i="46" s="1"/>
  <c r="F39" i="47" l="1"/>
  <c r="F44" i="47"/>
  <c r="F46" i="47" s="1"/>
  <c r="G38" i="47"/>
  <c r="G44" i="47" s="1"/>
  <c r="G178" i="53"/>
  <c r="P159" i="46"/>
  <c r="P18" i="46"/>
  <c r="P24" i="46" s="1"/>
  <c r="H83" i="53"/>
  <c r="H176" i="53"/>
  <c r="H177" i="53" s="1"/>
  <c r="I80" i="53"/>
  <c r="I82" i="53" s="1"/>
  <c r="I159" i="46"/>
  <c r="H69" i="47" s="1"/>
  <c r="F45" i="47" l="1"/>
  <c r="H178" i="53"/>
  <c r="G40" i="47"/>
  <c r="G39" i="47"/>
  <c r="H38" i="47"/>
  <c r="H44" i="47" s="1"/>
  <c r="G45" i="47"/>
  <c r="G46" i="47"/>
  <c r="I176" i="53"/>
  <c r="I177" i="53" s="1"/>
  <c r="I83" i="53"/>
  <c r="I178" i="53" l="1"/>
  <c r="H40" i="47"/>
  <c r="H39" i="47"/>
  <c r="H45" i="47"/>
  <c r="H4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6" authorId="0" shapeId="0" xr:uid="{D475FBA6-BD35-45F5-9CAE-3DBD0DE80932}">
      <text>
        <r>
          <rPr>
            <b/>
            <sz val="9"/>
            <color indexed="81"/>
            <rFont val="Tahoma"/>
            <family val="2"/>
          </rPr>
          <t>Author:</t>
        </r>
        <r>
          <rPr>
            <sz val="9"/>
            <color indexed="81"/>
            <rFont val="Tahoma"/>
            <family val="2"/>
          </rPr>
          <t xml:space="preserve">
This is what the current RI template does.
It takes 44,456,850 and applies the growth rates as per the table above.  The rate in each year is different.  
After 5 years, we get 46,263,200 adults.</t>
        </r>
      </text>
    </comment>
    <comment ref="B578" authorId="0" shapeId="0" xr:uid="{2F74ECB2-0371-4C5E-B573-22C31131AD8D}">
      <text>
        <r>
          <rPr>
            <b/>
            <sz val="9"/>
            <color indexed="81"/>
            <rFont val="Tahoma"/>
            <family val="2"/>
          </rPr>
          <t>Author:</t>
        </r>
        <r>
          <rPr>
            <sz val="9"/>
            <color indexed="81"/>
            <rFont val="Tahoma"/>
            <family val="2"/>
          </rPr>
          <t xml:space="preserve">
This takes an average growth rate per year and applies 1/5th of it per year.  
This is NOT what consultation wanted.  </t>
        </r>
      </text>
    </comment>
    <comment ref="B580" authorId="0" shapeId="0" xr:uid="{DAACAB3F-C0FB-4EE2-8B9B-C5EC0A6B4FB4}">
      <text>
        <r>
          <rPr>
            <b/>
            <sz val="9"/>
            <color indexed="81"/>
            <rFont val="Tahoma"/>
            <family val="2"/>
          </rPr>
          <t>Author:</t>
        </r>
        <r>
          <rPr>
            <sz val="9"/>
            <color indexed="81"/>
            <rFont val="Tahoma"/>
            <family val="2"/>
          </rPr>
          <t xml:space="preserve">
This method is what consultation wanted.  They wanted the growth to compound each year.
The same start and end figures are seen.  One same rate is applied in each of the first five years, but it is a compounding rate thus giving the correct value at the end of the five years.</t>
        </r>
      </text>
    </comment>
  </commentList>
</comments>
</file>

<file path=xl/sharedStrings.xml><?xml version="1.0" encoding="utf-8"?>
<sst xmlns="http://schemas.openxmlformats.org/spreadsheetml/2006/main" count="3369" uniqueCount="1299">
  <si>
    <t>Putting NICE guidance into practice</t>
  </si>
  <si>
    <t>Resource impact template:</t>
  </si>
  <si>
    <t>Specialty area</t>
  </si>
  <si>
    <t>Cancer</t>
  </si>
  <si>
    <t>Disease area</t>
  </si>
  <si>
    <t>Pathway position</t>
  </si>
  <si>
    <t>Administration method</t>
  </si>
  <si>
    <t>Provider</t>
  </si>
  <si>
    <t>Secondary care - acute</t>
  </si>
  <si>
    <t>Commissioner</t>
  </si>
  <si>
    <t>Implementation period</t>
  </si>
  <si>
    <t>90 days</t>
  </si>
  <si>
    <t>Contents</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</si>
  <si>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</si>
  <si>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</si>
  <si>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</si>
  <si>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</si>
  <si>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</si>
  <si>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</si>
  <si>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</si>
  <si>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</si>
  <si>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</si>
  <si>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</si>
  <si>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</si>
  <si>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</si>
  <si>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</si>
  <si>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</si>
  <si>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</si>
  <si>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</si>
  <si>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</si>
  <si>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</si>
  <si>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</si>
  <si>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</si>
  <si>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</si>
  <si>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</si>
  <si>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</si>
  <si>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</si>
  <si>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</si>
  <si>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</si>
  <si>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</si>
  <si>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</si>
  <si>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</si>
  <si>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</si>
  <si>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</si>
  <si>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</si>
  <si>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</si>
  <si>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</si>
  <si>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</si>
  <si>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</si>
  <si>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</si>
  <si>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</si>
  <si>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</si>
  <si>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References and data sources</t>
  </si>
  <si>
    <t>Adult population</t>
  </si>
  <si>
    <t>See notes below</t>
  </si>
  <si>
    <t>Do you want to use the NICE estimate of your eligible population?</t>
  </si>
  <si>
    <t>Future practice -
year 1</t>
  </si>
  <si>
    <t>Future practice -
year 2</t>
  </si>
  <si>
    <t>Future practice -
year 3</t>
  </si>
  <si>
    <t>Population growth (100% represents no growth)</t>
  </si>
  <si>
    <t>Disease change in incidence/prevalence (100% represents no growth)</t>
  </si>
  <si>
    <t>Interventions</t>
  </si>
  <si>
    <t>year 1</t>
  </si>
  <si>
    <t>year 2</t>
  </si>
  <si>
    <t>year 3</t>
  </si>
  <si>
    <t>year 4</t>
  </si>
  <si>
    <t>year 5</t>
  </si>
  <si>
    <t>People choosing pembrolizumab + lenvatinib</t>
  </si>
  <si>
    <t>People choosing doxorubicin</t>
  </si>
  <si>
    <t>People choosing paclitaxel</t>
  </si>
  <si>
    <t>Capacity requirements</t>
  </si>
  <si>
    <t>Each type of capacity is assessed in terms of activity (and some by cost) on the Capacity worksheets.</t>
  </si>
  <si>
    <t>Capacity area</t>
  </si>
  <si>
    <t>Unit definition</t>
  </si>
  <si>
    <t>Frequency</t>
  </si>
  <si>
    <t>pembrolizumab + lenvatinib</t>
  </si>
  <si>
    <t>doxorubicin</t>
  </si>
  <si>
    <t>paclitaxel</t>
  </si>
  <si>
    <t>Number of first attendances</t>
  </si>
  <si>
    <t>per patient per visit</t>
  </si>
  <si>
    <t>Number of follow up attendances</t>
  </si>
  <si>
    <t>Band 7 Mid</t>
  </si>
  <si>
    <t>Band 5 Mid</t>
  </si>
  <si>
    <t>Band 8a Mid</t>
  </si>
  <si>
    <t xml:space="preserve">Medical </t>
  </si>
  <si>
    <t>Appointments with specialist</t>
  </si>
  <si>
    <t>per patient/yr</t>
  </si>
  <si>
    <t>Consultant mid</t>
  </si>
  <si>
    <t>Appointments with x specialty</t>
  </si>
  <si>
    <t>pathology / diagnostics / radiology</t>
  </si>
  <si>
    <t>Band 6 Mid</t>
  </si>
  <si>
    <t>Adverse events</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</si>
  <si>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</si>
  <si>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</si>
  <si>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</si>
  <si>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</si>
  <si>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</si>
  <si>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</si>
  <si>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</si>
  <si>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</si>
  <si>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</si>
  <si>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</si>
  <si>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</si>
  <si>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</si>
  <si>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</si>
  <si>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</si>
  <si>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</si>
  <si>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Regimen</t>
  </si>
  <si>
    <t>Cycles</t>
  </si>
  <si>
    <t>Annual cost</t>
  </si>
  <si>
    <t>Administrations</t>
  </si>
  <si>
    <t>Treatment option</t>
  </si>
  <si>
    <t>HRG code</t>
  </si>
  <si>
    <t>HRG description</t>
  </si>
  <si>
    <t>Tariff</t>
  </si>
  <si>
    <t>SB13Z</t>
  </si>
  <si>
    <t>SB13Z Deliver More Complex Parenteral Chemotherapy, at First Attendance</t>
  </si>
  <si>
    <t>SB15Z</t>
  </si>
  <si>
    <t xml:space="preserve">National  </t>
  </si>
  <si>
    <t xml:space="preserve">prices </t>
  </si>
  <si>
    <t>are</t>
  </si>
  <si>
    <t>used</t>
  </si>
  <si>
    <t>on the</t>
  </si>
  <si>
    <t>left.</t>
  </si>
  <si>
    <t>Local</t>
  </si>
  <si>
    <t>prices</t>
  </si>
  <si>
    <t>between</t>
  </si>
  <si>
    <t>MRI imaging</t>
  </si>
  <si>
    <t xml:space="preserve">using </t>
  </si>
  <si>
    <t>local or</t>
  </si>
  <si>
    <t>RD01A</t>
  </si>
  <si>
    <t>national</t>
  </si>
  <si>
    <t>summary</t>
  </si>
  <si>
    <t>worksheet.</t>
  </si>
  <si>
    <t>national prices</t>
  </si>
  <si>
    <t>local prices</t>
  </si>
  <si>
    <t>Anaemia</t>
  </si>
  <si>
    <t>Diarrhoea</t>
  </si>
  <si>
    <t>Fatigue</t>
  </si>
  <si>
    <t>Nausea</t>
  </si>
  <si>
    <t>Neutopenia</t>
  </si>
  <si>
    <t>Vomiting</t>
  </si>
  <si>
    <t>Thrombocytopenia</t>
  </si>
  <si>
    <t>Estimated number of administrations</t>
  </si>
  <si>
    <t>Eligible population and uptake</t>
  </si>
  <si>
    <t>Eligible population</t>
  </si>
  <si>
    <t>Current practice</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</si>
  <si>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</si>
  <si>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</si>
  <si>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</si>
  <si>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</si>
  <si>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</si>
  <si>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</si>
  <si>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</si>
  <si>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</si>
  <si>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</si>
  <si>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</si>
  <si>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</si>
  <si>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</si>
  <si>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Administrations - number of cycles</t>
  </si>
  <si>
    <t>Capacity impact on activity</t>
  </si>
  <si>
    <t>First attendances</t>
  </si>
  <si>
    <t>Follow up attendances</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</si>
  <si>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</si>
  <si>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</si>
  <si>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</si>
  <si>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</si>
  <si>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</si>
  <si>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</si>
  <si>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</si>
  <si>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</si>
  <si>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</si>
  <si>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</si>
  <si>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</si>
  <si>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Appointments with specialist - change</t>
  </si>
  <si>
    <t>Capacity impact on x service</t>
  </si>
  <si>
    <t>Appointments with x specialty - change</t>
  </si>
  <si>
    <t>Capacity impact on pathology/ radiology /diagnostics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</si>
  <si>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</si>
  <si>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</si>
  <si>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</si>
  <si>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</si>
  <si>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</si>
  <si>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</si>
  <si>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</si>
  <si>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</si>
  <si>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</si>
  <si>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</si>
  <si>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</si>
  <si>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</si>
  <si>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</si>
  <si>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</si>
  <si>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</si>
  <si>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</si>
  <si>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</si>
  <si>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</si>
  <si>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</si>
  <si>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</si>
  <si>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</si>
  <si>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</si>
  <si>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</si>
  <si>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</si>
  <si>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</si>
  <si>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</si>
  <si>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</si>
  <si>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</si>
  <si>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</si>
  <si>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</si>
  <si>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</si>
  <si>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</si>
  <si>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</si>
  <si>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</si>
  <si>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</si>
  <si>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</si>
  <si>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</si>
  <si>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</si>
  <si>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</si>
  <si>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</si>
  <si>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</si>
  <si>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</si>
  <si>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</si>
  <si>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</si>
  <si>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</si>
  <si>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</si>
  <si>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</si>
  <si>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</si>
  <si>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</si>
  <si>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</si>
  <si>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</si>
  <si>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</si>
  <si>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</si>
  <si>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</si>
  <si>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</si>
  <si>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</si>
  <si>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</si>
  <si>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</si>
  <si>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</si>
  <si>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</si>
  <si>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</si>
  <si>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</si>
  <si>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</si>
  <si>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</si>
  <si>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</si>
  <si>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</si>
  <si>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</si>
  <si>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</si>
  <si>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</si>
  <si>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</si>
  <si>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</si>
  <si>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</si>
  <si>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</si>
  <si>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</si>
  <si>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</si>
  <si>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</si>
  <si>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</si>
  <si>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</si>
  <si>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</si>
  <si>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</si>
  <si>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</si>
  <si>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</si>
  <si>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</si>
  <si>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</si>
  <si>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</si>
  <si>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</si>
  <si>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</si>
  <si>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</si>
  <si>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</si>
  <si>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</si>
  <si>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</si>
  <si>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</si>
  <si>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</si>
  <si>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</si>
  <si>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</si>
  <si>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</si>
  <si>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</si>
  <si>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</si>
  <si>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</si>
  <si>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</si>
  <si>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</si>
  <si>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</si>
  <si>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</si>
  <si>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</si>
  <si>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</si>
  <si>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</si>
  <si>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</si>
  <si>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</si>
  <si>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</si>
  <si>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</si>
  <si>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</si>
  <si>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</si>
  <si>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</si>
  <si>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</si>
  <si>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</si>
  <si>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</si>
  <si>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</si>
  <si>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</si>
  <si>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</si>
  <si>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</si>
  <si>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</si>
  <si>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</si>
  <si>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</si>
  <si>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</si>
  <si>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</si>
  <si>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</si>
  <si>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</si>
  <si>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</si>
  <si>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</si>
  <si>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</si>
  <si>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</si>
  <si>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</si>
  <si>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</si>
  <si>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</si>
  <si>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</si>
  <si>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</si>
  <si>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</si>
  <si>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</si>
  <si>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</si>
  <si>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</si>
  <si>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</si>
  <si>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</si>
  <si>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</si>
  <si>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</si>
  <si>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</si>
  <si>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</si>
  <si>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</si>
  <si>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</si>
  <si>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</si>
  <si>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</si>
  <si>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</si>
  <si>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</si>
  <si>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</si>
  <si>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</si>
  <si>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</si>
  <si>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</si>
  <si>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</si>
  <si>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</si>
  <si>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</si>
  <si>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</si>
  <si>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</si>
  <si>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</si>
  <si>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</si>
  <si>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</si>
  <si>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</si>
  <si>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</si>
  <si>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</si>
  <si>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</si>
  <si>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</si>
  <si>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</si>
  <si>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</si>
  <si>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</si>
  <si>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</si>
  <si>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</si>
  <si>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</si>
  <si>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</si>
  <si>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</si>
  <si>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</si>
  <si>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</si>
  <si>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</si>
  <si>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</si>
  <si>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</si>
  <si>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</si>
  <si>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</si>
  <si>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</si>
  <si>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</si>
  <si>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</si>
  <si>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</si>
  <si>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</si>
  <si>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</si>
  <si>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</si>
  <si>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</si>
  <si>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</si>
  <si>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</si>
  <si>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</si>
  <si>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</si>
  <si>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</si>
  <si>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</si>
  <si>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</si>
  <si>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</si>
  <si>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</si>
  <si>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</si>
  <si>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</si>
  <si>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</si>
  <si>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</si>
  <si>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</si>
  <si>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</si>
  <si>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</si>
  <si>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</si>
  <si>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</si>
  <si>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</si>
  <si>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</si>
  <si>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</si>
  <si>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</si>
  <si>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</si>
  <si>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</si>
  <si>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</si>
  <si>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</si>
  <si>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</si>
  <si>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</si>
  <si>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</si>
  <si>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</si>
  <si>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</si>
  <si>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</si>
  <si>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</si>
  <si>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</si>
  <si>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</si>
  <si>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</si>
  <si>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</si>
  <si>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</si>
  <si>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</si>
  <si>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</si>
  <si>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</si>
  <si>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</si>
  <si>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</si>
  <si>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</si>
  <si>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</si>
  <si>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</si>
  <si>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</si>
  <si>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</si>
  <si>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</si>
  <si>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</si>
  <si>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</si>
  <si>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</si>
  <si>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</si>
  <si>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</si>
  <si>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</si>
  <si>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</si>
  <si>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</si>
  <si>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</si>
  <si>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</si>
  <si>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</si>
  <si>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</si>
  <si>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</si>
  <si>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</si>
  <si>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</si>
  <si>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</si>
  <si>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</si>
  <si>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</si>
  <si>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</si>
  <si>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</si>
  <si>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</si>
  <si>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</si>
  <si>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</si>
  <si>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</si>
  <si>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</si>
  <si>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</si>
  <si>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</si>
  <si>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</si>
  <si>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</si>
  <si>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</si>
  <si>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</si>
  <si>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</si>
  <si>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</si>
  <si>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</si>
  <si>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</si>
  <si>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</si>
  <si>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</si>
  <si>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</si>
  <si>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</si>
  <si>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</si>
  <si>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</si>
  <si>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</si>
  <si>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</si>
  <si>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</si>
  <si>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</si>
  <si>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</si>
  <si>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</si>
  <si>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</si>
  <si>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</si>
  <si>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</si>
  <si>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</si>
  <si>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</si>
  <si>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</si>
  <si>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</si>
  <si>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</si>
  <si>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</si>
  <si>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</si>
  <si>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</si>
  <si>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</si>
  <si>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</si>
  <si>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</si>
  <si>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</si>
  <si>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</si>
  <si>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</si>
  <si>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</si>
  <si>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</si>
  <si>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</si>
  <si>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</si>
  <si>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</si>
  <si>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</si>
  <si>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</si>
  <si>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</si>
  <si>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</si>
  <si>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</si>
  <si>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</si>
  <si>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</si>
  <si>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</si>
  <si>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</si>
  <si>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</si>
  <si>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</si>
  <si>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</si>
  <si>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</si>
  <si>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</si>
  <si>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</si>
  <si>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</si>
  <si>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</si>
  <si>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</si>
  <si>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</si>
  <si>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</si>
  <si>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</si>
  <si>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</si>
  <si>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</si>
  <si>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</si>
  <si>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</si>
  <si>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</si>
  <si>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</si>
  <si>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</si>
  <si>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</si>
  <si>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</si>
  <si>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</si>
  <si>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</si>
  <si>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</si>
  <si>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</si>
  <si>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</si>
  <si>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</si>
  <si>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</si>
  <si>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</si>
  <si>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</si>
  <si>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</si>
  <si>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</si>
  <si>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</si>
  <si>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</si>
  <si>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</si>
  <si>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</si>
  <si>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</si>
  <si>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</si>
  <si>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</si>
  <si>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</si>
  <si>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</si>
  <si>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</si>
  <si>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</si>
  <si>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</si>
  <si>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</si>
  <si>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</si>
  <si>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</si>
  <si>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</si>
  <si>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</si>
  <si>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</si>
  <si>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</si>
  <si>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</si>
  <si>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</si>
  <si>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</si>
  <si>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</si>
  <si>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</si>
  <si>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</si>
  <si>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</si>
  <si>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</si>
  <si>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</si>
  <si>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</si>
  <si>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</si>
  <si>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</si>
  <si>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</si>
  <si>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</si>
  <si>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</si>
  <si>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</si>
  <si>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</si>
  <si>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</si>
  <si>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</si>
  <si>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</si>
  <si>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</si>
  <si>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</si>
  <si>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</si>
  <si>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</si>
  <si>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</si>
  <si>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</si>
  <si>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</si>
  <si>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</si>
  <si>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</si>
  <si>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</si>
  <si>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</si>
  <si>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</si>
  <si>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</si>
  <si>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</si>
  <si>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</si>
  <si>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</si>
  <si>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</si>
  <si>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</si>
  <si>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</si>
  <si>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</si>
  <si>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</si>
  <si>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</si>
  <si>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</si>
  <si>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</si>
  <si>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</si>
  <si>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</si>
  <si>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</si>
  <si>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</si>
  <si>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</si>
  <si>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</si>
  <si>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</si>
  <si>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</si>
  <si>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</si>
  <si>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</si>
  <si>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</si>
  <si>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</si>
  <si>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</si>
  <si>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</si>
  <si>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</si>
  <si>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</si>
  <si>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</si>
  <si>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</si>
  <si>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</si>
  <si>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</si>
  <si>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</si>
  <si>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</si>
  <si>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</si>
  <si>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</si>
  <si>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</si>
  <si>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</si>
  <si>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</si>
  <si>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</si>
  <si>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</si>
  <si>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</si>
  <si>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</si>
  <si>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</si>
  <si>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</si>
  <si>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</si>
  <si>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</si>
  <si>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</si>
  <si>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</si>
  <si>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</si>
  <si>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</si>
  <si>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</si>
  <si>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</si>
  <si>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</si>
  <si>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</si>
  <si>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</si>
  <si>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</si>
  <si>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</si>
  <si>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</si>
  <si>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</si>
  <si>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</si>
  <si>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</si>
  <si>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</si>
  <si>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</si>
  <si>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</si>
  <si>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</si>
  <si>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</si>
  <si>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</si>
  <si>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</si>
  <si>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</si>
  <si>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</si>
  <si>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</si>
  <si>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</si>
  <si>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</si>
  <si>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</si>
  <si>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</si>
  <si>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</si>
  <si>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</si>
  <si>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</si>
  <si>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</si>
  <si>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</si>
  <si>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</si>
  <si>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</si>
  <si>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</si>
  <si>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</si>
  <si>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</si>
  <si>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</si>
  <si>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</si>
  <si>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</si>
  <si>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</si>
  <si>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</si>
  <si>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</si>
  <si>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</si>
  <si>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</si>
  <si>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</si>
  <si>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</si>
  <si>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</si>
  <si>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</si>
  <si>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</si>
  <si>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</si>
  <si>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</si>
  <si>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</si>
  <si>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</si>
  <si>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</si>
  <si>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</si>
  <si>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</si>
  <si>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</si>
  <si>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</si>
  <si>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</si>
  <si>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</si>
  <si>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</si>
  <si>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</si>
  <si>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</si>
  <si>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</si>
  <si>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</si>
  <si>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</si>
  <si>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</si>
  <si>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</si>
  <si>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</si>
  <si>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</si>
  <si>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</si>
  <si>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</si>
  <si>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</si>
  <si>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</si>
  <si>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</si>
  <si>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</si>
  <si>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</si>
  <si>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</si>
  <si>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</si>
  <si>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</si>
  <si>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</si>
  <si>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</si>
  <si>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</si>
  <si>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</si>
  <si>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</si>
  <si>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</si>
  <si>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</si>
  <si>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</si>
  <si>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</si>
  <si>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</si>
  <si>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</si>
  <si>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</si>
  <si>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</si>
  <si>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</si>
  <si>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</si>
  <si>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</si>
  <si>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</si>
  <si>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</si>
  <si>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</si>
  <si>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</si>
  <si>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</si>
  <si>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</si>
  <si>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</si>
  <si>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</si>
  <si>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</si>
  <si>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</si>
  <si>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</si>
  <si>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</si>
  <si>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</si>
  <si>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</si>
  <si>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</si>
  <si>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</si>
  <si>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</si>
  <si>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</si>
  <si>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</si>
  <si>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</si>
  <si>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</si>
  <si>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</si>
  <si>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</si>
  <si>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</si>
  <si>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</si>
  <si>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</si>
  <si>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</si>
  <si>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</si>
  <si>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</si>
  <si>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</si>
  <si>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</si>
  <si>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</si>
  <si>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</si>
  <si>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</si>
  <si>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</si>
  <si>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</si>
  <si>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</si>
  <si>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</si>
  <si>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</si>
  <si>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</si>
  <si>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</si>
  <si>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</si>
  <si>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</si>
  <si>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</si>
  <si>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</si>
  <si>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</si>
  <si>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</si>
  <si>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</si>
  <si>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</si>
  <si>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</si>
  <si>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</si>
  <si>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</si>
  <si>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</si>
  <si>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</si>
  <si>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</si>
  <si>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</si>
  <si>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eligible population</t>
  </si>
  <si>
    <t>sheet cell F18</t>
  </si>
  <si>
    <t>This is the compound</t>
  </si>
  <si>
    <t>now</t>
  </si>
  <si>
    <t>growth rate</t>
  </si>
  <si>
    <t>ave applied per year</t>
  </si>
  <si>
    <t>compound 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</si>
  <si>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</si>
  <si>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</si>
  <si>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</si>
  <si>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</si>
  <si>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</si>
  <si>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</si>
  <si>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</si>
  <si>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</si>
  <si>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Drug resource impact (cash) year on year</t>
  </si>
  <si>
    <t>This sheet shows the capacity impact of the guidance.</t>
  </si>
  <si>
    <t>Summary table</t>
  </si>
  <si>
    <t>Each item of capacity is modelled in an individual table below to give an overall estimate of resource impact</t>
  </si>
  <si>
    <t xml:space="preserve">Administrations  </t>
  </si>
  <si>
    <t>Number per patient per year</t>
  </si>
  <si>
    <t>Administrations - change in number of attendances current practice</t>
  </si>
  <si>
    <t>Number of cycles</t>
  </si>
  <si>
    <t>Administrations cycles per year - change to current practice</t>
  </si>
  <si>
    <t>Nursing staffing</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</si>
  <si>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</si>
  <si>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</si>
  <si>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</si>
  <si>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</si>
  <si>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</si>
  <si>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</si>
  <si>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</si>
  <si>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</si>
  <si>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</si>
  <si>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</si>
  <si>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</si>
  <si>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Bought-in aseptic unit preparations, pharmacy time (hours)</t>
  </si>
  <si>
    <t>Drug regimen prep (hours)</t>
  </si>
  <si>
    <t>Oncology medical staffing</t>
  </si>
  <si>
    <t>Appointments with specialist - change to current practice</t>
  </si>
  <si>
    <t>X specialty</t>
  </si>
  <si>
    <t>Appointments with x specialty - change to current practice</t>
  </si>
  <si>
    <t>Pathology/ radiology/ diagnostics</t>
  </si>
  <si>
    <t>Imaging MRI scans</t>
  </si>
  <si>
    <t>Adverse events, various (cases)</t>
  </si>
  <si>
    <t>Adverse events - change to current practice</t>
  </si>
  <si>
    <t>Base (non-London)</t>
  </si>
  <si>
    <t>Band</t>
  </si>
  <si>
    <t>Code</t>
  </si>
  <si>
    <t>AfC Salary</t>
  </si>
  <si>
    <t>NI (13.8%)</t>
  </si>
  <si>
    <t>Apprenticeship levy (0.5%)</t>
  </si>
  <si>
    <t>Pension (20.68%)</t>
  </si>
  <si>
    <t>Salary cost with oncosts</t>
  </si>
  <si>
    <t>HCAS</t>
  </si>
  <si>
    <t>Enhancements Mon-Fri</t>
  </si>
  <si>
    <t>Enhancements Sun</t>
  </si>
  <si>
    <t>Hours worked</t>
  </si>
  <si>
    <t>Hourly rate</t>
  </si>
  <si>
    <t>XR0201</t>
  </si>
  <si>
    <t>XR0202</t>
  </si>
  <si>
    <t>XR0203</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</si>
  <si>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</si>
  <si>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</si>
  <si>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</si>
  <si>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</si>
  <si>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</si>
  <si>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</si>
  <si>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</si>
  <si>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</si>
  <si>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</si>
  <si>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</si>
  <si>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</si>
  <si>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</si>
  <si>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</si>
  <si>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</si>
  <si>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</si>
  <si>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</si>
  <si>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</si>
  <si>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</si>
  <si>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</si>
  <si>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</si>
  <si>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</si>
  <si>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</si>
  <si>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</si>
  <si>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</si>
  <si>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</si>
  <si>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</si>
  <si>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</si>
  <si>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</si>
  <si>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</si>
  <si>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</si>
  <si>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</si>
  <si>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</si>
  <si>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</si>
  <si>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</si>
  <si>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</si>
  <si>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</si>
  <si>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</si>
  <si>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</si>
  <si>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</si>
  <si>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</si>
  <si>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</si>
  <si>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</si>
  <si>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</si>
  <si>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</si>
  <si>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</si>
  <si>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</si>
  <si>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</si>
  <si>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</si>
  <si>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</si>
  <si>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</si>
  <si>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</si>
  <si>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</si>
  <si>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</si>
  <si>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</si>
  <si>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</si>
  <si>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</si>
  <si>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</si>
  <si>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</si>
  <si>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</si>
  <si>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</si>
  <si>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</si>
  <si>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</si>
  <si>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</si>
  <si>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</si>
  <si>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</si>
  <si>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</si>
  <si>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</si>
  <si>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</si>
  <si>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</si>
  <si>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</si>
  <si>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</si>
  <si>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</si>
  <si>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</si>
  <si>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</si>
  <si>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</si>
  <si>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</si>
  <si>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</si>
  <si>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</si>
  <si>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</si>
  <si>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A&amp;C assumed to work 1560 hours per year after bank holidays, average sickness and training days</t>
  </si>
  <si>
    <t>XR0704</t>
  </si>
  <si>
    <t xml:space="preserve">Medical assumed to work 1344 hours per year after bank holidays, average sickness and CPD </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</si>
  <si>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</si>
  <si>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</si>
  <si>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</si>
  <si>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</si>
  <si>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</si>
  <si>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</si>
  <si>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</si>
  <si>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</si>
  <si>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</si>
  <si>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</si>
  <si>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</si>
  <si>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</si>
  <si>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</si>
  <si>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</si>
  <si>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</si>
  <si>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</si>
  <si>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</si>
  <si>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</si>
  <si>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</si>
  <si>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</si>
  <si>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</si>
  <si>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</si>
  <si>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</si>
  <si>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</si>
  <si>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</si>
  <si>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</si>
  <si>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</si>
  <si>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</si>
  <si>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</si>
  <si>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</si>
  <si>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</si>
  <si>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</si>
  <si>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</si>
  <si>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</si>
  <si>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</si>
  <si>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</si>
  <si>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</si>
  <si>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</si>
  <si>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</si>
  <si>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</si>
  <si>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</si>
  <si>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</si>
  <si>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</si>
  <si>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</si>
  <si>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</si>
  <si>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</si>
  <si>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</si>
  <si>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</si>
  <si>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</si>
  <si>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</si>
  <si>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</si>
  <si>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Basis upon which cost is calculated is</t>
  </si>
  <si>
    <t>Administration cost workings - using national prices</t>
  </si>
  <si>
    <t>HRG</t>
  </si>
  <si>
    <t>Description</t>
  </si>
  <si>
    <t>Unit cost</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</si>
  <si>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</si>
  <si>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</si>
  <si>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</si>
  <si>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</si>
  <si>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</si>
  <si>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</si>
  <si>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Cost per hour of staffing applied to cost per hour to administer</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</si>
  <si>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</si>
  <si>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</si>
  <si>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</si>
  <si>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</si>
  <si>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</si>
  <si>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</si>
  <si>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</si>
  <si>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</si>
  <si>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</si>
  <si>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prep before administration (hourly cost)</t>
  </si>
  <si>
    <t>Use a weighted cost based on grades of staff (eg 50% band 5, 50% band 3) who do this task</t>
  </si>
  <si>
    <t>Nursing post administration (hourly cost)</t>
  </si>
  <si>
    <t>Capacity financial impact on nursing</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</si>
  <si>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</si>
  <si>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</si>
  <si>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</si>
  <si>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</si>
  <si>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</si>
  <si>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</si>
  <si>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</si>
  <si>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</si>
  <si>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</si>
  <si>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</si>
  <si>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</si>
  <si>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</si>
  <si>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</si>
  <si>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Cost per year</t>
  </si>
  <si>
    <t>Capacity financial impact on oncology medical staffing / year to current practice</t>
  </si>
  <si>
    <t>X service staffing</t>
  </si>
  <si>
    <t xml:space="preserve">Hepatologist.  30 min appointment </t>
  </si>
  <si>
    <t xml:space="preserve">Appointments with x specialty </t>
  </si>
  <si>
    <t>Capacity financial impact on x service / year to current practice</t>
  </si>
  <si>
    <t>Pathology / radiology / diagnostics</t>
  </si>
  <si>
    <t>Pathology /radiology /diagnostics cost workings - using national prices</t>
  </si>
  <si>
    <t>Activity</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</si>
  <si>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</si>
  <si>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</si>
  <si>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</si>
  <si>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</si>
  <si>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</si>
  <si>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</si>
  <si>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</si>
  <si>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</si>
  <si>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</si>
  <si>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</si>
  <si>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</si>
  <si>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</si>
  <si>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</si>
  <si>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</si>
  <si>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</si>
  <si>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</si>
  <si>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</si>
  <si>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</si>
  <si>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</si>
  <si>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</si>
  <si>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</si>
  <si>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</si>
  <si>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</si>
  <si>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</si>
  <si>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</si>
  <si>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</si>
  <si>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</si>
  <si>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</si>
  <si>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</si>
  <si>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</si>
  <si>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</si>
  <si>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</si>
  <si>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</si>
  <si>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</si>
  <si>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</si>
  <si>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</si>
  <si>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</si>
  <si>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</si>
  <si>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</si>
  <si>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</si>
  <si>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</si>
  <si>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</si>
  <si>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</si>
  <si>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</si>
  <si>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</si>
  <si>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</si>
  <si>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</si>
  <si>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</si>
  <si>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</si>
  <si>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</si>
  <si>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</si>
  <si>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</si>
  <si>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</si>
  <si>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</si>
  <si>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</si>
  <si>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</si>
  <si>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</si>
  <si>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</si>
  <si>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</si>
  <si>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</si>
  <si>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</si>
  <si>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</si>
  <si>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</si>
  <si>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</si>
  <si>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</si>
  <si>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</si>
  <si>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</si>
  <si>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</si>
  <si>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</si>
  <si>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</si>
  <si>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</si>
  <si>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</si>
  <si>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</si>
  <si>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</si>
  <si>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</si>
  <si>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</si>
  <si>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</si>
  <si>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breast</t>
  </si>
  <si>
    <t>Tumour profiling tests to guide adjuvant chemotherapy decisions in lymph node positive early breast cancer</t>
  </si>
  <si>
    <t xml:space="preserve">Tumour profiling tests to guide adjuvant chemotherapy </t>
  </si>
  <si>
    <t>decisions in lymph node positive early breast cancer</t>
  </si>
  <si>
    <t>N/A</t>
  </si>
  <si>
    <t>Test used to aid decision making when chemotherapy treatment is being considered</t>
  </si>
  <si>
    <r>
      <t xml:space="preserve">cancer registration statistics for England 2021-summary counts as @ 29/11/2023 </t>
    </r>
    <r>
      <rPr>
        <sz val="11"/>
        <rFont val="Calibri"/>
        <family val="2"/>
      </rPr>
      <t>split of 352 males and  49,423 females</t>
    </r>
  </si>
  <si>
    <r>
      <rPr>
        <b/>
        <sz val="11"/>
        <rFont val="Calibri"/>
        <family val="2"/>
        <scheme val="minor"/>
      </rPr>
      <t>Adult population</t>
    </r>
    <r>
      <rPr>
        <sz val="11"/>
        <rFont val="Calibri"/>
        <family val="2"/>
        <scheme val="minor"/>
      </rPr>
      <t xml:space="preserve"> forecast in future</t>
    </r>
  </si>
  <si>
    <t xml:space="preserve">Breast cancer diagnoses per year </t>
  </si>
  <si>
    <t>People with early and locally advanced disease</t>
  </si>
  <si>
    <t xml:space="preserve">cancer registration statistics for England 2021-summary counts as @ 29/11/2023 -proportion of stage 1 or stage 2 diagnosis </t>
  </si>
  <si>
    <t>Proportion of people with hormone receptor positive, HER2 negative disease</t>
  </si>
  <si>
    <r>
      <rPr>
        <sz val="11"/>
        <rFont val="Calibri"/>
        <family val="2"/>
      </rPr>
      <t>Midpoint of Howlader et al, 2014 , and DeKovan et al, 2012 as used in</t>
    </r>
    <r>
      <rPr>
        <u/>
        <sz val="11"/>
        <color theme="10"/>
        <rFont val="Calibri"/>
        <family val="2"/>
      </rPr>
      <t xml:space="preserve"> TA810 </t>
    </r>
  </si>
  <si>
    <t xml:space="preserve">Proportion that will be lymph node positive </t>
  </si>
  <si>
    <r>
      <t xml:space="preserve">Report from Association of Breast Surgery  </t>
    </r>
    <r>
      <rPr>
        <sz val="11"/>
        <rFont val="Calibri"/>
        <family val="2"/>
      </rPr>
      <t>- table 76, page 58</t>
    </r>
  </si>
  <si>
    <t>Proportion that are deemed to be fit enough for chemotherapy treatment</t>
  </si>
  <si>
    <t xml:space="preserve">Clinical expert opinion </t>
  </si>
  <si>
    <t>Proportion that will consider having chemotherapy treatment</t>
  </si>
  <si>
    <t>Proportion that will be not deemed to be premenopausal</t>
  </si>
  <si>
    <t xml:space="preserve">Midpoint of Kalinsky et al (2021) and Holt et al (2023) and adjusted to take account of  49,423 of the 49,775 incidences occurring in women </t>
  </si>
  <si>
    <t>Eligible population for testing</t>
  </si>
  <si>
    <t xml:space="preserve">Proportion tested </t>
  </si>
  <si>
    <t>Proportion not tested</t>
  </si>
  <si>
    <t>Tests</t>
  </si>
  <si>
    <t xml:space="preserve">No test </t>
  </si>
  <si>
    <t>Future practice -  (with population growth/disease change input) - year 5</t>
  </si>
  <si>
    <t>Numbers tested</t>
  </si>
  <si>
    <t>Numbers not tested</t>
  </si>
  <si>
    <t>local input</t>
  </si>
  <si>
    <t xml:space="preserve">Test using EndoPredict </t>
  </si>
  <si>
    <t>Test using Oncotype DX</t>
  </si>
  <si>
    <t>Current Practice</t>
  </si>
  <si>
    <t>Total</t>
  </si>
  <si>
    <t xml:space="preserve">Portion having chemotherapy </t>
  </si>
  <si>
    <t>FEC100+T</t>
  </si>
  <si>
    <t>TC</t>
  </si>
  <si>
    <t>EC90/T75</t>
  </si>
  <si>
    <t>C-D</t>
  </si>
  <si>
    <t>TAC</t>
  </si>
  <si>
    <t>Accelerated EC/P</t>
  </si>
  <si>
    <t xml:space="preserve">Weekly P </t>
  </si>
  <si>
    <t xml:space="preserve">EC/weekly P </t>
  </si>
  <si>
    <t>Drug costs of FEC100+T (3+3 cycles)</t>
  </si>
  <si>
    <t xml:space="preserve">Portion drugs apply to </t>
  </si>
  <si>
    <t xml:space="preserve">Pack size (mg) </t>
  </si>
  <si>
    <t>Cost per pack (excluding VAT) (£)</t>
  </si>
  <si>
    <t>Dose per administration</t>
  </si>
  <si>
    <t xml:space="preserve">Doses per course </t>
  </si>
  <si>
    <t xml:space="preserve">Number of packs per administration </t>
  </si>
  <si>
    <t>Drug costs (£)</t>
  </si>
  <si>
    <t>VAT if applicable</t>
  </si>
  <si>
    <t>Total cost of treatment (including VAT) (£)</t>
  </si>
  <si>
    <t>Fluorouracil 500mg/10ml (5%) solution for infusion vials</t>
  </si>
  <si>
    <t>Epirubicin 50mg</t>
  </si>
  <si>
    <t>Cyclophosphamide 1g powder for solution for injection vials</t>
  </si>
  <si>
    <t xml:space="preserve">Docetaxel 160mg/8ml solution for infusion vials </t>
  </si>
  <si>
    <t>Docetaxel 20mg</t>
  </si>
  <si>
    <t>Supportive meds: Aprepitant (anti-emetic) pre- made pack</t>
  </si>
  <si>
    <t>Filgrastim 300mcg/0.5ml solution for injection pre-filled syringes</t>
  </si>
  <si>
    <t>Filgrastim 480mcg/0.5ml solution for injection pre-filled syringes</t>
  </si>
  <si>
    <t xml:space="preserve">Administration costs </t>
  </si>
  <si>
    <t>Cost per administration (local input)</t>
  </si>
  <si>
    <t>VAT</t>
  </si>
  <si>
    <t>Total cost of treatment</t>
  </si>
  <si>
    <t>Drug costs of TC (4 cycles)</t>
  </si>
  <si>
    <t>Cyclophosphamide 500mg powder for solution for injection vials</t>
  </si>
  <si>
    <t>Supportive meds: Aprepitant (anti-emetic)</t>
  </si>
  <si>
    <t>Drug costs of EC90/T75 (4+4 cycles)</t>
  </si>
  <si>
    <t>Epirubicin 50mg/25ml solution for injection vials</t>
  </si>
  <si>
    <t>Drug costs of C-D (6 cycles)</t>
  </si>
  <si>
    <t>Carboplatin 600mg/60ml concentrate for solution for infusion vials</t>
  </si>
  <si>
    <t>Drug costs of TAC (6 cycles)</t>
  </si>
  <si>
    <t>Doxorubicin 200mg/100ml solution for infusion vials</t>
  </si>
  <si>
    <t>Drug costs of EC90/P (4+4 cycles)</t>
  </si>
  <si>
    <t>Paclitaxel 150mg/25ml solution for infusion vials  /  Packsize 1</t>
  </si>
  <si>
    <t>Drug costs of weekly P (12 weeks)</t>
  </si>
  <si>
    <t>Drug costs of EC90/weekly P (4 cycles, 12 weeks)</t>
  </si>
  <si>
    <t xml:space="preserve">Unit costs of testing </t>
  </si>
  <si>
    <t>The cost of tests are commercial in confidence.   Users should input prices locally in the blue cells.</t>
  </si>
  <si>
    <t xml:space="preserve">Test </t>
  </si>
  <si>
    <t xml:space="preserve">Price </t>
  </si>
  <si>
    <t xml:space="preserve">Total cost </t>
  </si>
  <si>
    <t xml:space="preserve">EndoPredict </t>
  </si>
  <si>
    <t>Oncotype DX</t>
  </si>
  <si>
    <t xml:space="preserve">Chemotherapy costs </t>
  </si>
  <si>
    <t xml:space="preserve">Pharmacy costs </t>
  </si>
  <si>
    <t xml:space="preserve">IV administration costs </t>
  </si>
  <si>
    <t>Costs taken from economic assessment report, which used Ward et al as a basis</t>
  </si>
  <si>
    <t xml:space="preserve">Treatment option </t>
  </si>
  <si>
    <t xml:space="preserve">HRG Code </t>
  </si>
  <si>
    <t xml:space="preserve"> Deliver more complex chemotherapy at first attendance</t>
  </si>
  <si>
    <t xml:space="preserve"> Deliver subsequent elements of a chemotherapy cycle</t>
  </si>
  <si>
    <t xml:space="preserve">WF01A </t>
  </si>
  <si>
    <t>Medical Oncology Service - service code 370</t>
  </si>
  <si>
    <t>Based on 2023/25 National  Payment Scheme -  23/24 prices</t>
  </si>
  <si>
    <t>NHS England » 2023-25 NHS Payment Scheme</t>
  </si>
  <si>
    <t>Medical oncology service - outpatients 
Follow Up Attendance - 
Single Professional (consultant led)</t>
  </si>
  <si>
    <t>Medical oncology service - outpatients 
Follow Up Attendance - 
Single Professional (non consultant led)</t>
  </si>
  <si>
    <t>Appointments with specialist- consultant led</t>
  </si>
  <si>
    <t>Haematology</t>
  </si>
  <si>
    <t>DAPS05</t>
  </si>
  <si>
    <t>DAPS04</t>
  </si>
  <si>
    <r>
      <rPr>
        <sz val="11"/>
        <rFont val="Arial"/>
        <family val="2"/>
      </rPr>
      <t>Aside from filgrastim all drug costs below are taken from the</t>
    </r>
    <r>
      <rPr>
        <u/>
        <sz val="11"/>
        <color theme="10"/>
        <rFont val="Arial"/>
        <family val="2"/>
      </rPr>
      <t xml:space="preserve"> eMIT</t>
    </r>
  </si>
  <si>
    <r>
      <rPr>
        <sz val="11"/>
        <rFont val="Arial"/>
        <family val="2"/>
      </rPr>
      <t>Filgrastim costs taken from</t>
    </r>
    <r>
      <rPr>
        <u/>
        <sz val="11"/>
        <color theme="10"/>
        <rFont val="Arial"/>
        <family val="2"/>
      </rPr>
      <t xml:space="preserve"> National Drug Tariff</t>
    </r>
  </si>
  <si>
    <t>Clinical biochemistry</t>
  </si>
  <si>
    <t>Cost</t>
  </si>
  <si>
    <t>Electrocardiogram Monitoring or Stress Testing</t>
  </si>
  <si>
    <t>EY51Z</t>
  </si>
  <si>
    <t>Cost for EY51Z based on 2023/25 National  Payment Scheme -  23/24 prices</t>
  </si>
  <si>
    <t>Drug regimen prep- cost per administration</t>
  </si>
  <si>
    <t>Scheduling</t>
  </si>
  <si>
    <t>Nursing</t>
  </si>
  <si>
    <t>Testing  - people choosing treatment options</t>
  </si>
  <si>
    <t>People being tested using EndoPredict</t>
  </si>
  <si>
    <t>People being tested using Oncotype DX</t>
  </si>
  <si>
    <t>People being treated with chemotherapy</t>
  </si>
  <si>
    <t xml:space="preserve">Costs for DAPS05 and DAPS04 obtained from the economic model </t>
  </si>
  <si>
    <t>Portion tested</t>
  </si>
  <si>
    <t xml:space="preserve">Portion not tested </t>
  </si>
  <si>
    <t xml:space="preserve">Testing costs </t>
  </si>
  <si>
    <t>Chemotherapy costs</t>
  </si>
  <si>
    <t xml:space="preserve">Capacity impact </t>
  </si>
  <si>
    <t>Number of people</t>
  </si>
  <si>
    <t>Proportions having chemotherapy</t>
  </si>
  <si>
    <t>Total people</t>
  </si>
  <si>
    <t>Testing  costs</t>
  </si>
  <si>
    <t>Current practice £'000</t>
  </si>
  <si>
    <t>year 1 £'000</t>
  </si>
  <si>
    <t>year 2 £'000</t>
  </si>
  <si>
    <t>year 3 £'000</t>
  </si>
  <si>
    <t>year 4 £'000</t>
  </si>
  <si>
    <t>year 5 £'000</t>
  </si>
  <si>
    <t>Treatment options</t>
  </si>
  <si>
    <t>Treatment options - number of people</t>
  </si>
  <si>
    <t>Chemotherapy treatments - number of people</t>
  </si>
  <si>
    <t>Total cost</t>
  </si>
  <si>
    <t>Number of cycles per treatment</t>
  </si>
  <si>
    <t>Number of cycles per person</t>
  </si>
  <si>
    <t>Infusion time per cycle</t>
  </si>
  <si>
    <t>Hours per cycle</t>
  </si>
  <si>
    <t>Duration of administration
(hours)</t>
  </si>
  <si>
    <t>Staff grade</t>
  </si>
  <si>
    <t>Hourly cost</t>
  </si>
  <si>
    <t>pharmacy</t>
  </si>
  <si>
    <t>In-house number of aseptic unit preparations</t>
  </si>
  <si>
    <t>Bought-in number of aseptic unit preparations</t>
  </si>
  <si>
    <t>Preparation time before administration
(hours)</t>
  </si>
  <si>
    <t>Current practice - 
year 0 £000</t>
  </si>
  <si>
    <t>Future practice -
year 1 £000</t>
  </si>
  <si>
    <t>Future practice -
year 2 £000</t>
  </si>
  <si>
    <t>Future practice -year 3 £000</t>
  </si>
  <si>
    <t>Future practice - year 4 £000</t>
  </si>
  <si>
    <t>Future practice - year 5 £000</t>
  </si>
  <si>
    <t>Total follow up attendances</t>
  </si>
  <si>
    <t>Total first attendances</t>
  </si>
  <si>
    <t>Infusion time (hours)</t>
  </si>
  <si>
    <t>per patient per treatment</t>
  </si>
  <si>
    <t>Number of treatments</t>
  </si>
  <si>
    <t>Health economic cost</t>
  </si>
  <si>
    <t>per patient tests per treatment</t>
  </si>
  <si>
    <t>Haematology tests - change in number to current practice</t>
  </si>
  <si>
    <t>Electrocardiogram/Stress Tests - change in number to current practice</t>
  </si>
  <si>
    <t>Clinical biochemistry - change in number to current practice</t>
  </si>
  <si>
    <t>Administrations - duration of infusion time (hours)</t>
  </si>
  <si>
    <t>Bought-in number of aseptic unit preparations - hours</t>
  </si>
  <si>
    <t>In-house number of aseptic unit preparations - hours</t>
  </si>
  <si>
    <t>Drug regimen prep number and cost per administration</t>
  </si>
  <si>
    <t>Increase/decrease in cost to current practice</t>
  </si>
  <si>
    <t>All treatment options</t>
  </si>
  <si>
    <t>per appointment time in minutes</t>
  </si>
  <si>
    <t>Future practice -year 4</t>
  </si>
  <si>
    <t>Future practice -year 5</t>
  </si>
  <si>
    <t>Prosigna</t>
  </si>
  <si>
    <t>Test using Prosigna</t>
  </si>
  <si>
    <t>People being tested using Prosigna</t>
  </si>
  <si>
    <t xml:space="preserve">Chemotherapy treatments </t>
  </si>
  <si>
    <r>
      <t xml:space="preserve">This section considers different types of capacity impact, grouped by colour.  Enter data in blue cells for each data type. </t>
    </r>
    <r>
      <rPr>
        <b/>
        <sz val="11"/>
        <color theme="1"/>
        <rFont val="Calibri"/>
        <family val="2"/>
        <scheme val="minor"/>
      </rPr>
      <t>Where assumptions are zero information has not been available</t>
    </r>
  </si>
  <si>
    <t>are shown on the inputs</t>
  </si>
  <si>
    <t xml:space="preserve">and eligible population </t>
  </si>
  <si>
    <t>Users can switch</t>
  </si>
  <si>
    <t>Appointment times with specialist</t>
  </si>
  <si>
    <t>Appointment times with specialist - hours</t>
  </si>
  <si>
    <t>Numbers of treatment cycles, infusion time, appointments per person and tests taken from economic model that supports the guidance.  30 minute appointment time assumed.</t>
  </si>
  <si>
    <t>© NICE 2024. All rights reserved. Subject to Notice of rights.</t>
  </si>
  <si>
    <t>Drug quantities and administration requirements taken from the economic assessment report</t>
  </si>
  <si>
    <t>Neutropenia</t>
  </si>
  <si>
    <t>Costs (Inc. on costs)</t>
  </si>
  <si>
    <t>Bottom, mid, top; 
band and point on scale</t>
  </si>
  <si>
    <t xml:space="preserve">&lt;Spare Row&gt; </t>
  </si>
  <si>
    <t>Drug and testing resource impact (cash) year on year</t>
  </si>
  <si>
    <t>handling time per prep (hours)</t>
  </si>
  <si>
    <t>per patient tests per  treatment</t>
  </si>
  <si>
    <t>Tumour profiling tests are commissioned by providers and reimbursed by NHS England.</t>
  </si>
  <si>
    <t>In-house aseptic unit preparations handling (hours)</t>
  </si>
  <si>
    <t>Bought-in aseptic unit preparations handling (hours)</t>
  </si>
  <si>
    <t>Drug regimen prep (number)</t>
  </si>
  <si>
    <t>DG58</t>
  </si>
  <si>
    <t>Published: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</si>
</sst>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0.0"/>
  </numFmts>
  <fonts count="9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11"/>
      <color rgb="FFFF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
      <b/>
      <u/>
      <sz val="11"/>
      <color theme="1"/>
      <name val="Calibri"/>
      <family val="2"/>
      <scheme val="minor"/>
    </font>
    <font>
      <b/>
      <sz val="11"/>
      <name val="Calibri"/>
      <family val="2"/>
    </font>
    <font>
      <b/>
      <sz val="11"/>
      <color theme="1"/>
      <name val="Calibri"/>
      <family val="2"/>
    </font>
    <font>
      <b/>
      <sz val="10"/>
      <color rgb="FFFF0000"/>
      <name val="Arial"/>
      <family val="2"/>
    </font>
    <font>
      <sz val="10"/>
      <color rgb="FFFF0000"/>
      <name val="Arial"/>
      <family val="2"/>
    </font>
    <font>
      <b/>
      <sz val="10"/>
      <color theme="0"/>
      <name val="Arial"/>
      <family val="2"/>
    </font>
    <font>
      <sz val="11"/>
      <color rgb="FF000000"/>
      <name val="Arial"/>
      <family val="2"/>
    </font>
    <font>
      <sz val="16"/>
      <color theme="0"/>
      <name val="Arial"/>
      <family val="2"/>
    </font>
    <font>
      <b/>
      <u/>
      <sz val="11"/>
      <color theme="10"/>
      <name val="Arial"/>
      <family val="2"/>
    </font>
    <font>
      <u/>
      <sz val="11"/>
      <color theme="10"/>
      <name val="Arial"/>
      <family val="2"/>
    </font>
    <font>
      <b/>
      <u/>
      <sz val="12"/>
      <color theme="1"/>
      <name val="Arial"/>
      <family val="2"/>
    </font>
    <font>
      <b/>
      <u/>
      <sz val="12"/>
      <name val="Arial"/>
      <family val="2"/>
    </font>
    <font>
      <sz val="11"/>
      <name val="Arial"/>
      <family val="2"/>
    </font>
    <font>
      <sz val="1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diagonal/>
    </border>
    <border>
      <left/>
      <right/>
      <top style="thin">
        <color indexed="64"/>
      </top>
      <bottom/>
      <diagonal/>
    </border>
    <border>
      <left/>
      <right style="medium">
        <color indexed="64"/>
      </right>
      <top style="thin">
        <color indexed="64"/>
      </top>
      <bottom style="thin">
        <color indexed="64"/>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medium">
        <color indexed="64"/>
      </left>
      <right/>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5" applyNumberFormat="0" applyFill="0" applyAlignment="0" applyProtection="0"/>
    <xf numFmtId="0" fontId="19" fillId="0" borderId="35" applyNumberFormat="0" applyFill="0" applyAlignment="0" applyProtection="0"/>
    <xf numFmtId="0" fontId="28" fillId="0" borderId="0"/>
    <xf numFmtId="0" fontId="2" fillId="0" borderId="0"/>
  </cellStyleXfs>
  <cellXfs count="1347">
    <xf numFmtId="0" fontId="0" fillId="0" borderId="0" xfId="0"/>
    <xf numFmtId="0" fontId="30" fillId="0" borderId="0" xfId="0" applyFont="1"/>
    <xf numFmtId="0" fontId="30" fillId="0" borderId="0" xfId="0" applyFont="1" applyAlignment="1">
      <alignment wrapText="1"/>
    </xf>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4"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20"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20"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0" xfId="0" applyFont="1" applyFill="1" applyBorder="1"/>
    <xf numFmtId="3" fontId="7" fillId="0" borderId="10" xfId="0" applyNumberFormat="1" applyFont="1" applyBorder="1"/>
    <xf numFmtId="3" fontId="7" fillId="0" borderId="30" xfId="0" applyNumberFormat="1" applyFont="1" applyBorder="1"/>
    <xf numFmtId="0" fontId="30" fillId="0" borderId="20" xfId="0" applyFont="1" applyBorder="1"/>
    <xf numFmtId="0" fontId="30" fillId="36" borderId="16" xfId="0" applyFont="1" applyFill="1" applyBorder="1"/>
    <xf numFmtId="0" fontId="30" fillId="36" borderId="20"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4"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33" fillId="0" borderId="16" xfId="0" applyFont="1" applyBorder="1"/>
    <xf numFmtId="0" fontId="33" fillId="0" borderId="20" xfId="0" applyFont="1" applyBorder="1"/>
    <xf numFmtId="0" fontId="33" fillId="0" borderId="15"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2" fillId="29" borderId="0" xfId="0" applyNumberFormat="1" applyFont="1" applyFill="1"/>
    <xf numFmtId="0" fontId="42"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1"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20" xfId="0" applyNumberFormat="1" applyFont="1" applyBorder="1"/>
    <xf numFmtId="49" fontId="30" fillId="0" borderId="31"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4" xfId="0" applyNumberFormat="1" applyFont="1" applyBorder="1"/>
    <xf numFmtId="0" fontId="8" fillId="0" borderId="0" xfId="0" applyFont="1"/>
    <xf numFmtId="0" fontId="8" fillId="0" borderId="20" xfId="0" applyFont="1" applyBorder="1"/>
    <xf numFmtId="49" fontId="8" fillId="0" borderId="3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4" xfId="0" applyFont="1" applyBorder="1"/>
    <xf numFmtId="0" fontId="8" fillId="0" borderId="12" xfId="0" applyFont="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44" fillId="0" borderId="0" xfId="0" applyFont="1" applyAlignment="1">
      <alignment vertical="center" wrapText="1"/>
    </xf>
    <xf numFmtId="3" fontId="0" fillId="0" borderId="11" xfId="0" applyNumberFormat="1" applyBorder="1"/>
    <xf numFmtId="0" fontId="44" fillId="0" borderId="0" xfId="0" applyFont="1" applyAlignment="1">
      <alignment vertical="center"/>
    </xf>
    <xf numFmtId="0" fontId="4" fillId="0" borderId="0" xfId="0" applyFont="1" applyAlignment="1">
      <alignment horizontal="left" vertical="center" wrapText="1"/>
    </xf>
    <xf numFmtId="165" fontId="48" fillId="0" borderId="0" xfId="0" applyNumberFormat="1" applyFont="1"/>
    <xf numFmtId="0" fontId="48" fillId="0" borderId="0" xfId="0" applyFont="1"/>
    <xf numFmtId="3" fontId="48" fillId="0" borderId="0" xfId="0" applyNumberFormat="1" applyFont="1"/>
    <xf numFmtId="165" fontId="48" fillId="24" borderId="0" xfId="0" applyNumberFormat="1" applyFont="1" applyFill="1"/>
    <xf numFmtId="0" fontId="48" fillId="25" borderId="0" xfId="0" applyFont="1" applyFill="1"/>
    <xf numFmtId="0" fontId="48" fillId="24" borderId="0" xfId="0" applyFont="1" applyFill="1"/>
    <xf numFmtId="0" fontId="4" fillId="0" borderId="0" xfId="0" applyFont="1" applyAlignment="1">
      <alignment horizontal="left" vertical="center"/>
    </xf>
    <xf numFmtId="0" fontId="48" fillId="0" borderId="0" xfId="0" applyFont="1" applyAlignment="1">
      <alignment horizontal="left" vertical="center" wrapText="1"/>
    </xf>
    <xf numFmtId="0" fontId="48" fillId="0" borderId="0" xfId="0" applyFont="1" applyAlignment="1">
      <alignment horizontal="left"/>
    </xf>
    <xf numFmtId="0" fontId="48" fillId="0" borderId="0" xfId="0" applyFont="1" applyAlignment="1">
      <alignment horizontal="center"/>
    </xf>
    <xf numFmtId="0" fontId="48" fillId="25" borderId="0" xfId="0" applyFont="1" applyFill="1" applyAlignment="1">
      <alignment horizontal="left" vertical="center"/>
    </xf>
    <xf numFmtId="0" fontId="48" fillId="25" borderId="0" xfId="0" applyFont="1" applyFill="1" applyAlignment="1">
      <alignment horizontal="center"/>
    </xf>
    <xf numFmtId="0" fontId="45" fillId="25" borderId="0" xfId="0" applyFont="1" applyFill="1" applyAlignment="1">
      <alignment horizontal="left" vertical="center" wrapText="1"/>
    </xf>
    <xf numFmtId="0" fontId="48" fillId="0" borderId="0" xfId="0" applyFont="1" applyAlignment="1">
      <alignment horizontal="right"/>
    </xf>
    <xf numFmtId="0" fontId="48" fillId="25" borderId="0" xfId="0" applyFont="1" applyFill="1" applyAlignment="1">
      <alignment horizontal="right"/>
    </xf>
    <xf numFmtId="0" fontId="30" fillId="25" borderId="39" xfId="0" applyFont="1" applyFill="1" applyBorder="1" applyAlignment="1">
      <alignment horizontal="center" wrapText="1"/>
    </xf>
    <xf numFmtId="0" fontId="30" fillId="25" borderId="40" xfId="0" applyFont="1" applyFill="1" applyBorder="1" applyAlignment="1">
      <alignment horizontal="center" wrapText="1"/>
    </xf>
    <xf numFmtId="3" fontId="30" fillId="25" borderId="40" xfId="0" applyNumberFormat="1" applyFont="1" applyFill="1" applyBorder="1" applyAlignment="1">
      <alignment horizontal="center" wrapText="1"/>
    </xf>
    <xf numFmtId="3" fontId="30" fillId="25" borderId="38"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8"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4" xfId="0" applyNumberFormat="1" applyFont="1" applyFill="1" applyBorder="1" applyAlignment="1">
      <alignment horizontal="right"/>
    </xf>
    <xf numFmtId="3" fontId="30" fillId="28" borderId="0" xfId="0" applyNumberFormat="1" applyFont="1" applyFill="1" applyAlignment="1">
      <alignment horizontal="right"/>
    </xf>
    <xf numFmtId="3" fontId="30" fillId="28" borderId="18" xfId="0" applyNumberFormat="1" applyFont="1" applyFill="1" applyBorder="1" applyAlignment="1">
      <alignment horizontal="right"/>
    </xf>
    <xf numFmtId="0" fontId="33" fillId="25" borderId="20" xfId="0" applyFont="1" applyFill="1" applyBorder="1" applyAlignment="1">
      <alignment horizontal="center" wrapText="1"/>
    </xf>
    <xf numFmtId="0" fontId="46" fillId="25" borderId="34" xfId="0" applyFont="1" applyFill="1" applyBorder="1" applyAlignment="1">
      <alignment horizontal="center" wrapText="1"/>
    </xf>
    <xf numFmtId="0" fontId="46" fillId="25" borderId="30" xfId="0" applyFont="1" applyFill="1" applyBorder="1" applyAlignment="1">
      <alignment horizontal="center" wrapText="1"/>
    </xf>
    <xf numFmtId="0" fontId="33" fillId="25" borderId="45" xfId="0" applyFont="1" applyFill="1" applyBorder="1" applyAlignment="1">
      <alignment horizontal="center" wrapText="1"/>
    </xf>
    <xf numFmtId="0" fontId="33" fillId="25" borderId="30" xfId="0" applyFont="1" applyFill="1" applyBorder="1" applyAlignment="1">
      <alignment horizontal="center" wrapText="1"/>
    </xf>
    <xf numFmtId="3" fontId="30" fillId="28" borderId="0" xfId="0" applyNumberFormat="1" applyFont="1" applyFill="1" applyAlignment="1">
      <alignment horizontal="center"/>
    </xf>
    <xf numFmtId="0" fontId="33" fillId="25" borderId="34" xfId="0" applyFont="1" applyFill="1" applyBorder="1" applyAlignment="1">
      <alignment horizontal="center" wrapText="1"/>
    </xf>
    <xf numFmtId="0" fontId="33" fillId="25" borderId="16" xfId="0" applyFont="1" applyFill="1" applyBorder="1" applyAlignment="1">
      <alignment horizontal="center" wrapText="1"/>
    </xf>
    <xf numFmtId="0" fontId="33" fillId="25" borderId="19" xfId="0" applyFont="1" applyFill="1" applyBorder="1" applyAlignment="1">
      <alignment horizontal="center" wrapText="1"/>
    </xf>
    <xf numFmtId="0" fontId="33" fillId="25" borderId="18" xfId="0" applyFont="1" applyFill="1" applyBorder="1" applyAlignment="1">
      <alignment horizontal="center" wrapText="1"/>
    </xf>
    <xf numFmtId="3" fontId="30" fillId="28" borderId="18" xfId="0" applyNumberFormat="1" applyFont="1" applyFill="1" applyBorder="1" applyAlignment="1">
      <alignment horizontal="center"/>
    </xf>
    <xf numFmtId="0" fontId="33" fillId="25" borderId="31" xfId="0" applyFont="1" applyFill="1" applyBorder="1" applyAlignment="1">
      <alignment horizontal="center" wrapText="1"/>
    </xf>
    <xf numFmtId="3" fontId="30" fillId="27" borderId="28" xfId="0" applyNumberFormat="1" applyFont="1" applyFill="1" applyBorder="1" applyAlignment="1">
      <alignment horizontal="center"/>
    </xf>
    <xf numFmtId="3" fontId="30" fillId="27" borderId="46" xfId="0" applyNumberFormat="1" applyFont="1" applyFill="1" applyBorder="1" applyAlignment="1">
      <alignment horizontal="center"/>
    </xf>
    <xf numFmtId="3" fontId="30" fillId="27" borderId="25" xfId="0" applyNumberFormat="1" applyFont="1" applyFill="1" applyBorder="1" applyAlignment="1">
      <alignment horizontal="center"/>
    </xf>
    <xf numFmtId="3" fontId="30" fillId="27" borderId="29"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3" fillId="25" borderId="14" xfId="0" applyFont="1" applyFill="1" applyBorder="1" applyAlignment="1">
      <alignment horizontal="center" wrapText="1"/>
    </xf>
    <xf numFmtId="3" fontId="30" fillId="27" borderId="26" xfId="0" applyNumberFormat="1" applyFont="1" applyFill="1" applyBorder="1" applyAlignment="1">
      <alignment horizontal="center"/>
    </xf>
    <xf numFmtId="3" fontId="30" fillId="27" borderId="47"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21"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4" xfId="0" applyNumberFormat="1" applyFont="1" applyFill="1" applyBorder="1" applyAlignment="1">
      <alignment horizontal="center"/>
    </xf>
    <xf numFmtId="0" fontId="46" fillId="25" borderId="19" xfId="0" applyFont="1" applyFill="1" applyBorder="1" applyAlignment="1">
      <alignment horizontal="center" wrapText="1"/>
    </xf>
    <xf numFmtId="165" fontId="30" fillId="25" borderId="15" xfId="0" applyNumberFormat="1" applyFont="1" applyFill="1" applyBorder="1" applyAlignment="1">
      <alignment horizontal="right"/>
    </xf>
    <xf numFmtId="165" fontId="30" fillId="25" borderId="13" xfId="0" applyNumberFormat="1" applyFont="1" applyFill="1" applyBorder="1" applyAlignment="1">
      <alignment horizontal="right"/>
    </xf>
    <xf numFmtId="0" fontId="33" fillId="27" borderId="28" xfId="0" applyFont="1" applyFill="1" applyBorder="1" applyAlignment="1">
      <alignment horizontal="center" wrapText="1"/>
    </xf>
    <xf numFmtId="0" fontId="46" fillId="27" borderId="46" xfId="0" applyFont="1" applyFill="1" applyBorder="1" applyAlignment="1">
      <alignment horizontal="center" wrapText="1"/>
    </xf>
    <xf numFmtId="0" fontId="33" fillId="27" borderId="26" xfId="0" applyFont="1" applyFill="1" applyBorder="1" applyAlignment="1">
      <alignment horizontal="center" wrapText="1"/>
    </xf>
    <xf numFmtId="0" fontId="46" fillId="27" borderId="47" xfId="0" applyFont="1" applyFill="1" applyBorder="1" applyAlignment="1">
      <alignment horizontal="center" wrapText="1"/>
    </xf>
    <xf numFmtId="3" fontId="30" fillId="27" borderId="26" xfId="0" applyNumberFormat="1" applyFont="1" applyFill="1" applyBorder="1" applyAlignment="1">
      <alignment horizontal="right"/>
    </xf>
    <xf numFmtId="3" fontId="30" fillId="28" borderId="31"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44" xfId="0" applyNumberFormat="1" applyFont="1" applyFill="1" applyBorder="1" applyAlignment="1">
      <alignment horizontal="center"/>
    </xf>
    <xf numFmtId="3" fontId="30" fillId="27" borderId="48" xfId="0" applyNumberFormat="1" applyFont="1" applyFill="1" applyBorder="1" applyAlignment="1">
      <alignment horizontal="center"/>
    </xf>
    <xf numFmtId="3" fontId="30" fillId="27" borderId="41"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43" xfId="0" applyFont="1" applyFill="1" applyBorder="1"/>
    <xf numFmtId="0" fontId="30" fillId="0" borderId="49" xfId="0" applyFont="1" applyBorder="1"/>
    <xf numFmtId="0" fontId="30" fillId="25" borderId="47" xfId="0" applyFont="1" applyFill="1" applyBorder="1"/>
    <xf numFmtId="0" fontId="30" fillId="0" borderId="47" xfId="0" applyFont="1" applyBorder="1"/>
    <xf numFmtId="0" fontId="48" fillId="40" borderId="12" xfId="0" applyFont="1" applyFill="1" applyBorder="1"/>
    <xf numFmtId="0" fontId="48" fillId="40" borderId="24" xfId="0" applyFont="1" applyFill="1" applyBorder="1"/>
    <xf numFmtId="0" fontId="48" fillId="40" borderId="17" xfId="0" applyFont="1" applyFill="1" applyBorder="1"/>
    <xf numFmtId="0" fontId="4" fillId="25" borderId="0" xfId="0" applyFont="1" applyFill="1" applyAlignment="1">
      <alignment horizontal="left" vertical="center" wrapText="1"/>
    </xf>
    <xf numFmtId="0" fontId="48" fillId="40" borderId="0" xfId="0" applyFont="1" applyFill="1"/>
    <xf numFmtId="9" fontId="48" fillId="40" borderId="0" xfId="92" applyFont="1" applyFill="1"/>
    <xf numFmtId="9" fontId="48" fillId="40" borderId="0" xfId="92" applyFont="1" applyFill="1" applyBorder="1"/>
    <xf numFmtId="9" fontId="48" fillId="40" borderId="47" xfId="92" applyFont="1" applyFill="1" applyBorder="1" applyAlignment="1">
      <alignment horizontal="center"/>
    </xf>
    <xf numFmtId="9" fontId="48" fillId="40" borderId="0" xfId="92" applyFont="1" applyFill="1" applyAlignment="1">
      <alignment horizontal="center"/>
    </xf>
    <xf numFmtId="9" fontId="48" fillId="40" borderId="47" xfId="0" applyNumberFormat="1" applyFont="1" applyFill="1" applyBorder="1" applyAlignment="1">
      <alignment horizontal="center"/>
    </xf>
    <xf numFmtId="0" fontId="48" fillId="40" borderId="0" xfId="0" applyFont="1" applyFill="1" applyAlignment="1">
      <alignment horizontal="center"/>
    </xf>
    <xf numFmtId="9" fontId="48" fillId="40" borderId="0" xfId="0" applyNumberFormat="1" applyFont="1" applyFill="1" applyAlignment="1">
      <alignment horizontal="center"/>
    </xf>
    <xf numFmtId="168" fontId="48" fillId="40" borderId="47" xfId="92" applyNumberFormat="1" applyFont="1" applyFill="1" applyBorder="1" applyAlignment="1">
      <alignment horizontal="right"/>
    </xf>
    <xf numFmtId="9" fontId="34" fillId="40" borderId="47" xfId="92" applyFont="1" applyFill="1" applyBorder="1" applyAlignment="1">
      <alignment horizontal="right"/>
    </xf>
    <xf numFmtId="168" fontId="34" fillId="40" borderId="47" xfId="92" applyNumberFormat="1" applyFont="1" applyFill="1" applyBorder="1" applyAlignment="1">
      <alignment horizontal="right"/>
    </xf>
    <xf numFmtId="0" fontId="48" fillId="40" borderId="47" xfId="0" applyFont="1" applyFill="1" applyBorder="1"/>
    <xf numFmtId="0" fontId="34" fillId="40" borderId="50"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8" fillId="25" borderId="0" xfId="0" applyFont="1" applyFill="1" applyAlignment="1">
      <alignment vertical="center"/>
    </xf>
    <xf numFmtId="0" fontId="46" fillId="25" borderId="20" xfId="0" applyFont="1" applyFill="1" applyBorder="1" applyAlignment="1">
      <alignment horizontal="center" wrapText="1"/>
    </xf>
    <xf numFmtId="3" fontId="33" fillId="25" borderId="20" xfId="0" applyNumberFormat="1" applyFont="1" applyFill="1" applyBorder="1" applyAlignment="1">
      <alignment horizontal="center" wrapText="1"/>
    </xf>
    <xf numFmtId="3" fontId="30" fillId="31" borderId="20"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7"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8" fillId="25" borderId="0" xfId="0" applyNumberFormat="1" applyFont="1" applyFill="1" applyAlignment="1">
      <alignment horizontal="left"/>
    </xf>
    <xf numFmtId="9" fontId="48"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8"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8" fillId="25" borderId="0" xfId="0" applyNumberFormat="1" applyFont="1" applyFill="1"/>
    <xf numFmtId="3" fontId="48" fillId="24" borderId="0" xfId="0" applyNumberFormat="1" applyFont="1" applyFill="1"/>
    <xf numFmtId="165" fontId="48" fillId="24" borderId="0" xfId="0" applyNumberFormat="1" applyFont="1" applyFill="1" applyAlignment="1">
      <alignment vertical="center"/>
    </xf>
    <xf numFmtId="0" fontId="45" fillId="39" borderId="27" xfId="0" applyFont="1" applyFill="1" applyBorder="1" applyAlignment="1">
      <alignment vertical="center"/>
    </xf>
    <xf numFmtId="0" fontId="45" fillId="39" borderId="22" xfId="0" applyFont="1" applyFill="1" applyBorder="1" applyAlignment="1">
      <alignment vertical="center"/>
    </xf>
    <xf numFmtId="0" fontId="48" fillId="0" borderId="0" xfId="0" applyFont="1" applyAlignment="1">
      <alignment vertical="center"/>
    </xf>
    <xf numFmtId="0" fontId="48" fillId="24" borderId="0" xfId="0" applyFont="1" applyFill="1" applyAlignment="1">
      <alignment vertical="center"/>
    </xf>
    <xf numFmtId="0" fontId="48" fillId="26" borderId="12" xfId="0" applyFont="1" applyFill="1" applyBorder="1" applyAlignment="1">
      <alignment vertical="center"/>
    </xf>
    <xf numFmtId="0" fontId="48" fillId="26" borderId="24" xfId="0" applyFont="1" applyFill="1" applyBorder="1" applyAlignment="1">
      <alignment vertical="center"/>
    </xf>
    <xf numFmtId="0" fontId="48" fillId="26" borderId="17" xfId="0" applyFont="1" applyFill="1" applyBorder="1" applyAlignment="1">
      <alignment vertical="center"/>
    </xf>
    <xf numFmtId="0" fontId="47" fillId="0" borderId="0" xfId="0" applyFont="1"/>
    <xf numFmtId="0" fontId="51" fillId="25" borderId="0" xfId="82" applyFont="1" applyFill="1"/>
    <xf numFmtId="0" fontId="51" fillId="0" borderId="0" xfId="82" applyFont="1"/>
    <xf numFmtId="0" fontId="43" fillId="0" borderId="0" xfId="0" applyFont="1"/>
    <xf numFmtId="43" fontId="30" fillId="29" borderId="0" xfId="0" applyNumberFormat="1" applyFont="1" applyFill="1"/>
    <xf numFmtId="0" fontId="35"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8"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20"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2" fillId="29" borderId="0" xfId="0" applyNumberFormat="1" applyFont="1" applyFill="1" applyAlignment="1">
      <alignment horizontal="left" vertical="top" wrapText="1"/>
    </xf>
    <xf numFmtId="0" fontId="4" fillId="25" borderId="0" xfId="0" applyFont="1" applyFill="1" applyAlignment="1">
      <alignment vertical="center" wrapText="1"/>
    </xf>
    <xf numFmtId="0" fontId="50" fillId="0" borderId="0" xfId="0" applyFont="1"/>
    <xf numFmtId="0" fontId="0" fillId="0" borderId="11" xfId="0" applyBorder="1"/>
    <xf numFmtId="0" fontId="56" fillId="40" borderId="11" xfId="0" applyFont="1" applyFill="1" applyBorder="1" applyAlignment="1" applyProtection="1">
      <alignment horizontal="center" vertical="center" wrapText="1"/>
      <protection locked="0"/>
    </xf>
    <xf numFmtId="0" fontId="0" fillId="0" borderId="0" xfId="0" applyAlignment="1">
      <alignment horizontal="right"/>
    </xf>
    <xf numFmtId="10" fontId="0" fillId="40" borderId="11" xfId="92" applyNumberFormat="1" applyFont="1" applyFill="1" applyBorder="1"/>
    <xf numFmtId="0" fontId="44" fillId="37" borderId="24" xfId="0" applyFont="1" applyFill="1" applyBorder="1" applyAlignment="1">
      <alignment horizontal="center" vertical="center"/>
    </xf>
    <xf numFmtId="0" fontId="44" fillId="37" borderId="24" xfId="0" applyFont="1" applyFill="1" applyBorder="1" applyAlignment="1">
      <alignment horizontal="left" vertical="center"/>
    </xf>
    <xf numFmtId="0" fontId="50" fillId="0" borderId="13" xfId="0" applyFont="1" applyBorder="1"/>
    <xf numFmtId="0" fontId="50" fillId="0" borderId="14" xfId="0" applyFont="1" applyBorder="1"/>
    <xf numFmtId="0" fontId="0" fillId="0" borderId="18" xfId="0" applyBorder="1"/>
    <xf numFmtId="0" fontId="0" fillId="0" borderId="14" xfId="0" applyBorder="1"/>
    <xf numFmtId="0" fontId="0" fillId="0" borderId="31"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165" fontId="50" fillId="24" borderId="11" xfId="0" applyNumberFormat="1" applyFont="1" applyFill="1" applyBorder="1" applyAlignment="1">
      <alignment horizontal="center" wrapText="1"/>
    </xf>
    <xf numFmtId="0" fontId="0" fillId="0" borderId="17" xfId="0" applyBorder="1"/>
    <xf numFmtId="0" fontId="32" fillId="29" borderId="0" xfId="0" applyFont="1" applyFill="1" applyAlignment="1">
      <alignment horizontal="center"/>
    </xf>
    <xf numFmtId="0" fontId="57" fillId="0" borderId="0" xfId="0" applyFont="1"/>
    <xf numFmtId="0" fontId="0" fillId="37" borderId="0" xfId="0" applyFill="1"/>
    <xf numFmtId="0" fontId="0" fillId="0" borderId="13" xfId="0" applyBorder="1"/>
    <xf numFmtId="0" fontId="43" fillId="37" borderId="0" xfId="0" applyFont="1" applyFill="1"/>
    <xf numFmtId="0" fontId="58" fillId="37" borderId="0" xfId="0" applyFont="1" applyFill="1"/>
    <xf numFmtId="0" fontId="59" fillId="0" borderId="0" xfId="0" applyFont="1"/>
    <xf numFmtId="0" fontId="60" fillId="0" borderId="0" xfId="0" applyFont="1"/>
    <xf numFmtId="0" fontId="61"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0" fillId="0" borderId="11" xfId="0" applyNumberFormat="1" applyFont="1" applyBorder="1"/>
    <xf numFmtId="165" fontId="50" fillId="0" borderId="17" xfId="0" applyNumberFormat="1" applyFont="1" applyBorder="1"/>
    <xf numFmtId="0" fontId="43" fillId="24" borderId="24" xfId="0" applyFont="1" applyFill="1" applyBorder="1"/>
    <xf numFmtId="0" fontId="43" fillId="24" borderId="17" xfId="0" applyFont="1" applyFill="1" applyBorder="1"/>
    <xf numFmtId="3" fontId="50" fillId="24" borderId="11" xfId="0" applyNumberFormat="1" applyFont="1" applyFill="1" applyBorder="1"/>
    <xf numFmtId="165" fontId="50" fillId="24" borderId="11"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52" fillId="0" borderId="0" xfId="82" applyFont="1" applyAlignment="1">
      <alignment vertical="top"/>
    </xf>
    <xf numFmtId="0" fontId="0" fillId="0" borderId="24" xfId="0" applyBorder="1"/>
    <xf numFmtId="0" fontId="52" fillId="0" borderId="11" xfId="82" applyFont="1" applyBorder="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3" fillId="0" borderId="11" xfId="0" applyFont="1" applyBorder="1" applyAlignment="1">
      <alignment horizontal="center"/>
    </xf>
    <xf numFmtId="0" fontId="0" fillId="24" borderId="11" xfId="0" applyFill="1" applyBorder="1"/>
    <xf numFmtId="0" fontId="0" fillId="24" borderId="17" xfId="0" applyFill="1" applyBorder="1"/>
    <xf numFmtId="3" fontId="30" fillId="27" borderId="51" xfId="0" applyNumberFormat="1" applyFont="1" applyFill="1" applyBorder="1" applyAlignment="1">
      <alignment horizontal="center"/>
    </xf>
    <xf numFmtId="0" fontId="44" fillId="37" borderId="0" xfId="0" applyFont="1" applyFill="1" applyAlignment="1">
      <alignment vertical="center" wrapText="1"/>
    </xf>
    <xf numFmtId="0" fontId="43" fillId="41" borderId="17" xfId="0" applyFont="1" applyFill="1" applyBorder="1"/>
    <xf numFmtId="0" fontId="43" fillId="41" borderId="0" xfId="0" applyFont="1" applyFill="1"/>
    <xf numFmtId="0" fontId="43" fillId="44" borderId="17" xfId="0" applyFont="1" applyFill="1" applyBorder="1"/>
    <xf numFmtId="0" fontId="43" fillId="44" borderId="0" xfId="0" applyFont="1" applyFill="1"/>
    <xf numFmtId="0" fontId="43" fillId="42" borderId="17" xfId="0" applyFont="1" applyFill="1" applyBorder="1"/>
    <xf numFmtId="0" fontId="43" fillId="42" borderId="0" xfId="0" applyFont="1" applyFill="1"/>
    <xf numFmtId="0" fontId="43" fillId="45" borderId="17" xfId="0" applyFont="1" applyFill="1" applyBorder="1"/>
    <xf numFmtId="0" fontId="43" fillId="45" borderId="0" xfId="0" applyFont="1" applyFill="1"/>
    <xf numFmtId="0" fontId="43" fillId="43" borderId="17" xfId="0" applyFont="1" applyFill="1" applyBorder="1"/>
    <xf numFmtId="0" fontId="43" fillId="43" borderId="0" xfId="0" applyFont="1" applyFill="1"/>
    <xf numFmtId="0" fontId="43" fillId="31" borderId="17" xfId="0" applyFont="1" applyFill="1" applyBorder="1"/>
    <xf numFmtId="0" fontId="0" fillId="24" borderId="0" xfId="0" applyFill="1"/>
    <xf numFmtId="0" fontId="50" fillId="0" borderId="12" xfId="0" applyFont="1" applyBorder="1" applyAlignment="1">
      <alignment wrapText="1"/>
    </xf>
    <xf numFmtId="0" fontId="0" fillId="24" borderId="13" xfId="0" applyFill="1" applyBorder="1"/>
    <xf numFmtId="0" fontId="0" fillId="24" borderId="10" xfId="0" applyFill="1" applyBorder="1"/>
    <xf numFmtId="0" fontId="0" fillId="24" borderId="31"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6"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6" fillId="24" borderId="0" xfId="72" applyFont="1" applyFill="1" applyBorder="1" applyAlignment="1" applyProtection="1"/>
    <xf numFmtId="0" fontId="40" fillId="24" borderId="0" xfId="0" applyFont="1" applyFill="1"/>
    <xf numFmtId="0" fontId="5" fillId="24" borderId="0" xfId="105" applyFont="1" applyFill="1"/>
    <xf numFmtId="0" fontId="35" fillId="24" borderId="10" xfId="0" applyFont="1" applyFill="1" applyBorder="1"/>
    <xf numFmtId="0" fontId="4" fillId="0" borderId="10" xfId="0" applyFont="1" applyBorder="1" applyAlignment="1">
      <alignment vertical="center" wrapText="1"/>
    </xf>
    <xf numFmtId="0" fontId="0" fillId="40" borderId="52" xfId="0" applyFill="1" applyBorder="1" applyAlignment="1">
      <alignment horizontal="center"/>
    </xf>
    <xf numFmtId="0" fontId="43" fillId="37" borderId="11" xfId="0" applyFont="1" applyFill="1" applyBorder="1" applyAlignment="1">
      <alignment horizontal="center" wrapText="1"/>
    </xf>
    <xf numFmtId="0" fontId="0" fillId="0" borderId="12" xfId="0" applyBorder="1"/>
    <xf numFmtId="0" fontId="28" fillId="0" borderId="0" xfId="0" applyFont="1"/>
    <xf numFmtId="0" fontId="54" fillId="0" borderId="0" xfId="82" applyFont="1"/>
    <xf numFmtId="0" fontId="43" fillId="0" borderId="0" xfId="82" applyFont="1"/>
    <xf numFmtId="0" fontId="54" fillId="24" borderId="11" xfId="82" applyFont="1" applyFill="1" applyBorder="1" applyAlignment="1">
      <alignment horizontal="center"/>
    </xf>
    <xf numFmtId="0" fontId="52" fillId="0" borderId="0" xfId="82" applyFont="1"/>
    <xf numFmtId="0" fontId="54" fillId="24" borderId="12" xfId="82" applyFont="1" applyFill="1" applyBorder="1" applyAlignment="1">
      <alignment horizontal="center"/>
    </xf>
    <xf numFmtId="0" fontId="52" fillId="0" borderId="12" xfId="82" applyFont="1" applyBorder="1"/>
    <xf numFmtId="0" fontId="52" fillId="40" borderId="11" xfId="82" applyFont="1" applyFill="1" applyBorder="1"/>
    <xf numFmtId="0" fontId="54" fillId="24" borderId="12" xfId="82" applyFont="1" applyFill="1" applyBorder="1" applyAlignment="1">
      <alignment horizontal="left"/>
    </xf>
    <xf numFmtId="0" fontId="54" fillId="24" borderId="24" xfId="82" applyFont="1" applyFill="1" applyBorder="1" applyAlignment="1">
      <alignment horizontal="center" wrapText="1"/>
    </xf>
    <xf numFmtId="0" fontId="0" fillId="24" borderId="11" xfId="0" quotePrefix="1" applyFill="1" applyBorder="1" applyAlignment="1">
      <alignment horizontal="center"/>
    </xf>
    <xf numFmtId="43" fontId="0" fillId="0" borderId="0" xfId="56" applyFont="1"/>
    <xf numFmtId="0" fontId="0" fillId="24" borderId="17" xfId="0" applyFill="1" applyBorder="1" applyAlignment="1">
      <alignment horizontal="center" wrapText="1"/>
    </xf>
    <xf numFmtId="0" fontId="0" fillId="24" borderId="24" xfId="0" applyFill="1" applyBorder="1"/>
    <xf numFmtId="0" fontId="50" fillId="24" borderId="12" xfId="0" applyFont="1" applyFill="1" applyBorder="1"/>
    <xf numFmtId="0" fontId="52" fillId="0" borderId="12" xfId="0" applyFont="1" applyBorder="1" applyAlignment="1">
      <alignment horizontal="left"/>
    </xf>
    <xf numFmtId="0" fontId="50" fillId="24" borderId="11" xfId="82" applyFont="1" applyFill="1" applyBorder="1"/>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4" xfId="0" applyNumberFormat="1" applyFont="1" applyFill="1" applyBorder="1" applyAlignment="1">
      <alignment wrapText="1"/>
    </xf>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0" fontId="28" fillId="24" borderId="24" xfId="0" applyFont="1" applyFill="1" applyBorder="1"/>
    <xf numFmtId="165" fontId="28" fillId="0" borderId="11" xfId="0" applyNumberFormat="1" applyFont="1" applyBorder="1" applyAlignment="1">
      <alignment horizontal="right"/>
    </xf>
    <xf numFmtId="0" fontId="50" fillId="24" borderId="12" xfId="0" applyFont="1" applyFill="1" applyBorder="1" applyAlignment="1">
      <alignment horizontal="left"/>
    </xf>
    <xf numFmtId="0" fontId="54" fillId="24" borderId="12" xfId="0" applyFont="1" applyFill="1" applyBorder="1" applyAlignment="1">
      <alignment horizontal="left" vertical="center" wrapText="1"/>
    </xf>
    <xf numFmtId="0" fontId="64" fillId="0" borderId="0" xfId="0" applyFont="1" applyAlignment="1">
      <alignment vertical="center" wrapText="1"/>
    </xf>
    <xf numFmtId="0" fontId="50" fillId="24" borderId="11" xfId="0" applyFont="1" applyFill="1" applyBorder="1" applyAlignment="1">
      <alignment horizontal="left"/>
    </xf>
    <xf numFmtId="0" fontId="54" fillId="24" borderId="11" xfId="0" applyFont="1" applyFill="1" applyBorder="1" applyAlignment="1">
      <alignment horizontal="left" vertical="center" wrapText="1"/>
    </xf>
    <xf numFmtId="0" fontId="54" fillId="24" borderId="17" xfId="0" applyFont="1" applyFill="1" applyBorder="1" applyAlignment="1">
      <alignment horizontal="right" vertical="center"/>
    </xf>
    <xf numFmtId="3" fontId="0" fillId="0" borderId="0" xfId="0" applyNumberFormat="1"/>
    <xf numFmtId="0" fontId="0" fillId="44" borderId="0" xfId="0" applyFill="1"/>
    <xf numFmtId="0" fontId="0" fillId="42" borderId="0" xfId="0" applyFill="1"/>
    <xf numFmtId="0" fontId="0" fillId="45" borderId="0" xfId="0" applyFill="1"/>
    <xf numFmtId="0" fontId="0" fillId="43" borderId="0" xfId="0" applyFill="1"/>
    <xf numFmtId="0" fontId="0" fillId="31" borderId="0" xfId="0" applyFill="1"/>
    <xf numFmtId="0" fontId="63" fillId="0" borderId="0" xfId="0" applyFont="1" applyAlignment="1">
      <alignment vertical="center" wrapText="1"/>
    </xf>
    <xf numFmtId="0" fontId="50" fillId="24" borderId="11" xfId="82" applyFont="1" applyFill="1" applyBorder="1" applyAlignment="1">
      <alignment horizontal="center" wrapText="1"/>
    </xf>
    <xf numFmtId="164" fontId="0" fillId="40" borderId="11" xfId="0" applyNumberFormat="1" applyFill="1" applyBorder="1"/>
    <xf numFmtId="165" fontId="0" fillId="0" borderId="17" xfId="0" applyNumberFormat="1" applyBorder="1"/>
    <xf numFmtId="165" fontId="0" fillId="0" borderId="11" xfId="0" applyNumberFormat="1" applyBorder="1"/>
    <xf numFmtId="165" fontId="50" fillId="0" borderId="11" xfId="0" applyNumberFormat="1" applyFont="1" applyBorder="1"/>
    <xf numFmtId="0" fontId="50" fillId="0" borderId="12" xfId="82" applyFont="1" applyBorder="1"/>
    <xf numFmtId="165" fontId="50" fillId="24" borderId="11" xfId="56" applyNumberFormat="1" applyFont="1" applyFill="1" applyBorder="1"/>
    <xf numFmtId="0" fontId="0" fillId="41" borderId="11" xfId="0" applyFill="1" applyBorder="1" applyAlignment="1">
      <alignment horizontal="center"/>
    </xf>
    <xf numFmtId="4" fontId="0" fillId="0" borderId="11" xfId="0" applyNumberFormat="1" applyBorder="1"/>
    <xf numFmtId="0" fontId="0" fillId="41" borderId="0" xfId="0" applyFill="1"/>
    <xf numFmtId="4" fontId="0" fillId="41" borderId="24" xfId="0" applyNumberFormat="1" applyFill="1" applyBorder="1"/>
    <xf numFmtId="0" fontId="0" fillId="41" borderId="24" xfId="0" applyFill="1" applyBorder="1" applyAlignment="1">
      <alignment horizontal="center"/>
    </xf>
    <xf numFmtId="164" fontId="0" fillId="41" borderId="24" xfId="0" applyNumberFormat="1" applyFill="1" applyBorder="1"/>
    <xf numFmtId="0" fontId="0" fillId="41" borderId="24"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4" fontId="0" fillId="44" borderId="24" xfId="0" applyNumberFormat="1" applyFill="1" applyBorder="1"/>
    <xf numFmtId="0" fontId="0" fillId="44" borderId="24" xfId="0" applyFill="1" applyBorder="1" applyAlignment="1">
      <alignment horizontal="center"/>
    </xf>
    <xf numFmtId="164" fontId="0" fillId="44" borderId="24" xfId="0" applyNumberFormat="1" applyFill="1" applyBorder="1"/>
    <xf numFmtId="0" fontId="0" fillId="44" borderId="24" xfId="0" applyFill="1" applyBorder="1"/>
    <xf numFmtId="0" fontId="0" fillId="24" borderId="12" xfId="0" applyFill="1" applyBorder="1"/>
    <xf numFmtId="0" fontId="0" fillId="42" borderId="24" xfId="0" applyFill="1" applyBorder="1" applyAlignment="1">
      <alignment horizontal="center"/>
    </xf>
    <xf numFmtId="164" fontId="0" fillId="42" borderId="24" xfId="0" applyNumberFormat="1" applyFill="1" applyBorder="1"/>
    <xf numFmtId="0" fontId="0" fillId="42" borderId="24" xfId="0" applyFill="1" applyBorder="1"/>
    <xf numFmtId="4" fontId="0" fillId="45" borderId="24" xfId="0" applyNumberFormat="1" applyFill="1" applyBorder="1"/>
    <xf numFmtId="0" fontId="0" fillId="45" borderId="24" xfId="0" applyFill="1" applyBorder="1" applyAlignment="1">
      <alignment horizontal="center"/>
    </xf>
    <xf numFmtId="164" fontId="0" fillId="45" borderId="24" xfId="0" applyNumberFormat="1" applyFill="1" applyBorder="1"/>
    <xf numFmtId="0" fontId="0" fillId="45" borderId="24" xfId="0" applyFill="1" applyBorder="1"/>
    <xf numFmtId="4" fontId="0" fillId="43" borderId="24" xfId="0" applyNumberFormat="1" applyFill="1" applyBorder="1"/>
    <xf numFmtId="0" fontId="0" fillId="43" borderId="24" xfId="0" applyFill="1" applyBorder="1" applyAlignment="1">
      <alignment horizontal="center"/>
    </xf>
    <xf numFmtId="164" fontId="0" fillId="43" borderId="24" xfId="0" applyNumberFormat="1" applyFill="1" applyBorder="1"/>
    <xf numFmtId="0" fontId="0" fillId="43" borderId="24" xfId="0" applyFill="1" applyBorder="1"/>
    <xf numFmtId="4" fontId="0" fillId="31" borderId="24" xfId="0" applyNumberFormat="1" applyFill="1" applyBorder="1"/>
    <xf numFmtId="0" fontId="0" fillId="31" borderId="24" xfId="0" applyFill="1" applyBorder="1" applyAlignment="1">
      <alignment horizontal="center"/>
    </xf>
    <xf numFmtId="164" fontId="0" fillId="31" borderId="24" xfId="0" applyNumberFormat="1" applyFill="1" applyBorder="1"/>
    <xf numFmtId="0" fontId="0" fillId="31" borderId="24" xfId="0" applyFill="1" applyBorder="1"/>
    <xf numFmtId="0" fontId="50" fillId="24" borderId="24" xfId="0" applyFont="1" applyFill="1" applyBorder="1" applyAlignment="1">
      <alignment horizontal="left"/>
    </xf>
    <xf numFmtId="0" fontId="54" fillId="41" borderId="12" xfId="0" applyFont="1" applyFill="1" applyBorder="1" applyAlignment="1">
      <alignment horizontal="left" vertical="center"/>
    </xf>
    <xf numFmtId="0" fontId="52" fillId="41" borderId="0" xfId="0" applyFont="1" applyFill="1" applyAlignment="1">
      <alignment horizontal="left" vertical="center"/>
    </xf>
    <xf numFmtId="0" fontId="54" fillId="24" borderId="17" xfId="0" applyFont="1" applyFill="1" applyBorder="1" applyAlignment="1">
      <alignment horizontal="left" vertical="center" wrapText="1"/>
    </xf>
    <xf numFmtId="0" fontId="54" fillId="44" borderId="12" xfId="0" applyFont="1" applyFill="1" applyBorder="1" applyAlignment="1">
      <alignment horizontal="left" vertical="center"/>
    </xf>
    <xf numFmtId="0" fontId="43" fillId="44" borderId="0" xfId="82" applyFont="1" applyFill="1"/>
    <xf numFmtId="0" fontId="54" fillId="42" borderId="12" xfId="0" applyFont="1" applyFill="1" applyBorder="1" applyAlignment="1">
      <alignment horizontal="left" vertical="center"/>
    </xf>
    <xf numFmtId="0" fontId="43" fillId="42" borderId="0" xfId="82" applyFont="1" applyFill="1"/>
    <xf numFmtId="0" fontId="54" fillId="45" borderId="12" xfId="0" applyFont="1" applyFill="1" applyBorder="1" applyAlignment="1">
      <alignment horizontal="left" vertical="center"/>
    </xf>
    <xf numFmtId="0" fontId="43" fillId="45" borderId="0" xfId="82" applyFont="1" applyFill="1"/>
    <xf numFmtId="0" fontId="54" fillId="43" borderId="12" xfId="0" applyFont="1" applyFill="1" applyBorder="1" applyAlignment="1">
      <alignment horizontal="left" vertical="center"/>
    </xf>
    <xf numFmtId="0" fontId="43" fillId="43" borderId="0" xfId="82" applyFont="1" applyFill="1"/>
    <xf numFmtId="0" fontId="54" fillId="31" borderId="12" xfId="0" applyFont="1" applyFill="1" applyBorder="1" applyAlignment="1">
      <alignment horizontal="left" vertical="center"/>
    </xf>
    <xf numFmtId="0" fontId="0" fillId="0" borderId="56" xfId="0" applyBorder="1"/>
    <xf numFmtId="0" fontId="0" fillId="0" borderId="57" xfId="0" applyBorder="1"/>
    <xf numFmtId="0" fontId="0" fillId="46" borderId="0" xfId="0" applyFill="1"/>
    <xf numFmtId="0" fontId="54" fillId="46" borderId="12" xfId="0" applyFont="1" applyFill="1" applyBorder="1" applyAlignment="1">
      <alignment horizontal="left" vertical="center"/>
    </xf>
    <xf numFmtId="4" fontId="0" fillId="46" borderId="24" xfId="0" applyNumberFormat="1" applyFill="1" applyBorder="1"/>
    <xf numFmtId="0" fontId="0" fillId="46" borderId="24" xfId="0" applyFill="1" applyBorder="1" applyAlignment="1">
      <alignment horizontal="center"/>
    </xf>
    <xf numFmtId="164" fontId="0" fillId="46" borderId="24" xfId="0" applyNumberFormat="1" applyFill="1" applyBorder="1"/>
    <xf numFmtId="0" fontId="0" fillId="46" borderId="24" xfId="0" applyFill="1" applyBorder="1"/>
    <xf numFmtId="0" fontId="43" fillId="46" borderId="17" xfId="0" applyFont="1" applyFill="1" applyBorder="1"/>
    <xf numFmtId="169" fontId="52" fillId="40" borderId="11" xfId="82" applyNumberFormat="1" applyFont="1" applyFill="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3" fillId="38" borderId="24" xfId="0" applyNumberFormat="1" applyFont="1" applyFill="1" applyBorder="1" applyAlignment="1">
      <alignment wrapText="1"/>
    </xf>
    <xf numFmtId="0" fontId="43" fillId="38" borderId="24" xfId="0" applyFont="1" applyFill="1" applyBorder="1"/>
    <xf numFmtId="0" fontId="43" fillId="38" borderId="17" xfId="0" applyFont="1" applyFill="1" applyBorder="1"/>
    <xf numFmtId="0" fontId="0" fillId="45" borderId="0" xfId="82" applyFont="1" applyFill="1"/>
    <xf numFmtId="43" fontId="0" fillId="45" borderId="0" xfId="56" applyFont="1" applyFill="1"/>
    <xf numFmtId="0" fontId="0" fillId="42" borderId="0" xfId="82" applyFont="1" applyFill="1"/>
    <xf numFmtId="43" fontId="0" fillId="42" borderId="0" xfId="56" applyFont="1" applyFill="1"/>
    <xf numFmtId="0" fontId="50" fillId="42" borderId="57" xfId="82" applyFont="1" applyFill="1" applyBorder="1"/>
    <xf numFmtId="0" fontId="50" fillId="46" borderId="10" xfId="82" applyFont="1" applyFill="1" applyBorder="1"/>
    <xf numFmtId="165" fontId="0" fillId="46" borderId="10" xfId="0" applyNumberFormat="1" applyFill="1" applyBorder="1"/>
    <xf numFmtId="0" fontId="50" fillId="43" borderId="10" xfId="82" applyFont="1" applyFill="1" applyBorder="1"/>
    <xf numFmtId="165" fontId="0" fillId="43" borderId="10" xfId="0" applyNumberFormat="1" applyFill="1" applyBorder="1"/>
    <xf numFmtId="0" fontId="50" fillId="46" borderId="57" xfId="82" applyFont="1" applyFill="1" applyBorder="1"/>
    <xf numFmtId="43" fontId="0" fillId="31" borderId="0" xfId="56" applyFont="1" applyFill="1"/>
    <xf numFmtId="0" fontId="50" fillId="31" borderId="10" xfId="82" applyFont="1" applyFill="1" applyBorder="1"/>
    <xf numFmtId="165" fontId="0" fillId="31" borderId="10" xfId="0" applyNumberFormat="1" applyFill="1" applyBorder="1"/>
    <xf numFmtId="0" fontId="50" fillId="43" borderId="57" xfId="82" applyFont="1" applyFill="1" applyBorder="1"/>
    <xf numFmtId="0" fontId="52" fillId="0" borderId="12" xfId="0" applyFont="1" applyBorder="1" applyAlignment="1">
      <alignment horizontal="left" wrapText="1"/>
    </xf>
    <xf numFmtId="165" fontId="28" fillId="0" borderId="11" xfId="0" applyNumberFormat="1" applyFont="1" applyBorder="1" applyAlignment="1">
      <alignment horizontal="center" wrapText="1"/>
    </xf>
    <xf numFmtId="165" fontId="0" fillId="42" borderId="0" xfId="0" applyNumberFormat="1" applyFill="1"/>
    <xf numFmtId="165" fontId="0" fillId="46" borderId="0" xfId="0" applyNumberFormat="1" applyFill="1"/>
    <xf numFmtId="165" fontId="0" fillId="43" borderId="0" xfId="0" applyNumberFormat="1" applyFill="1"/>
    <xf numFmtId="0" fontId="50" fillId="42" borderId="0" xfId="82" applyFont="1" applyFill="1"/>
    <xf numFmtId="0" fontId="50" fillId="46" borderId="0" xfId="82" applyFont="1" applyFill="1"/>
    <xf numFmtId="0" fontId="50" fillId="43" borderId="0" xfId="82" applyFont="1" applyFill="1"/>
    <xf numFmtId="0" fontId="54" fillId="0" borderId="12" xfId="0" applyFont="1" applyBorder="1" applyAlignment="1">
      <alignment horizontal="left" vertical="center" wrapText="1"/>
    </xf>
    <xf numFmtId="0" fontId="50" fillId="0" borderId="17" xfId="0" applyFont="1" applyBorder="1" applyAlignment="1">
      <alignment horizontal="right"/>
    </xf>
    <xf numFmtId="165" fontId="50" fillId="0" borderId="24" xfId="0" applyNumberFormat="1" applyFont="1" applyBorder="1"/>
    <xf numFmtId="0" fontId="54" fillId="0" borderId="11" xfId="0" applyFont="1" applyBorder="1" applyAlignment="1">
      <alignment horizontal="left" vertical="center" wrapText="1"/>
    </xf>
    <xf numFmtId="0" fontId="50" fillId="0" borderId="11" xfId="0" applyFont="1" applyBorder="1" applyAlignment="1">
      <alignment horizontal="right"/>
    </xf>
    <xf numFmtId="0" fontId="54" fillId="0" borderId="11" xfId="0" applyFont="1" applyBorder="1" applyAlignment="1">
      <alignment horizontal="right" vertical="center"/>
    </xf>
    <xf numFmtId="0" fontId="54" fillId="0" borderId="12" xfId="0" applyFont="1" applyBorder="1" applyAlignment="1">
      <alignment horizontal="left" vertical="center"/>
    </xf>
    <xf numFmtId="0" fontId="65" fillId="0" borderId="0" xfId="0" applyFont="1" applyAlignment="1">
      <alignment vertical="center"/>
    </xf>
    <xf numFmtId="0" fontId="66" fillId="0" borderId="0" xfId="0" applyFont="1" applyAlignment="1">
      <alignment vertical="center"/>
    </xf>
    <xf numFmtId="0" fontId="0" fillId="0" borderId="12" xfId="0" applyBorder="1" applyAlignment="1">
      <alignment horizontal="left" vertical="center"/>
    </xf>
    <xf numFmtId="10" fontId="0" fillId="0" borderId="11" xfId="92" applyNumberFormat="1" applyFont="1" applyFill="1" applyBorder="1"/>
    <xf numFmtId="3" fontId="0" fillId="0" borderId="11" xfId="0" applyNumberFormat="1" applyBorder="1" applyAlignment="1">
      <alignment horizontal="right"/>
    </xf>
    <xf numFmtId="0" fontId="29" fillId="0" borderId="11" xfId="72" applyBorder="1" applyAlignment="1" applyProtection="1"/>
    <xf numFmtId="0" fontId="29" fillId="0" borderId="0" xfId="72" applyAlignment="1" applyProtection="1"/>
    <xf numFmtId="164" fontId="52" fillId="40" borderId="11" xfId="82" applyNumberFormat="1" applyFont="1" applyFill="1" applyBorder="1"/>
    <xf numFmtId="0" fontId="54" fillId="24" borderId="17" xfId="0" applyFont="1" applyFill="1" applyBorder="1" applyAlignment="1">
      <alignment horizontal="right"/>
    </xf>
    <xf numFmtId="165" fontId="28" fillId="0" borderId="0" xfId="0" applyNumberFormat="1" applyFont="1"/>
    <xf numFmtId="166" fontId="0" fillId="40" borderId="11" xfId="56" applyNumberFormat="1" applyFont="1" applyFill="1" applyBorder="1" applyAlignment="1">
      <alignment horizontal="right"/>
    </xf>
    <xf numFmtId="0" fontId="50" fillId="0" borderId="0" xfId="0" applyFont="1" applyAlignment="1">
      <alignment wrapText="1"/>
    </xf>
    <xf numFmtId="10" fontId="28" fillId="0" borderId="0" xfId="92" applyNumberFormat="1" applyFont="1" applyFill="1" applyBorder="1"/>
    <xf numFmtId="3" fontId="50" fillId="0" borderId="0" xfId="0" applyNumberFormat="1" applyFont="1"/>
    <xf numFmtId="166" fontId="50" fillId="40" borderId="11" xfId="56" applyNumberFormat="1" applyFont="1" applyFill="1" applyBorder="1" applyAlignment="1">
      <alignment horizontal="right"/>
    </xf>
    <xf numFmtId="2" fontId="52" fillId="40" borderId="11" xfId="82" applyNumberFormat="1" applyFont="1" applyFill="1" applyBorder="1"/>
    <xf numFmtId="166" fontId="52" fillId="40" borderId="11" xfId="56" applyNumberFormat="1" applyFont="1" applyFill="1" applyBorder="1" applyAlignment="1">
      <alignment horizontal="center"/>
    </xf>
    <xf numFmtId="0" fontId="52" fillId="40" borderId="12" xfId="82" applyFont="1" applyFill="1" applyBorder="1" applyAlignment="1">
      <alignment horizontal="left"/>
    </xf>
    <xf numFmtId="0" fontId="52" fillId="40" borderId="24" xfId="82" applyFont="1" applyFill="1" applyBorder="1" applyAlignment="1">
      <alignment horizontal="right"/>
    </xf>
    <xf numFmtId="166" fontId="52" fillId="40" borderId="24" xfId="56" applyNumberFormat="1" applyFont="1" applyFill="1" applyBorder="1"/>
    <xf numFmtId="0" fontId="52" fillId="40" borderId="24" xfId="82" applyFont="1" applyFill="1" applyBorder="1"/>
    <xf numFmtId="0" fontId="52" fillId="40" borderId="24" xfId="82" applyFont="1" applyFill="1" applyBorder="1" applyAlignment="1">
      <alignment horizontal="center"/>
    </xf>
    <xf numFmtId="1" fontId="52" fillId="40" borderId="11" xfId="82" applyNumberFormat="1" applyFont="1" applyFill="1" applyBorder="1"/>
    <xf numFmtId="0" fontId="50" fillId="0" borderId="0" xfId="0" applyFont="1" applyAlignment="1">
      <alignment horizontal="left"/>
    </xf>
    <xf numFmtId="165" fontId="28" fillId="0" borderId="0" xfId="0" applyNumberFormat="1" applyFont="1" applyAlignment="1">
      <alignment wrapText="1"/>
    </xf>
    <xf numFmtId="0" fontId="0" fillId="44" borderId="0" xfId="82" applyFont="1" applyFill="1"/>
    <xf numFmtId="43" fontId="0" fillId="44" borderId="0" xfId="56" applyFont="1" applyFill="1"/>
    <xf numFmtId="0" fontId="57" fillId="0" borderId="0" xfId="0" applyFont="1" applyAlignment="1">
      <alignment horizontal="right"/>
    </xf>
    <xf numFmtId="0" fontId="68" fillId="0" borderId="0" xfId="0" applyFont="1"/>
    <xf numFmtId="0" fontId="69" fillId="0" borderId="0" xfId="0" applyFont="1" applyAlignment="1">
      <alignment vertical="center" wrapText="1"/>
    </xf>
    <xf numFmtId="0" fontId="0" fillId="45" borderId="17" xfId="0" applyFill="1" applyBorder="1"/>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2" fillId="40" borderId="11" xfId="0" applyFont="1" applyFill="1" applyBorder="1" applyAlignment="1">
      <alignment horizontal="center" vertical="center" wrapText="1"/>
    </xf>
    <xf numFmtId="0" fontId="72" fillId="0" borderId="0" xfId="0" applyFont="1" applyAlignment="1">
      <alignment horizontal="center" vertical="center"/>
    </xf>
    <xf numFmtId="0" fontId="73" fillId="47" borderId="11" xfId="0" applyFont="1" applyFill="1" applyBorder="1" applyAlignment="1">
      <alignment horizontal="center" vertical="center" wrapText="1"/>
    </xf>
    <xf numFmtId="43" fontId="0" fillId="0" borderId="0" xfId="56" applyFont="1" applyFill="1"/>
    <xf numFmtId="0" fontId="50" fillId="0" borderId="12" xfId="0" applyFont="1" applyBorder="1" applyAlignment="1">
      <alignment horizontal="left"/>
    </xf>
    <xf numFmtId="0" fontId="50" fillId="0" borderId="24" xfId="0" applyFont="1" applyBorder="1" applyAlignment="1">
      <alignment horizontal="center"/>
    </xf>
    <xf numFmtId="164" fontId="50" fillId="0" borderId="24" xfId="0" applyNumberFormat="1" applyFont="1" applyBorder="1"/>
    <xf numFmtId="0" fontId="50" fillId="0" borderId="24" xfId="0" applyFont="1" applyBorder="1"/>
    <xf numFmtId="0" fontId="63" fillId="0" borderId="24" xfId="0" applyFont="1" applyBorder="1"/>
    <xf numFmtId="0" fontId="44" fillId="37" borderId="11" xfId="0" applyFont="1" applyFill="1" applyBorder="1" applyAlignment="1">
      <alignment vertical="center" wrapText="1"/>
    </xf>
    <xf numFmtId="3" fontId="50" fillId="0" borderId="17" xfId="0" applyNumberFormat="1" applyFont="1" applyBorder="1"/>
    <xf numFmtId="0" fontId="44" fillId="37" borderId="12" xfId="0" applyFont="1" applyFill="1" applyBorder="1" applyAlignment="1">
      <alignment vertical="center" wrapText="1"/>
    </xf>
    <xf numFmtId="0" fontId="0" fillId="40" borderId="11" xfId="0" applyFill="1" applyBorder="1" applyAlignment="1">
      <alignment horizontal="right"/>
    </xf>
    <xf numFmtId="0" fontId="43" fillId="37" borderId="24" xfId="0" applyFont="1" applyFill="1" applyBorder="1"/>
    <xf numFmtId="0" fontId="43" fillId="37" borderId="17" xfId="0" applyFont="1" applyFill="1" applyBorder="1"/>
    <xf numFmtId="0" fontId="74" fillId="37" borderId="24" xfId="0" applyFont="1" applyFill="1" applyBorder="1" applyAlignment="1">
      <alignment horizontal="left"/>
    </xf>
    <xf numFmtId="0" fontId="50" fillId="45" borderId="12" xfId="82" applyFont="1" applyFill="1" applyBorder="1"/>
    <xf numFmtId="0" fontId="50" fillId="42" borderId="12" xfId="82" applyFont="1" applyFill="1" applyBorder="1"/>
    <xf numFmtId="0" fontId="0" fillId="42" borderId="17" xfId="0" applyFill="1" applyBorder="1"/>
    <xf numFmtId="0" fontId="50" fillId="46" borderId="12" xfId="82" applyFont="1" applyFill="1" applyBorder="1"/>
    <xf numFmtId="0" fontId="0" fillId="46" borderId="17" xfId="0" applyFill="1" applyBorder="1"/>
    <xf numFmtId="0" fontId="50" fillId="41" borderId="24" xfId="0" applyFont="1" applyFill="1" applyBorder="1" applyAlignment="1">
      <alignment horizontal="left"/>
    </xf>
    <xf numFmtId="0" fontId="43" fillId="41" borderId="24" xfId="0" applyFont="1" applyFill="1" applyBorder="1"/>
    <xf numFmtId="0" fontId="50" fillId="44" borderId="12" xfId="0" applyFont="1" applyFill="1" applyBorder="1" applyAlignment="1">
      <alignment horizontal="left"/>
    </xf>
    <xf numFmtId="0" fontId="43" fillId="44" borderId="24" xfId="0" applyFont="1" applyFill="1" applyBorder="1"/>
    <xf numFmtId="0" fontId="50" fillId="44" borderId="12" xfId="0" applyFont="1" applyFill="1" applyBorder="1" applyAlignment="1">
      <alignment horizontal="left" wrapText="1"/>
    </xf>
    <xf numFmtId="0" fontId="50" fillId="45" borderId="12" xfId="0" applyFont="1" applyFill="1" applyBorder="1" applyAlignment="1">
      <alignment horizontal="left"/>
    </xf>
    <xf numFmtId="0" fontId="43" fillId="45" borderId="24" xfId="0" applyFont="1" applyFill="1" applyBorder="1"/>
    <xf numFmtId="0" fontId="50" fillId="42" borderId="12" xfId="0" applyFont="1" applyFill="1" applyBorder="1" applyAlignment="1">
      <alignment horizontal="left"/>
    </xf>
    <xf numFmtId="0" fontId="43" fillId="42" borderId="24" xfId="0" applyFont="1" applyFill="1" applyBorder="1"/>
    <xf numFmtId="0" fontId="50" fillId="46" borderId="12" xfId="0" applyFont="1" applyFill="1" applyBorder="1" applyAlignment="1">
      <alignment horizontal="left"/>
    </xf>
    <xf numFmtId="0" fontId="43" fillId="46" borderId="24" xfId="0" applyFont="1" applyFill="1" applyBorder="1"/>
    <xf numFmtId="0" fontId="50" fillId="43" borderId="12" xfId="0" applyFont="1" applyFill="1" applyBorder="1" applyAlignment="1">
      <alignment horizontal="left"/>
    </xf>
    <xf numFmtId="0" fontId="43" fillId="43" borderId="24" xfId="0" applyFont="1" applyFill="1" applyBorder="1"/>
    <xf numFmtId="0" fontId="50" fillId="31" borderId="12" xfId="0" applyFont="1" applyFill="1" applyBorder="1" applyAlignment="1">
      <alignment horizontal="left"/>
    </xf>
    <xf numFmtId="0" fontId="43" fillId="31" borderId="24" xfId="0" applyFont="1" applyFill="1" applyBorder="1"/>
    <xf numFmtId="166" fontId="64" fillId="0" borderId="57" xfId="56" applyNumberFormat="1" applyFont="1" applyFill="1" applyBorder="1" applyAlignment="1">
      <alignment horizontal="left"/>
    </xf>
    <xf numFmtId="0" fontId="30" fillId="29" borderId="20" xfId="0" applyFont="1" applyFill="1" applyBorder="1"/>
    <xf numFmtId="9" fontId="30" fillId="29" borderId="13" xfId="0" applyNumberFormat="1" applyFont="1" applyFill="1" applyBorder="1" applyAlignment="1">
      <alignment horizontal="center"/>
    </xf>
    <xf numFmtId="0" fontId="43" fillId="0" borderId="57" xfId="0" applyFont="1" applyBorder="1"/>
    <xf numFmtId="0" fontId="43" fillId="37" borderId="12" xfId="0" applyFont="1" applyFill="1" applyBorder="1" applyAlignment="1">
      <alignment horizontal="center" wrapText="1"/>
    </xf>
    <xf numFmtId="0" fontId="43" fillId="0" borderId="24" xfId="0" applyFont="1" applyBorder="1"/>
    <xf numFmtId="164" fontId="52" fillId="0" borderId="11" xfId="82" applyNumberFormat="1" applyFont="1" applyBorder="1"/>
    <xf numFmtId="0" fontId="52" fillId="0" borderId="0" xfId="82" applyFont="1" applyAlignment="1">
      <alignment horizontal="left"/>
    </xf>
    <xf numFmtId="0" fontId="0" fillId="0" borderId="11" xfId="0" applyBorder="1" applyAlignment="1">
      <alignment horizontal="right"/>
    </xf>
    <xf numFmtId="0" fontId="0" fillId="40" borderId="12" xfId="0" applyFill="1" applyBorder="1"/>
    <xf numFmtId="0" fontId="54" fillId="24" borderId="17" xfId="82" applyFont="1" applyFill="1" applyBorder="1" applyAlignment="1">
      <alignment horizontal="center"/>
    </xf>
    <xf numFmtId="164" fontId="0" fillId="40" borderId="17" xfId="0" applyNumberFormat="1" applyFill="1" applyBorder="1"/>
    <xf numFmtId="0" fontId="52" fillId="40" borderId="12" xfId="82" applyFont="1" applyFill="1" applyBorder="1"/>
    <xf numFmtId="0" fontId="0" fillId="24" borderId="57" xfId="0" applyFill="1" applyBorder="1"/>
    <xf numFmtId="0" fontId="0" fillId="24" borderId="56" xfId="0" applyFill="1" applyBorder="1"/>
    <xf numFmtId="0" fontId="50" fillId="24" borderId="13" xfId="0" applyFont="1" applyFill="1" applyBorder="1"/>
    <xf numFmtId="164" fontId="52" fillId="0" borderId="17" xfId="82" applyNumberFormat="1" applyFont="1" applyBorder="1"/>
    <xf numFmtId="0" fontId="52" fillId="0" borderId="0" xfId="82" applyFont="1" applyAlignment="1">
      <alignment horizontal="center"/>
    </xf>
    <xf numFmtId="0" fontId="54" fillId="24" borderId="11" xfId="82" applyFont="1" applyFill="1" applyBorder="1"/>
    <xf numFmtId="166" fontId="52" fillId="0" borderId="11" xfId="56" applyNumberFormat="1" applyFont="1" applyFill="1" applyBorder="1" applyAlignment="1">
      <alignment horizontal="center"/>
    </xf>
    <xf numFmtId="165" fontId="52" fillId="0" borderId="11" xfId="82" applyNumberFormat="1" applyFont="1" applyBorder="1"/>
    <xf numFmtId="0" fontId="0" fillId="46" borderId="0" xfId="82" applyFont="1" applyFill="1"/>
    <xf numFmtId="43" fontId="0" fillId="46" borderId="0" xfId="56" applyFont="1" applyFill="1"/>
    <xf numFmtId="0" fontId="43" fillId="46" borderId="0" xfId="0" applyFont="1" applyFill="1"/>
    <xf numFmtId="0" fontId="30" fillId="43" borderId="0" xfId="0" applyFont="1" applyFill="1"/>
    <xf numFmtId="165" fontId="28" fillId="43" borderId="0" xfId="0" applyNumberFormat="1" applyFont="1" applyFill="1" applyAlignment="1">
      <alignment wrapText="1"/>
    </xf>
    <xf numFmtId="0" fontId="50" fillId="43" borderId="0" xfId="0" applyFont="1" applyFill="1" applyAlignment="1">
      <alignment horizontal="left"/>
    </xf>
    <xf numFmtId="0" fontId="54" fillId="43" borderId="0" xfId="82" applyFont="1" applyFill="1"/>
    <xf numFmtId="0" fontId="52" fillId="43" borderId="0" xfId="82" applyFont="1" applyFill="1"/>
    <xf numFmtId="0" fontId="52" fillId="43" borderId="0" xfId="82" applyFont="1" applyFill="1" applyAlignment="1">
      <alignment vertical="top"/>
    </xf>
    <xf numFmtId="0" fontId="29" fillId="43" borderId="0" xfId="72" applyFill="1" applyAlignment="1" applyProtection="1">
      <alignment vertical="top"/>
    </xf>
    <xf numFmtId="0" fontId="0" fillId="31" borderId="57" xfId="0" applyFill="1" applyBorder="1"/>
    <xf numFmtId="166" fontId="52" fillId="31" borderId="0" xfId="56" applyNumberFormat="1" applyFont="1" applyFill="1" applyBorder="1" applyAlignment="1">
      <alignment horizontal="center"/>
    </xf>
    <xf numFmtId="0" fontId="52" fillId="31" borderId="0" xfId="82" applyFont="1" applyFill="1" applyAlignment="1">
      <alignment horizontal="right"/>
    </xf>
    <xf numFmtId="166" fontId="52" fillId="31" borderId="0" xfId="56" applyNumberFormat="1" applyFont="1" applyFill="1" applyBorder="1"/>
    <xf numFmtId="0" fontId="52" fillId="31" borderId="0" xfId="82" applyFont="1" applyFill="1"/>
    <xf numFmtId="164" fontId="52" fillId="31" borderId="0" xfId="82" applyNumberFormat="1" applyFont="1" applyFill="1"/>
    <xf numFmtId="0" fontId="52" fillId="31" borderId="0" xfId="82" applyFont="1" applyFill="1" applyAlignment="1">
      <alignment horizontal="center"/>
    </xf>
    <xf numFmtId="0" fontId="50" fillId="31" borderId="0" xfId="0" applyFont="1" applyFill="1" applyAlignment="1">
      <alignment horizontal="left"/>
    </xf>
    <xf numFmtId="0" fontId="50" fillId="31" borderId="0" xfId="82" applyFont="1" applyFill="1"/>
    <xf numFmtId="165" fontId="0" fillId="31" borderId="0" xfId="0" applyNumberFormat="1" applyFill="1"/>
    <xf numFmtId="0" fontId="54" fillId="31" borderId="0" xfId="82" applyFont="1" applyFill="1"/>
    <xf numFmtId="164" fontId="52" fillId="0" borderId="11" xfId="82" applyNumberFormat="1" applyFont="1" applyBorder="1" applyAlignment="1">
      <alignment horizontal="right"/>
    </xf>
    <xf numFmtId="0" fontId="30" fillId="44" borderId="0" xfId="0" applyFont="1" applyFill="1"/>
    <xf numFmtId="0" fontId="30" fillId="45" borderId="0" xfId="0" applyFont="1" applyFill="1"/>
    <xf numFmtId="0" fontId="30" fillId="42" borderId="0" xfId="0" applyFont="1" applyFill="1"/>
    <xf numFmtId="0" fontId="30" fillId="46" borderId="0" xfId="0" applyFont="1" applyFill="1"/>
    <xf numFmtId="0" fontId="30" fillId="31" borderId="0" xfId="0" applyFont="1" applyFill="1"/>
    <xf numFmtId="0" fontId="0" fillId="0" borderId="11" xfId="72" applyFont="1" applyFill="1" applyBorder="1" applyAlignment="1" applyProtection="1">
      <alignment horizontal="center" vertical="center" wrapText="1"/>
    </xf>
    <xf numFmtId="0" fontId="0" fillId="44" borderId="11" xfId="0" applyFill="1" applyBorder="1" applyAlignment="1">
      <alignment horizontal="center"/>
    </xf>
    <xf numFmtId="0" fontId="0" fillId="45" borderId="11" xfId="0" applyFill="1" applyBorder="1" applyAlignment="1">
      <alignment horizontal="center"/>
    </xf>
    <xf numFmtId="0" fontId="50" fillId="24" borderId="11" xfId="0" applyFont="1" applyFill="1" applyBorder="1" applyAlignment="1">
      <alignment horizontal="center" wrapText="1"/>
    </xf>
    <xf numFmtId="0" fontId="0" fillId="42" borderId="11" xfId="0" applyFill="1" applyBorder="1" applyAlignment="1">
      <alignment horizontal="center"/>
    </xf>
    <xf numFmtId="2" fontId="0" fillId="43" borderId="11" xfId="0" applyNumberFormat="1" applyFill="1" applyBorder="1" applyAlignment="1">
      <alignment horizontal="center"/>
    </xf>
    <xf numFmtId="0" fontId="30" fillId="29" borderId="11" xfId="0" applyFont="1" applyFill="1" applyBorder="1" applyAlignment="1">
      <alignment horizontal="center" wrapText="1"/>
    </xf>
    <xf numFmtId="0" fontId="43" fillId="24" borderId="11" xfId="0" applyFont="1" applyFill="1" applyBorder="1"/>
    <xf numFmtId="3" fontId="0" fillId="41" borderId="11" xfId="0" applyNumberFormat="1" applyFill="1" applyBorder="1"/>
    <xf numFmtId="3" fontId="0" fillId="44" borderId="11" xfId="0" applyNumberFormat="1" applyFill="1" applyBorder="1"/>
    <xf numFmtId="3" fontId="0" fillId="45" borderId="11" xfId="0" applyNumberFormat="1" applyFill="1" applyBorder="1"/>
    <xf numFmtId="0" fontId="43" fillId="37" borderId="57" xfId="0" applyFont="1" applyFill="1" applyBorder="1" applyAlignment="1">
      <alignment horizontal="center" wrapText="1"/>
    </xf>
    <xf numFmtId="0" fontId="0" fillId="24" borderId="56" xfId="0" applyFill="1" applyBorder="1" applyAlignment="1">
      <alignment horizontal="center" wrapText="1"/>
    </xf>
    <xf numFmtId="0" fontId="0" fillId="24" borderId="15" xfId="0" applyFill="1" applyBorder="1" applyAlignment="1">
      <alignment horizontal="center" wrapText="1"/>
    </xf>
    <xf numFmtId="0" fontId="50" fillId="44" borderId="56" xfId="0" applyFont="1" applyFill="1" applyBorder="1"/>
    <xf numFmtId="0" fontId="0" fillId="45" borderId="56" xfId="0" applyFill="1" applyBorder="1"/>
    <xf numFmtId="3" fontId="0" fillId="42" borderId="11" xfId="0" applyNumberFormat="1" applyFill="1" applyBorder="1"/>
    <xf numFmtId="3" fontId="0" fillId="43" borderId="11" xfId="0" applyNumberFormat="1" applyFill="1" applyBorder="1"/>
    <xf numFmtId="0" fontId="0" fillId="42" borderId="56" xfId="0" applyFill="1" applyBorder="1"/>
    <xf numFmtId="0" fontId="0" fillId="46" borderId="56" xfId="0" applyFill="1" applyBorder="1"/>
    <xf numFmtId="0" fontId="0" fillId="43" borderId="56" xfId="0" applyFill="1" applyBorder="1"/>
    <xf numFmtId="0" fontId="43" fillId="41" borderId="14" xfId="0" applyFont="1" applyFill="1" applyBorder="1"/>
    <xf numFmtId="0" fontId="43" fillId="44" borderId="10" xfId="0" applyFont="1" applyFill="1" applyBorder="1"/>
    <xf numFmtId="0" fontId="43" fillId="44" borderId="14" xfId="0" applyFont="1" applyFill="1" applyBorder="1"/>
    <xf numFmtId="0" fontId="43" fillId="43" borderId="10" xfId="0" applyFont="1" applyFill="1" applyBorder="1"/>
    <xf numFmtId="0" fontId="0" fillId="31" borderId="17" xfId="0" applyFill="1" applyBorder="1"/>
    <xf numFmtId="0" fontId="0" fillId="41" borderId="17" xfId="0" applyFill="1" applyBorder="1"/>
    <xf numFmtId="0" fontId="0" fillId="41" borderId="14" xfId="0" applyFill="1" applyBorder="1"/>
    <xf numFmtId="0" fontId="0" fillId="44" borderId="14" xfId="0" applyFill="1" applyBorder="1"/>
    <xf numFmtId="0" fontId="43" fillId="42" borderId="10" xfId="0" applyFont="1" applyFill="1" applyBorder="1"/>
    <xf numFmtId="0" fontId="43" fillId="46" borderId="10" xfId="0" applyFont="1" applyFill="1" applyBorder="1"/>
    <xf numFmtId="0" fontId="0" fillId="43" borderId="17" xfId="0" applyFill="1" applyBorder="1"/>
    <xf numFmtId="0" fontId="43" fillId="31" borderId="0" xfId="0" applyFont="1" applyFill="1"/>
    <xf numFmtId="0" fontId="43" fillId="31" borderId="10" xfId="0" applyFont="1" applyFill="1" applyBorder="1"/>
    <xf numFmtId="0" fontId="0" fillId="31" borderId="14" xfId="0" applyFill="1" applyBorder="1"/>
    <xf numFmtId="0" fontId="50" fillId="24" borderId="24" xfId="0" applyFont="1" applyFill="1" applyBorder="1" applyAlignment="1">
      <alignment horizontal="center"/>
    </xf>
    <xf numFmtId="164" fontId="50" fillId="24" borderId="24" xfId="0" applyNumberFormat="1" applyFont="1" applyFill="1" applyBorder="1"/>
    <xf numFmtId="0" fontId="50" fillId="24" borderId="24" xfId="0" applyFont="1" applyFill="1" applyBorder="1"/>
    <xf numFmtId="0" fontId="63" fillId="24" borderId="24" xfId="0" applyFont="1" applyFill="1" applyBorder="1"/>
    <xf numFmtId="0" fontId="0" fillId="31" borderId="56" xfId="0" applyFill="1" applyBorder="1"/>
    <xf numFmtId="0" fontId="0" fillId="42" borderId="12" xfId="0" applyFill="1" applyBorder="1" applyAlignment="1">
      <alignment wrapText="1"/>
    </xf>
    <xf numFmtId="3" fontId="50" fillId="44" borderId="17" xfId="0" applyNumberFormat="1" applyFont="1" applyFill="1" applyBorder="1"/>
    <xf numFmtId="3" fontId="50" fillId="42" borderId="17" xfId="0" applyNumberFormat="1" applyFont="1" applyFill="1" applyBorder="1"/>
    <xf numFmtId="3" fontId="50" fillId="43" borderId="17" xfId="0" applyNumberFormat="1" applyFont="1" applyFill="1" applyBorder="1"/>
    <xf numFmtId="0" fontId="7" fillId="24" borderId="24" xfId="82" applyFont="1" applyFill="1" applyBorder="1" applyAlignment="1">
      <alignment horizontal="left"/>
    </xf>
    <xf numFmtId="0" fontId="7" fillId="24" borderId="24" xfId="82" applyFont="1" applyFill="1" applyBorder="1" applyAlignment="1">
      <alignment horizontal="right"/>
    </xf>
    <xf numFmtId="166" fontId="7" fillId="24" borderId="24" xfId="56" applyNumberFormat="1" applyFont="1" applyFill="1" applyBorder="1"/>
    <xf numFmtId="0" fontId="7" fillId="24" borderId="24" xfId="82" applyFont="1" applyFill="1" applyBorder="1"/>
    <xf numFmtId="0" fontId="7" fillId="25" borderId="0" xfId="82" applyFont="1" applyFill="1"/>
    <xf numFmtId="0" fontId="0" fillId="41" borderId="12" xfId="0" applyFill="1" applyBorder="1"/>
    <xf numFmtId="0" fontId="72" fillId="40" borderId="11" xfId="0" applyFont="1" applyFill="1" applyBorder="1" applyAlignment="1">
      <alignment horizontal="center" vertical="center"/>
    </xf>
    <xf numFmtId="0" fontId="0" fillId="0" borderId="59" xfId="0" applyBorder="1"/>
    <xf numFmtId="0" fontId="0" fillId="0" borderId="12" xfId="0" applyBorder="1" applyAlignment="1">
      <alignment horizontal="center" vertical="center" wrapText="1"/>
    </xf>
    <xf numFmtId="0" fontId="0" fillId="0" borderId="24" xfId="0"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xf>
    <xf numFmtId="0" fontId="72" fillId="24" borderId="0" xfId="0" applyFont="1" applyFill="1" applyAlignment="1">
      <alignment horizontal="center" vertical="center"/>
    </xf>
    <xf numFmtId="0" fontId="72"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2" fillId="24" borderId="14" xfId="0" applyFont="1" applyFill="1" applyBorder="1" applyAlignment="1">
      <alignment horizontal="center" vertical="center"/>
    </xf>
    <xf numFmtId="0" fontId="28" fillId="24" borderId="14" xfId="0" applyFont="1" applyFill="1" applyBorder="1"/>
    <xf numFmtId="0" fontId="0" fillId="24" borderId="59" xfId="0" applyFill="1" applyBorder="1"/>
    <xf numFmtId="0" fontId="52" fillId="24" borderId="14" xfId="0" applyFont="1" applyFill="1" applyBorder="1" applyAlignment="1">
      <alignment horizontal="left"/>
    </xf>
    <xf numFmtId="0" fontId="52" fillId="24" borderId="14" xfId="0" applyFont="1" applyFill="1" applyBorder="1"/>
    <xf numFmtId="0" fontId="52"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0" fontId="63" fillId="0" borderId="0" xfId="82" applyFont="1" applyAlignment="1">
      <alignment horizontal="center"/>
    </xf>
    <xf numFmtId="0" fontId="63" fillId="0" borderId="0" xfId="110" applyFont="1" applyAlignment="1">
      <alignment horizontal="left" vertical="center" wrapText="1"/>
    </xf>
    <xf numFmtId="171" fontId="52" fillId="0" borderId="11" xfId="82" applyNumberFormat="1" applyFont="1" applyBorder="1"/>
    <xf numFmtId="171" fontId="52" fillId="0" borderId="0" xfId="82" applyNumberFormat="1" applyFont="1"/>
    <xf numFmtId="171" fontId="52" fillId="0" borderId="18" xfId="82" applyNumberFormat="1" applyFont="1" applyBorder="1"/>
    <xf numFmtId="0" fontId="0" fillId="25" borderId="0" xfId="0" applyFill="1"/>
    <xf numFmtId="171" fontId="52" fillId="25" borderId="0" xfId="82" applyNumberFormat="1" applyFont="1" applyFill="1"/>
    <xf numFmtId="3" fontId="0" fillId="25" borderId="0" xfId="0" applyNumberFormat="1" applyFill="1" applyAlignment="1">
      <alignment horizontal="right"/>
    </xf>
    <xf numFmtId="0" fontId="77" fillId="0" borderId="0" xfId="82" applyFont="1"/>
    <xf numFmtId="164" fontId="7" fillId="0" borderId="0" xfId="82" applyNumberFormat="1" applyFont="1" applyAlignment="1">
      <alignment horizontal="right"/>
    </xf>
    <xf numFmtId="0" fontId="76" fillId="0" borderId="11" xfId="0" applyFont="1" applyBorder="1" applyAlignment="1">
      <alignment wrapText="1"/>
    </xf>
    <xf numFmtId="0" fontId="75" fillId="0" borderId="0" xfId="0" applyFont="1"/>
    <xf numFmtId="9" fontId="0" fillId="0" borderId="11" xfId="0" applyNumberFormat="1" applyBorder="1"/>
    <xf numFmtId="0" fontId="75" fillId="0" borderId="11" xfId="0" applyFont="1" applyBorder="1" applyAlignment="1">
      <alignment horizontal="center" wrapText="1"/>
    </xf>
    <xf numFmtId="0" fontId="50" fillId="0" borderId="11" xfId="0" applyFont="1" applyBorder="1" applyAlignment="1">
      <alignment horizontal="center" wrapText="1"/>
    </xf>
    <xf numFmtId="0" fontId="75" fillId="49" borderId="11" xfId="0" applyFont="1" applyFill="1" applyBorder="1" applyAlignment="1">
      <alignment horizontal="center" wrapText="1"/>
    </xf>
    <xf numFmtId="0" fontId="50" fillId="49" borderId="11" xfId="0" applyFont="1" applyFill="1" applyBorder="1" applyAlignment="1">
      <alignment horizontal="center" wrapText="1"/>
    </xf>
    <xf numFmtId="171" fontId="52" fillId="0" borderId="11" xfId="57" applyNumberFormat="1" applyFont="1" applyFill="1" applyBorder="1" applyProtection="1"/>
    <xf numFmtId="3" fontId="52" fillId="0" borderId="11" xfId="82" applyNumberFormat="1" applyFont="1" applyBorder="1" applyAlignment="1">
      <alignment horizontal="right"/>
    </xf>
    <xf numFmtId="171" fontId="52" fillId="0" borderId="61" xfId="82" applyNumberFormat="1" applyFont="1" applyBorder="1"/>
    <xf numFmtId="0" fontId="0" fillId="0" borderId="40" xfId="0" applyBorder="1"/>
    <xf numFmtId="171" fontId="52" fillId="0" borderId="40" xfId="82" applyNumberFormat="1" applyFont="1" applyBorder="1"/>
    <xf numFmtId="3" fontId="0" fillId="0" borderId="40" xfId="0" applyNumberFormat="1" applyBorder="1" applyAlignment="1">
      <alignment horizontal="right"/>
    </xf>
    <xf numFmtId="171" fontId="52" fillId="0" borderId="38" xfId="82" applyNumberFormat="1" applyFont="1" applyBorder="1"/>
    <xf numFmtId="0" fontId="54" fillId="0" borderId="11" xfId="110" applyFont="1" applyBorder="1" applyAlignment="1">
      <alignment horizontal="center" vertical="center" wrapText="1"/>
    </xf>
    <xf numFmtId="3" fontId="54" fillId="0" borderId="11" xfId="110" applyNumberFormat="1" applyFont="1" applyBorder="1" applyAlignment="1">
      <alignment horizontal="right" vertical="center" wrapText="1"/>
    </xf>
    <xf numFmtId="0" fontId="63" fillId="0" borderId="11" xfId="110" applyFont="1" applyBorder="1" applyAlignment="1">
      <alignment horizontal="left" vertical="center" wrapText="1"/>
    </xf>
    <xf numFmtId="1" fontId="0" fillId="0" borderId="11" xfId="0" applyNumberFormat="1" applyBorder="1"/>
    <xf numFmtId="0" fontId="50" fillId="0" borderId="60" xfId="0" applyFont="1" applyBorder="1" applyAlignment="1">
      <alignment horizontal="center"/>
    </xf>
    <xf numFmtId="0" fontId="0" fillId="0" borderId="33" xfId="0" applyBorder="1" applyAlignment="1">
      <alignment horizontal="center"/>
    </xf>
    <xf numFmtId="0" fontId="0" fillId="0" borderId="39" xfId="0" applyBorder="1" applyAlignment="1">
      <alignment horizontal="center"/>
    </xf>
    <xf numFmtId="0" fontId="54" fillId="24" borderId="17" xfId="110" applyFont="1" applyFill="1" applyBorder="1" applyAlignment="1">
      <alignment horizontal="left" vertical="center" wrapText="1"/>
    </xf>
    <xf numFmtId="0" fontId="54" fillId="24" borderId="11" xfId="110" applyFont="1" applyFill="1" applyBorder="1" applyAlignment="1">
      <alignment horizontal="left" vertical="center" wrapText="1"/>
    </xf>
    <xf numFmtId="0" fontId="75" fillId="24" borderId="11" xfId="0" applyFont="1" applyFill="1" applyBorder="1" applyAlignment="1">
      <alignment horizontal="center" wrapText="1"/>
    </xf>
    <xf numFmtId="171" fontId="52" fillId="24" borderId="17" xfId="82" applyNumberFormat="1" applyFont="1" applyFill="1" applyBorder="1"/>
    <xf numFmtId="171" fontId="52" fillId="24" borderId="11" xfId="82" applyNumberFormat="1" applyFont="1" applyFill="1" applyBorder="1"/>
    <xf numFmtId="0" fontId="50" fillId="0" borderId="20" xfId="82" applyFont="1" applyBorder="1" applyAlignment="1">
      <alignment horizontal="center"/>
    </xf>
    <xf numFmtId="0" fontId="50" fillId="0" borderId="20" xfId="110" applyFont="1" applyBorder="1" applyAlignment="1">
      <alignment horizontal="center" wrapText="1"/>
    </xf>
    <xf numFmtId="3" fontId="50" fillId="0" borderId="20" xfId="110" applyNumberFormat="1" applyFont="1" applyBorder="1" applyAlignment="1">
      <alignment horizontal="center" wrapText="1"/>
    </xf>
    <xf numFmtId="0" fontId="50" fillId="0" borderId="34" xfId="110" applyFont="1" applyBorder="1" applyAlignment="1">
      <alignment horizontal="center" wrapText="1"/>
    </xf>
    <xf numFmtId="0" fontId="78" fillId="0" borderId="0" xfId="0" applyFont="1" applyAlignment="1">
      <alignment vertical="center"/>
    </xf>
    <xf numFmtId="0" fontId="30" fillId="0" borderId="56" xfId="0" applyFont="1" applyBorder="1"/>
    <xf numFmtId="166" fontId="30" fillId="29" borderId="0" xfId="56" applyNumberFormat="1" applyFont="1" applyFill="1"/>
    <xf numFmtId="0" fontId="30" fillId="29" borderId="0" xfId="0" applyFont="1" applyFill="1" applyAlignment="1">
      <alignment horizontal="right"/>
    </xf>
    <xf numFmtId="166" fontId="30" fillId="29" borderId="0" xfId="0" applyNumberFormat="1" applyFont="1" applyFill="1" applyAlignment="1">
      <alignment horizontal="left"/>
    </xf>
    <xf numFmtId="0" fontId="30" fillId="49" borderId="11" xfId="0" applyFont="1" applyFill="1" applyBorder="1" applyAlignment="1">
      <alignment horizontal="left"/>
    </xf>
    <xf numFmtId="10" fontId="30" fillId="49"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66" fontId="30" fillId="49" borderId="0" xfId="56" applyNumberFormat="1" applyFont="1" applyFill="1"/>
    <xf numFmtId="0" fontId="30" fillId="49" borderId="0" xfId="0" applyFont="1" applyFill="1"/>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6" fontId="30" fillId="49" borderId="0" xfId="0" applyNumberFormat="1" applyFont="1" applyFill="1" applyAlignment="1">
      <alignment horizontal="left"/>
    </xf>
    <xf numFmtId="0" fontId="30" fillId="51" borderId="0" xfId="0" applyFont="1" applyFill="1" applyAlignment="1">
      <alignment horizontal="left"/>
    </xf>
    <xf numFmtId="0" fontId="30" fillId="51" borderId="0" xfId="0" applyFont="1" applyFill="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43" fontId="30" fillId="29" borderId="0" xfId="0" applyNumberFormat="1" applyFont="1" applyFill="1" applyAlignment="1">
      <alignment horizontal="left"/>
    </xf>
    <xf numFmtId="0" fontId="54" fillId="24" borderId="24" xfId="0" applyFont="1" applyFill="1" applyBorder="1" applyAlignment="1">
      <alignment horizontal="left" vertical="center" wrapText="1"/>
    </xf>
    <xf numFmtId="0" fontId="50" fillId="41" borderId="12" xfId="0" applyFont="1" applyFill="1" applyBorder="1" applyAlignment="1">
      <alignment horizontal="left"/>
    </xf>
    <xf numFmtId="0" fontId="30" fillId="0" borderId="0" xfId="0" quotePrefix="1" applyFont="1" applyAlignment="1">
      <alignment wrapText="1"/>
    </xf>
    <xf numFmtId="0" fontId="30" fillId="26" borderId="57" xfId="0" applyFont="1" applyFill="1" applyBorder="1" applyAlignment="1">
      <alignment horizontal="left"/>
    </xf>
    <xf numFmtId="0" fontId="30" fillId="26" borderId="57" xfId="0" applyFont="1" applyFill="1" applyBorder="1"/>
    <xf numFmtId="0" fontId="30" fillId="26" borderId="56" xfId="0" applyFont="1" applyFill="1" applyBorder="1"/>
    <xf numFmtId="0" fontId="33" fillId="30" borderId="57" xfId="0" applyFont="1" applyFill="1" applyBorder="1" applyAlignment="1">
      <alignment vertical="center" wrapText="1"/>
    </xf>
    <xf numFmtId="0" fontId="33" fillId="30" borderId="56" xfId="0" applyFont="1" applyFill="1" applyBorder="1" applyAlignment="1">
      <alignment vertical="center" wrapText="1"/>
    </xf>
    <xf numFmtId="0" fontId="33" fillId="27" borderId="57" xfId="0" applyFont="1" applyFill="1" applyBorder="1"/>
    <xf numFmtId="0" fontId="33" fillId="27" borderId="56" xfId="0" applyFont="1" applyFill="1" applyBorder="1"/>
    <xf numFmtId="0" fontId="7" fillId="0" borderId="56" xfId="0" applyFont="1" applyBorder="1"/>
    <xf numFmtId="0" fontId="30" fillId="0" borderId="57" xfId="0" applyFont="1" applyBorder="1"/>
    <xf numFmtId="0" fontId="8" fillId="0" borderId="56" xfId="0" applyFont="1" applyBorder="1"/>
    <xf numFmtId="3" fontId="8" fillId="0" borderId="56" xfId="0" applyNumberFormat="1" applyFont="1" applyBorder="1"/>
    <xf numFmtId="3" fontId="33" fillId="0" borderId="57" xfId="0" applyNumberFormat="1" applyFont="1" applyBorder="1"/>
    <xf numFmtId="3" fontId="33" fillId="0" borderId="56" xfId="0" applyNumberFormat="1" applyFont="1" applyBorder="1"/>
    <xf numFmtId="3" fontId="8" fillId="0" borderId="57" xfId="0" applyNumberFormat="1" applyFont="1" applyBorder="1"/>
    <xf numFmtId="3" fontId="7" fillId="0" borderId="56" xfId="0" applyNumberFormat="1" applyFont="1" applyBorder="1"/>
    <xf numFmtId="3" fontId="30" fillId="0" borderId="57" xfId="0" applyNumberFormat="1" applyFont="1" applyBorder="1"/>
    <xf numFmtId="3" fontId="30" fillId="0" borderId="56" xfId="0" applyNumberFormat="1" applyFont="1" applyBorder="1"/>
    <xf numFmtId="3" fontId="7" fillId="0" borderId="57" xfId="0" applyNumberFormat="1" applyFont="1" applyBorder="1"/>
    <xf numFmtId="0" fontId="7" fillId="0" borderId="57" xfId="0" applyFont="1" applyBorder="1"/>
    <xf numFmtId="165" fontId="30" fillId="25" borderId="56" xfId="0" applyNumberFormat="1" applyFont="1" applyFill="1" applyBorder="1" applyAlignment="1">
      <alignment horizontal="right"/>
    </xf>
    <xf numFmtId="0" fontId="29" fillId="25" borderId="11" xfId="72" applyFill="1" applyBorder="1" applyAlignment="1" applyProtection="1">
      <alignment vertical="center"/>
    </xf>
    <xf numFmtId="0" fontId="0" fillId="0" borderId="57" xfId="0" applyBorder="1" applyAlignment="1">
      <alignment wrapText="1"/>
    </xf>
    <xf numFmtId="0" fontId="62" fillId="0" borderId="20" xfId="72" applyFont="1" applyBorder="1" applyAlignment="1" applyProtection="1"/>
    <xf numFmtId="0" fontId="30" fillId="0" borderId="62" xfId="0" applyFont="1" applyBorder="1" applyAlignment="1">
      <alignment vertical="center" wrapText="1"/>
    </xf>
    <xf numFmtId="0" fontId="30" fillId="0" borderId="64" xfId="0" applyFont="1" applyBorder="1" applyAlignment="1">
      <alignment vertical="center" wrapText="1"/>
    </xf>
    <xf numFmtId="0" fontId="30" fillId="25" borderId="62" xfId="0" applyFont="1" applyFill="1" applyBorder="1" applyAlignment="1">
      <alignment vertical="center"/>
    </xf>
    <xf numFmtId="0" fontId="30" fillId="0" borderId="62" xfId="0" applyFont="1" applyBorder="1" applyAlignment="1">
      <alignment vertical="center"/>
    </xf>
    <xf numFmtId="0" fontId="62" fillId="0" borderId="11" xfId="72" applyFont="1" applyBorder="1" applyAlignment="1" applyProtection="1"/>
    <xf numFmtId="0" fontId="29" fillId="25" borderId="0" xfId="72" applyFill="1" applyAlignment="1" applyProtection="1"/>
    <xf numFmtId="0" fontId="43" fillId="38" borderId="15" xfId="0" applyFont="1" applyFill="1" applyBorder="1" applyAlignment="1">
      <alignment horizontal="center" wrapText="1"/>
    </xf>
    <xf numFmtId="0" fontId="54" fillId="0" borderId="32" xfId="0" applyFont="1" applyBorder="1" applyAlignment="1">
      <alignment wrapText="1"/>
    </xf>
    <xf numFmtId="0" fontId="64" fillId="0" borderId="37" xfId="0" applyFont="1" applyBorder="1" applyAlignment="1">
      <alignment wrapText="1"/>
    </xf>
    <xf numFmtId="0" fontId="0" fillId="0" borderId="42" xfId="0" applyBorder="1"/>
    <xf numFmtId="3" fontId="0" fillId="46" borderId="66" xfId="0" applyNumberFormat="1" applyFill="1" applyBorder="1"/>
    <xf numFmtId="3" fontId="0" fillId="24" borderId="66" xfId="0" applyNumberFormat="1" applyFill="1" applyBorder="1"/>
    <xf numFmtId="0" fontId="0" fillId="0" borderId="43" xfId="0" applyBorder="1"/>
    <xf numFmtId="0" fontId="0" fillId="0" borderId="37" xfId="0" applyBorder="1"/>
    <xf numFmtId="0" fontId="0" fillId="0" borderId="36" xfId="0" applyBorder="1"/>
    <xf numFmtId="0" fontId="52" fillId="0" borderId="64" xfId="0" applyFont="1" applyBorder="1" applyAlignment="1">
      <alignment wrapText="1"/>
    </xf>
    <xf numFmtId="0" fontId="0" fillId="0" borderId="67" xfId="0" applyBorder="1"/>
    <xf numFmtId="0" fontId="0" fillId="0" borderId="58" xfId="0" applyBorder="1"/>
    <xf numFmtId="0" fontId="0" fillId="0" borderId="62" xfId="0" applyBorder="1" applyAlignment="1">
      <alignment vertical="center" wrapText="1"/>
    </xf>
    <xf numFmtId="0" fontId="50" fillId="0" borderId="62" xfId="0" applyFont="1" applyBorder="1" applyAlignment="1">
      <alignment wrapText="1"/>
    </xf>
    <xf numFmtId="0" fontId="50" fillId="0" borderId="26" xfId="0" applyFont="1" applyBorder="1" applyAlignment="1">
      <alignment wrapText="1"/>
    </xf>
    <xf numFmtId="0" fontId="0" fillId="0" borderId="21" xfId="0" applyBorder="1"/>
    <xf numFmtId="0" fontId="50" fillId="0" borderId="44" xfId="0" applyFont="1" applyBorder="1" applyAlignment="1">
      <alignment wrapText="1"/>
    </xf>
    <xf numFmtId="0" fontId="0" fillId="0" borderId="51" xfId="0" applyBorder="1"/>
    <xf numFmtId="10" fontId="28" fillId="0" borderId="51" xfId="92" applyNumberFormat="1" applyFont="1" applyFill="1" applyBorder="1"/>
    <xf numFmtId="3" fontId="50" fillId="0" borderId="51" xfId="0" applyNumberFormat="1" applyFont="1" applyBorder="1"/>
    <xf numFmtId="0" fontId="0" fillId="0" borderId="51" xfId="0" applyBorder="1" applyAlignment="1">
      <alignment horizontal="left"/>
    </xf>
    <xf numFmtId="0" fontId="0" fillId="0" borderId="41" xfId="0" applyBorder="1"/>
    <xf numFmtId="0" fontId="43" fillId="37" borderId="32" xfId="0" applyFont="1" applyFill="1" applyBorder="1" applyAlignment="1">
      <alignment horizontal="center" wrapText="1"/>
    </xf>
    <xf numFmtId="0" fontId="0" fillId="24" borderId="66" xfId="0" applyFill="1" applyBorder="1" applyAlignment="1">
      <alignment horizontal="center" wrapText="1"/>
    </xf>
    <xf numFmtId="0" fontId="0" fillId="24" borderId="45" xfId="0" applyFill="1" applyBorder="1" applyAlignment="1">
      <alignment horizontal="center" wrapText="1"/>
    </xf>
    <xf numFmtId="0" fontId="0" fillId="24" borderId="62" xfId="0" applyFill="1" applyBorder="1"/>
    <xf numFmtId="10" fontId="0" fillId="0" borderId="61" xfId="92" applyNumberFormat="1" applyFont="1" applyFill="1" applyBorder="1"/>
    <xf numFmtId="3" fontId="0" fillId="46" borderId="62" xfId="0" applyNumberFormat="1" applyFill="1" applyBorder="1"/>
    <xf numFmtId="3" fontId="0" fillId="0" borderId="61" xfId="0" applyNumberFormat="1" applyBorder="1"/>
    <xf numFmtId="3" fontId="50" fillId="0" borderId="61" xfId="0" applyNumberFormat="1" applyFont="1" applyBorder="1"/>
    <xf numFmtId="0" fontId="0" fillId="0" borderId="32" xfId="0" applyBorder="1"/>
    <xf numFmtId="0" fontId="52" fillId="0" borderId="62" xfId="0" applyFont="1" applyBorder="1"/>
    <xf numFmtId="10" fontId="28" fillId="25" borderId="0" xfId="92" applyNumberFormat="1" applyFont="1" applyFill="1" applyBorder="1"/>
    <xf numFmtId="0" fontId="0" fillId="0" borderId="33" xfId="0" applyBorder="1"/>
    <xf numFmtId="0" fontId="0" fillId="0" borderId="68" xfId="0" applyBorder="1"/>
    <xf numFmtId="0" fontId="0" fillId="0" borderId="70" xfId="0" applyBorder="1"/>
    <xf numFmtId="0" fontId="50" fillId="0" borderId="69" xfId="0" applyFont="1" applyBorder="1" applyAlignment="1">
      <alignment wrapText="1"/>
    </xf>
    <xf numFmtId="166" fontId="64" fillId="0" borderId="0" xfId="56" applyNumberFormat="1" applyFont="1" applyFill="1" applyBorder="1" applyAlignment="1">
      <alignment horizontal="left"/>
    </xf>
    <xf numFmtId="0" fontId="80" fillId="0" borderId="0" xfId="0" applyFont="1"/>
    <xf numFmtId="0" fontId="0" fillId="25" borderId="0" xfId="0" applyFill="1" applyAlignment="1">
      <alignment horizontal="right"/>
    </xf>
    <xf numFmtId="0" fontId="0" fillId="25" borderId="0" xfId="0" applyFill="1" applyAlignment="1">
      <alignment horizontal="center"/>
    </xf>
    <xf numFmtId="170" fontId="0" fillId="25" borderId="0" xfId="0" applyNumberFormat="1" applyFill="1"/>
    <xf numFmtId="0" fontId="0" fillId="24" borderId="60" xfId="0" applyFill="1" applyBorder="1" applyAlignment="1">
      <alignment horizontal="center"/>
    </xf>
    <xf numFmtId="0" fontId="50" fillId="0" borderId="33" xfId="0" applyFont="1" applyBorder="1" applyAlignment="1">
      <alignment horizontal="right"/>
    </xf>
    <xf numFmtId="0" fontId="50" fillId="0" borderId="63" xfId="0" applyFont="1" applyBorder="1" applyAlignment="1">
      <alignment horizontal="right"/>
    </xf>
    <xf numFmtId="0" fontId="50" fillId="0" borderId="39" xfId="0" applyFont="1" applyBorder="1" applyAlignment="1">
      <alignment horizontal="right"/>
    </xf>
    <xf numFmtId="0" fontId="50" fillId="0" borderId="0" xfId="0" applyFont="1" applyAlignment="1">
      <alignment horizontal="right"/>
    </xf>
    <xf numFmtId="9" fontId="0" fillId="25" borderId="0" xfId="0" applyNumberFormat="1" applyFill="1"/>
    <xf numFmtId="166" fontId="0" fillId="25" borderId="0" xfId="56" applyNumberFormat="1" applyFont="1" applyFill="1" applyBorder="1" applyAlignment="1">
      <alignment horizontal="right"/>
    </xf>
    <xf numFmtId="166" fontId="0" fillId="25" borderId="0" xfId="0" applyNumberFormat="1" applyFill="1"/>
    <xf numFmtId="9" fontId="2" fillId="0" borderId="0" xfId="92" applyFont="1" applyFill="1" applyBorder="1"/>
    <xf numFmtId="0" fontId="5" fillId="0" borderId="60" xfId="82" applyFont="1" applyBorder="1" applyAlignment="1">
      <alignment wrapText="1"/>
    </xf>
    <xf numFmtId="0" fontId="5" fillId="0" borderId="42" xfId="82" applyFont="1" applyBorder="1" applyAlignment="1">
      <alignment horizontal="center" wrapText="1"/>
    </xf>
    <xf numFmtId="0" fontId="5" fillId="0" borderId="66" xfId="82" applyFont="1" applyBorder="1" applyAlignment="1">
      <alignment horizontal="center" wrapText="1"/>
    </xf>
    <xf numFmtId="3" fontId="5" fillId="0" borderId="66" xfId="82" applyNumberFormat="1" applyFont="1" applyBorder="1" applyAlignment="1">
      <alignment horizontal="center" wrapText="1"/>
    </xf>
    <xf numFmtId="0" fontId="5" fillId="0" borderId="45" xfId="82" applyFont="1" applyBorder="1" applyAlignment="1">
      <alignment horizontal="center" wrapText="1"/>
    </xf>
    <xf numFmtId="165" fontId="5" fillId="0" borderId="0" xfId="82" applyNumberFormat="1" applyFont="1" applyAlignment="1">
      <alignment horizontal="right"/>
    </xf>
    <xf numFmtId="165" fontId="5" fillId="0" borderId="0" xfId="82" applyNumberFormat="1" applyFont="1"/>
    <xf numFmtId="0" fontId="83" fillId="0" borderId="0" xfId="82" applyFont="1" applyAlignment="1">
      <alignment horizontal="left"/>
    </xf>
    <xf numFmtId="0" fontId="51" fillId="25" borderId="0" xfId="82" applyFont="1" applyFill="1" applyAlignment="1">
      <alignment horizontal="right"/>
    </xf>
    <xf numFmtId="4" fontId="7" fillId="0" borderId="0" xfId="82" applyNumberFormat="1" applyFont="1"/>
    <xf numFmtId="0" fontId="5" fillId="0" borderId="0" xfId="82" applyFont="1" applyAlignment="1">
      <alignment horizontal="left"/>
    </xf>
    <xf numFmtId="0" fontId="5" fillId="0" borderId="32" xfId="82" applyFont="1" applyBorder="1" applyAlignment="1">
      <alignment horizontal="center"/>
    </xf>
    <xf numFmtId="0" fontId="51" fillId="0" borderId="0" xfId="82" applyFont="1" applyAlignment="1">
      <alignment horizontal="center"/>
    </xf>
    <xf numFmtId="0" fontId="7" fillId="25" borderId="0" xfId="82" applyFont="1" applyFill="1" applyAlignment="1">
      <alignment horizontal="center" vertical="top"/>
    </xf>
    <xf numFmtId="0" fontId="7" fillId="25" borderId="0" xfId="82" applyFont="1" applyFill="1" applyAlignment="1">
      <alignment horizontal="center"/>
    </xf>
    <xf numFmtId="0" fontId="7" fillId="24" borderId="0" xfId="82" applyFont="1" applyFill="1" applyAlignment="1">
      <alignment horizontal="center"/>
    </xf>
    <xf numFmtId="0" fontId="7" fillId="24" borderId="0" xfId="82" applyFont="1" applyFill="1" applyAlignment="1">
      <alignment horizontal="center" vertical="top"/>
    </xf>
    <xf numFmtId="0" fontId="47" fillId="0" borderId="0" xfId="82" applyFont="1"/>
    <xf numFmtId="165" fontId="5" fillId="25" borderId="0" xfId="82" applyNumberFormat="1" applyFont="1" applyFill="1"/>
    <xf numFmtId="0" fontId="84" fillId="0" borderId="0" xfId="82" applyFont="1" applyAlignment="1">
      <alignment horizontal="left"/>
    </xf>
    <xf numFmtId="0" fontId="7" fillId="25" borderId="0" xfId="82" applyFont="1" applyFill="1" applyAlignment="1">
      <alignment horizontal="left"/>
    </xf>
    <xf numFmtId="166" fontId="7" fillId="25" borderId="0" xfId="56" applyNumberFormat="1" applyFont="1" applyFill="1" applyBorder="1"/>
    <xf numFmtId="0" fontId="7" fillId="25" borderId="0" xfId="82" applyFont="1" applyFill="1" applyAlignment="1">
      <alignment horizontal="right"/>
    </xf>
    <xf numFmtId="0" fontId="8" fillId="25" borderId="0" xfId="82" applyFont="1" applyFill="1" applyAlignment="1">
      <alignment vertical="center"/>
    </xf>
    <xf numFmtId="0" fontId="5" fillId="0" borderId="77" xfId="82" applyFont="1" applyBorder="1" applyAlignment="1">
      <alignment wrapText="1"/>
    </xf>
    <xf numFmtId="0" fontId="5" fillId="0" borderId="78" xfId="82" applyFont="1" applyBorder="1" applyAlignment="1">
      <alignment horizontal="center" wrapText="1"/>
    </xf>
    <xf numFmtId="0" fontId="5" fillId="0" borderId="79" xfId="82" applyFont="1" applyBorder="1" applyAlignment="1">
      <alignment horizontal="center" wrapText="1"/>
    </xf>
    <xf numFmtId="3" fontId="5" fillId="0" borderId="79" xfId="82" applyNumberFormat="1" applyFont="1" applyBorder="1" applyAlignment="1">
      <alignment horizontal="center" wrapText="1"/>
    </xf>
    <xf numFmtId="0" fontId="5" fillId="0" borderId="36" xfId="82" applyFont="1" applyBorder="1" applyAlignment="1">
      <alignment horizontal="center" wrapText="1"/>
    </xf>
    <xf numFmtId="0" fontId="44" fillId="37" borderId="12" xfId="0" applyFont="1" applyFill="1" applyBorder="1" applyAlignment="1">
      <alignment vertical="center"/>
    </xf>
    <xf numFmtId="0" fontId="5" fillId="24" borderId="0" xfId="82" applyFont="1" applyFill="1" applyAlignment="1">
      <alignment wrapText="1"/>
    </xf>
    <xf numFmtId="0" fontId="85" fillId="0" borderId="0" xfId="82" applyFont="1"/>
    <xf numFmtId="0" fontId="5" fillId="0" borderId="0" xfId="82" applyFont="1"/>
    <xf numFmtId="3" fontId="5" fillId="0" borderId="0" xfId="82" applyNumberFormat="1" applyFont="1"/>
    <xf numFmtId="165" fontId="5" fillId="0" borderId="0" xfId="82" applyNumberFormat="1" applyFont="1" applyAlignment="1">
      <alignment horizontal="left"/>
    </xf>
    <xf numFmtId="0" fontId="8" fillId="24" borderId="0" xfId="82" applyFont="1" applyFill="1"/>
    <xf numFmtId="164" fontId="5" fillId="0" borderId="61" xfId="82" applyNumberFormat="1" applyFont="1" applyBorder="1"/>
    <xf numFmtId="0" fontId="8" fillId="0" borderId="0" xfId="82" applyFont="1"/>
    <xf numFmtId="164" fontId="5" fillId="0" borderId="38" xfId="82" applyNumberFormat="1" applyFont="1" applyBorder="1"/>
    <xf numFmtId="0" fontId="43" fillId="25" borderId="0" xfId="0" applyFont="1" applyFill="1"/>
    <xf numFmtId="0" fontId="8" fillId="25" borderId="0" xfId="82" applyFont="1" applyFill="1"/>
    <xf numFmtId="0" fontId="5" fillId="25" borderId="0" xfId="82" applyFont="1" applyFill="1" applyAlignment="1">
      <alignment wrapText="1"/>
    </xf>
    <xf numFmtId="0" fontId="85" fillId="25" borderId="0" xfId="82" applyFont="1" applyFill="1"/>
    <xf numFmtId="0" fontId="44" fillId="25" borderId="0" xfId="0" applyFont="1" applyFill="1" applyAlignment="1">
      <alignment vertical="center"/>
    </xf>
    <xf numFmtId="0" fontId="44" fillId="37" borderId="13" xfId="0" applyFont="1" applyFill="1" applyBorder="1" applyAlignment="1">
      <alignment vertical="center"/>
    </xf>
    <xf numFmtId="0" fontId="0" fillId="0" borderId="81" xfId="0" applyBorder="1"/>
    <xf numFmtId="0" fontId="0" fillId="0" borderId="80" xfId="0" applyBorder="1"/>
    <xf numFmtId="0" fontId="0" fillId="0" borderId="0" xfId="0" applyAlignment="1">
      <alignment horizontal="right" vertical="center"/>
    </xf>
    <xf numFmtId="2" fontId="0" fillId="0" borderId="0" xfId="0" applyNumberFormat="1"/>
    <xf numFmtId="0" fontId="50" fillId="25" borderId="0" xfId="0" applyFont="1" applyFill="1" applyAlignment="1">
      <alignment horizontal="center" wrapText="1"/>
    </xf>
    <xf numFmtId="0" fontId="5" fillId="25" borderId="0" xfId="82" applyFont="1" applyFill="1"/>
    <xf numFmtId="0" fontId="8" fillId="0" borderId="0" xfId="82" applyFont="1" applyAlignment="1">
      <alignment horizontal="left"/>
    </xf>
    <xf numFmtId="9" fontId="2" fillId="25" borderId="0" xfId="92" applyFont="1" applyFill="1" applyBorder="1"/>
    <xf numFmtId="0" fontId="5" fillId="24" borderId="32" xfId="82" applyFont="1" applyFill="1" applyBorder="1" applyAlignment="1">
      <alignment horizontal="center"/>
    </xf>
    <xf numFmtId="0" fontId="5" fillId="24" borderId="66" xfId="82" applyFont="1" applyFill="1" applyBorder="1" applyAlignment="1">
      <alignment horizontal="center" wrapText="1"/>
    </xf>
    <xf numFmtId="0" fontId="5" fillId="24" borderId="45" xfId="82" applyFont="1" applyFill="1" applyBorder="1" applyAlignment="1">
      <alignment horizontal="center" wrapText="1"/>
    </xf>
    <xf numFmtId="0" fontId="0" fillId="25" borderId="0" xfId="0" applyFill="1" applyAlignment="1">
      <alignment horizontal="center" wrapText="1"/>
    </xf>
    <xf numFmtId="164" fontId="0" fillId="25" borderId="0" xfId="0" applyNumberFormat="1" applyFill="1"/>
    <xf numFmtId="0" fontId="7" fillId="0" borderId="0" xfId="82" applyFont="1" applyAlignment="1">
      <alignment vertical="top"/>
    </xf>
    <xf numFmtId="0" fontId="2" fillId="0" borderId="0" xfId="82"/>
    <xf numFmtId="0" fontId="87" fillId="0" borderId="0" xfId="0" applyFont="1"/>
    <xf numFmtId="0" fontId="2" fillId="25" borderId="0" xfId="82" applyFill="1"/>
    <xf numFmtId="0" fontId="2" fillId="24" borderId="0" xfId="82" applyFill="1"/>
    <xf numFmtId="0" fontId="87" fillId="37" borderId="17" xfId="0" applyFont="1" applyFill="1" applyBorder="1"/>
    <xf numFmtId="0" fontId="47" fillId="25" borderId="0" xfId="0" applyFont="1" applyFill="1"/>
    <xf numFmtId="0" fontId="8" fillId="0" borderId="33" xfId="72" applyFont="1" applyFill="1" applyBorder="1" applyAlignment="1" applyProtection="1"/>
    <xf numFmtId="0" fontId="88" fillId="25" borderId="0" xfId="72" applyFont="1" applyFill="1" applyBorder="1" applyAlignment="1" applyProtection="1"/>
    <xf numFmtId="0" fontId="89" fillId="0" borderId="0" xfId="72" applyFont="1" applyAlignment="1" applyProtection="1">
      <alignment vertical="top"/>
    </xf>
    <xf numFmtId="3" fontId="2" fillId="0" borderId="0" xfId="82" applyNumberFormat="1"/>
    <xf numFmtId="3" fontId="2" fillId="0" borderId="0" xfId="82" applyNumberFormat="1" applyAlignment="1">
      <alignment horizontal="right"/>
    </xf>
    <xf numFmtId="164" fontId="2" fillId="0" borderId="0" xfId="82" applyNumberFormat="1"/>
    <xf numFmtId="165" fontId="2" fillId="0" borderId="0" xfId="82" applyNumberFormat="1"/>
    <xf numFmtId="0" fontId="89" fillId="0" borderId="0" xfId="72" applyFont="1" applyAlignment="1" applyProtection="1"/>
    <xf numFmtId="0" fontId="7" fillId="0" borderId="0" xfId="72" applyFont="1" applyAlignment="1" applyProtection="1"/>
    <xf numFmtId="0" fontId="87" fillId="37" borderId="80" xfId="0" applyFont="1" applyFill="1" applyBorder="1"/>
    <xf numFmtId="0" fontId="87" fillId="25" borderId="0" xfId="0" applyFont="1" applyFill="1"/>
    <xf numFmtId="0" fontId="90" fillId="0" borderId="0" xfId="0" applyFont="1"/>
    <xf numFmtId="9" fontId="2" fillId="40" borderId="61" xfId="82" applyNumberFormat="1" applyFill="1" applyBorder="1" applyProtection="1">
      <protection locked="0"/>
    </xf>
    <xf numFmtId="4" fontId="2" fillId="0" borderId="58" xfId="82" applyNumberFormat="1" applyBorder="1"/>
    <xf numFmtId="4" fontId="2" fillId="40" borderId="11" xfId="82" applyNumberFormat="1" applyFill="1" applyBorder="1" applyAlignment="1" applyProtection="1">
      <alignment horizontal="right"/>
      <protection locked="0"/>
    </xf>
    <xf numFmtId="2" fontId="2" fillId="40" borderId="11" xfId="82" applyNumberFormat="1" applyFill="1" applyBorder="1" applyAlignment="1" applyProtection="1">
      <alignment horizontal="right"/>
      <protection locked="0"/>
    </xf>
    <xf numFmtId="3" fontId="2" fillId="40" borderId="11" xfId="82" applyNumberFormat="1" applyFill="1" applyBorder="1" applyAlignment="1" applyProtection="1">
      <alignment horizontal="right"/>
      <protection locked="0"/>
    </xf>
    <xf numFmtId="4" fontId="2" fillId="40" borderId="15" xfId="82" applyNumberFormat="1" applyFill="1" applyBorder="1" applyAlignment="1" applyProtection="1">
      <alignment horizontal="right"/>
      <protection locked="0"/>
    </xf>
    <xf numFmtId="2" fontId="2" fillId="40" borderId="15" xfId="82" applyNumberFormat="1" applyFill="1" applyBorder="1" applyAlignment="1" applyProtection="1">
      <alignment horizontal="right"/>
      <protection locked="0"/>
    </xf>
    <xf numFmtId="3" fontId="2" fillId="40" borderId="15" xfId="82" applyNumberFormat="1" applyFill="1" applyBorder="1" applyAlignment="1" applyProtection="1">
      <alignment horizontal="right"/>
      <protection locked="0"/>
    </xf>
    <xf numFmtId="9" fontId="2" fillId="40" borderId="38" xfId="82" applyNumberFormat="1" applyFill="1" applyBorder="1" applyProtection="1">
      <protection locked="0"/>
    </xf>
    <xf numFmtId="4" fontId="2" fillId="0" borderId="76" xfId="82" applyNumberFormat="1" applyBorder="1"/>
    <xf numFmtId="0" fontId="2" fillId="0" borderId="0" xfId="82" applyAlignment="1">
      <alignment horizontal="center" wrapText="1"/>
    </xf>
    <xf numFmtId="0" fontId="2" fillId="0" borderId="0" xfId="82" applyAlignment="1">
      <alignment horizontal="left"/>
    </xf>
    <xf numFmtId="0" fontId="2" fillId="25" borderId="0" xfId="82" applyFill="1" applyAlignment="1">
      <alignment horizontal="left"/>
    </xf>
    <xf numFmtId="164" fontId="2" fillId="0" borderId="0" xfId="82" applyNumberFormat="1" applyAlignment="1">
      <alignment horizontal="right"/>
    </xf>
    <xf numFmtId="165" fontId="2" fillId="25" borderId="0" xfId="82" applyNumberFormat="1" applyFill="1"/>
    <xf numFmtId="0" fontId="90" fillId="0" borderId="14" xfId="0" applyFont="1" applyBorder="1"/>
    <xf numFmtId="9" fontId="2" fillId="40" borderId="45" xfId="82" applyNumberFormat="1" applyFill="1" applyBorder="1" applyProtection="1">
      <protection locked="0"/>
    </xf>
    <xf numFmtId="4" fontId="2" fillId="0" borderId="65" xfId="82" applyNumberFormat="1" applyBorder="1"/>
    <xf numFmtId="0" fontId="2" fillId="25" borderId="0" xfId="82" applyFill="1" applyAlignment="1">
      <alignment horizontal="center" wrapText="1"/>
    </xf>
    <xf numFmtId="0" fontId="2" fillId="0" borderId="0" xfId="82" applyAlignment="1">
      <alignment vertical="top"/>
    </xf>
    <xf numFmtId="0" fontId="91" fillId="0" borderId="0" xfId="0" applyFont="1"/>
    <xf numFmtId="9" fontId="2" fillId="40" borderId="17" xfId="82" applyNumberFormat="1" applyFill="1" applyBorder="1" applyProtection="1">
      <protection locked="0"/>
    </xf>
    <xf numFmtId="4" fontId="2" fillId="0" borderId="61" xfId="82" applyNumberFormat="1" applyBorder="1"/>
    <xf numFmtId="9" fontId="2" fillId="40" borderId="75" xfId="82" applyNumberFormat="1" applyFill="1" applyBorder="1" applyProtection="1">
      <protection locked="0"/>
    </xf>
    <xf numFmtId="4" fontId="2" fillId="0" borderId="73" xfId="82" applyNumberFormat="1" applyBorder="1"/>
    <xf numFmtId="4" fontId="2" fillId="0" borderId="0" xfId="82" applyNumberFormat="1"/>
    <xf numFmtId="0" fontId="89" fillId="0" borderId="0" xfId="72" applyFont="1" applyFill="1" applyBorder="1" applyAlignment="1" applyProtection="1"/>
    <xf numFmtId="4" fontId="2" fillId="40" borderId="66" xfId="82" applyNumberFormat="1" applyFill="1" applyBorder="1" applyAlignment="1" applyProtection="1">
      <alignment horizontal="right"/>
      <protection locked="0"/>
    </xf>
    <xf numFmtId="2" fontId="2" fillId="40" borderId="66" xfId="82" applyNumberFormat="1" applyFill="1" applyBorder="1" applyAlignment="1" applyProtection="1">
      <alignment horizontal="right"/>
      <protection locked="0"/>
    </xf>
    <xf numFmtId="3" fontId="2" fillId="40" borderId="66" xfId="82" applyNumberFormat="1" applyFill="1" applyBorder="1" applyAlignment="1" applyProtection="1">
      <alignment horizontal="right"/>
      <protection locked="0"/>
    </xf>
    <xf numFmtId="4" fontId="2" fillId="40" borderId="40" xfId="82" applyNumberFormat="1" applyFill="1" applyBorder="1" applyAlignment="1" applyProtection="1">
      <alignment horizontal="right"/>
      <protection locked="0"/>
    </xf>
    <xf numFmtId="2" fontId="2" fillId="40" borderId="40" xfId="82" applyNumberFormat="1" applyFill="1" applyBorder="1" applyAlignment="1" applyProtection="1">
      <alignment horizontal="right"/>
      <protection locked="0"/>
    </xf>
    <xf numFmtId="3" fontId="2" fillId="40" borderId="40" xfId="82" applyNumberFormat="1" applyFill="1" applyBorder="1" applyAlignment="1" applyProtection="1">
      <alignment horizontal="right"/>
      <protection locked="0"/>
    </xf>
    <xf numFmtId="9" fontId="2" fillId="40" borderId="40" xfId="82" applyNumberFormat="1" applyFill="1" applyBorder="1" applyProtection="1">
      <protection locked="0"/>
    </xf>
    <xf numFmtId="4" fontId="2" fillId="0" borderId="38" xfId="82" applyNumberFormat="1" applyBorder="1"/>
    <xf numFmtId="4" fontId="2" fillId="0" borderId="71" xfId="82" applyNumberFormat="1" applyBorder="1"/>
    <xf numFmtId="9" fontId="2" fillId="40" borderId="11" xfId="82" applyNumberFormat="1" applyFill="1" applyBorder="1" applyProtection="1">
      <protection locked="0"/>
    </xf>
    <xf numFmtId="166" fontId="8" fillId="24" borderId="66" xfId="56" applyNumberFormat="1" applyFont="1" applyFill="1" applyBorder="1" applyAlignment="1">
      <alignment horizontal="center"/>
    </xf>
    <xf numFmtId="0" fontId="89" fillId="25" borderId="0" xfId="72" applyFont="1" applyFill="1" applyBorder="1" applyAlignment="1" applyProtection="1">
      <alignment horizontal="center"/>
    </xf>
    <xf numFmtId="165" fontId="2" fillId="0" borderId="61" xfId="82" applyNumberFormat="1" applyBorder="1"/>
    <xf numFmtId="165" fontId="2" fillId="0" borderId="38" xfId="82" applyNumberFormat="1" applyBorder="1"/>
    <xf numFmtId="0" fontId="2" fillId="25" borderId="0" xfId="82" applyFill="1" applyAlignment="1">
      <alignment vertical="top"/>
    </xf>
    <xf numFmtId="0" fontId="8" fillId="24" borderId="11" xfId="82" applyFont="1" applyFill="1" applyBorder="1" applyAlignment="1">
      <alignment horizontal="center"/>
    </xf>
    <xf numFmtId="0" fontId="8" fillId="24" borderId="12" xfId="82" applyFont="1" applyFill="1" applyBorder="1" applyAlignment="1">
      <alignment horizontal="center"/>
    </xf>
    <xf numFmtId="0" fontId="8" fillId="24" borderId="12" xfId="82" applyFont="1" applyFill="1" applyBorder="1" applyAlignment="1">
      <alignment horizontal="left"/>
    </xf>
    <xf numFmtId="0" fontId="8" fillId="24" borderId="11" xfId="82" applyFont="1" applyFill="1" applyBorder="1" applyAlignment="1">
      <alignment horizontal="left"/>
    </xf>
    <xf numFmtId="0" fontId="89" fillId="0" borderId="0" xfId="72" applyFont="1" applyFill="1" applyAlignment="1" applyProtection="1"/>
    <xf numFmtId="0" fontId="8" fillId="25" borderId="0" xfId="82" applyFont="1" applyFill="1" applyAlignment="1">
      <alignment horizontal="left"/>
    </xf>
    <xf numFmtId="0" fontId="8" fillId="25" borderId="0" xfId="82" applyFont="1" applyFill="1" applyAlignment="1">
      <alignment horizontal="center" wrapText="1"/>
    </xf>
    <xf numFmtId="165" fontId="7" fillId="25" borderId="0" xfId="82" applyNumberFormat="1" applyFont="1" applyFill="1"/>
    <xf numFmtId="165" fontId="8" fillId="25" borderId="0" xfId="82" applyNumberFormat="1" applyFont="1" applyFill="1"/>
    <xf numFmtId="0" fontId="8" fillId="24" borderId="60" xfId="82" applyFont="1" applyFill="1" applyBorder="1" applyAlignment="1">
      <alignment horizontal="center"/>
    </xf>
    <xf numFmtId="0" fontId="8" fillId="24" borderId="43" xfId="82" applyFont="1" applyFill="1" applyBorder="1" applyAlignment="1">
      <alignment horizontal="center"/>
    </xf>
    <xf numFmtId="0" fontId="8" fillId="24" borderId="45" xfId="82" applyFont="1" applyFill="1" applyBorder="1" applyAlignment="1">
      <alignment horizontal="left"/>
    </xf>
    <xf numFmtId="0" fontId="7" fillId="0" borderId="0" xfId="72" applyFont="1" applyFill="1" applyAlignment="1" applyProtection="1"/>
    <xf numFmtId="0" fontId="39" fillId="24" borderId="33" xfId="0" applyFont="1" applyFill="1" applyBorder="1"/>
    <xf numFmtId="0" fontId="39" fillId="24" borderId="39" xfId="0" applyFont="1" applyFill="1" applyBorder="1" applyAlignment="1">
      <alignment horizontal="left" wrapText="1"/>
    </xf>
    <xf numFmtId="0" fontId="7" fillId="0" borderId="33" xfId="0" applyFont="1" applyBorder="1" applyAlignment="1">
      <alignment horizontal="left" vertical="center"/>
    </xf>
    <xf numFmtId="0" fontId="7" fillId="0" borderId="63"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30" fillId="0" borderId="0" xfId="0" applyFont="1" applyAlignment="1">
      <alignment vertical="center"/>
    </xf>
    <xf numFmtId="0" fontId="33" fillId="24" borderId="17" xfId="82" applyFont="1" applyFill="1" applyBorder="1"/>
    <xf numFmtId="0" fontId="30" fillId="24" borderId="11" xfId="0" applyFont="1" applyFill="1" applyBorder="1" applyAlignment="1">
      <alignment horizontal="center" wrapText="1"/>
    </xf>
    <xf numFmtId="3" fontId="30" fillId="0" borderId="11" xfId="0" applyNumberFormat="1" applyFont="1" applyBorder="1"/>
    <xf numFmtId="9" fontId="30" fillId="0" borderId="11" xfId="92" applyFont="1" applyBorder="1"/>
    <xf numFmtId="0" fontId="47" fillId="38" borderId="11" xfId="0" applyFont="1" applyFill="1" applyBorder="1" applyAlignment="1">
      <alignment horizontal="center" wrapText="1"/>
    </xf>
    <xf numFmtId="3" fontId="33" fillId="0" borderId="11" xfId="0" applyNumberFormat="1" applyFont="1" applyBorder="1"/>
    <xf numFmtId="165" fontId="33" fillId="0" borderId="0" xfId="56" applyNumberFormat="1" applyFont="1" applyBorder="1"/>
    <xf numFmtId="0" fontId="33" fillId="24" borderId="12" xfId="82" applyFont="1" applyFill="1" applyBorder="1"/>
    <xf numFmtId="0" fontId="30" fillId="24" borderId="11" xfId="0" quotePrefix="1" applyFont="1" applyFill="1" applyBorder="1" applyAlignment="1">
      <alignment horizontal="center"/>
    </xf>
    <xf numFmtId="165" fontId="33" fillId="0" borderId="11" xfId="56" applyNumberFormat="1" applyFont="1" applyBorder="1"/>
    <xf numFmtId="165" fontId="30" fillId="0" borderId="0" xfId="56" applyNumberFormat="1" applyFont="1" applyBorder="1"/>
    <xf numFmtId="0" fontId="33" fillId="0" borderId="12" xfId="82" applyFont="1" applyBorder="1"/>
    <xf numFmtId="165" fontId="30" fillId="0" borderId="11" xfId="56" applyNumberFormat="1" applyFont="1" applyBorder="1"/>
    <xf numFmtId="0" fontId="33" fillId="0" borderId="11" xfId="82" applyFont="1" applyBorder="1"/>
    <xf numFmtId="165" fontId="30" fillId="0" borderId="0" xfId="0" quotePrefix="1" applyNumberFormat="1" applyFont="1" applyAlignment="1">
      <alignment horizontal="center"/>
    </xf>
    <xf numFmtId="0" fontId="33" fillId="0" borderId="0" xfId="82" applyFont="1"/>
    <xf numFmtId="165" fontId="33" fillId="0" borderId="11" xfId="56" applyNumberFormat="1" applyFont="1" applyFill="1" applyBorder="1"/>
    <xf numFmtId="0" fontId="47" fillId="24" borderId="17" xfId="0" applyFont="1" applyFill="1" applyBorder="1" applyAlignment="1">
      <alignment horizontal="center" wrapText="1"/>
    </xf>
    <xf numFmtId="0" fontId="47" fillId="0" borderId="24" xfId="0" applyFont="1" applyBorder="1" applyAlignment="1">
      <alignment horizontal="center" wrapText="1"/>
    </xf>
    <xf numFmtId="0" fontId="30" fillId="0" borderId="24" xfId="0" applyFont="1" applyBorder="1" applyAlignment="1">
      <alignment horizontal="center" wrapText="1"/>
    </xf>
    <xf numFmtId="0" fontId="33" fillId="0" borderId="24" xfId="82" applyFont="1" applyBorder="1"/>
    <xf numFmtId="0" fontId="33" fillId="24" borderId="24" xfId="82" applyFont="1" applyFill="1" applyBorder="1"/>
    <xf numFmtId="0" fontId="47" fillId="24" borderId="24" xfId="0" applyFont="1" applyFill="1" applyBorder="1"/>
    <xf numFmtId="0" fontId="7" fillId="0" borderId="56" xfId="0" applyFont="1" applyBorder="1" applyAlignment="1">
      <alignment horizontal="left" vertical="center"/>
    </xf>
    <xf numFmtId="3" fontId="30" fillId="0" borderId="11" xfId="0" applyNumberFormat="1" applyFont="1" applyBorder="1" applyAlignment="1">
      <alignment horizontal="right"/>
    </xf>
    <xf numFmtId="0" fontId="30" fillId="0" borderId="12" xfId="0" applyFont="1" applyBorder="1" applyAlignment="1">
      <alignment horizontal="left" vertical="center"/>
    </xf>
    <xf numFmtId="0" fontId="7" fillId="0" borderId="56" xfId="0" applyFont="1" applyBorder="1" applyAlignment="1">
      <alignment horizontal="left"/>
    </xf>
    <xf numFmtId="3" fontId="33" fillId="0" borderId="12" xfId="0" applyNumberFormat="1" applyFont="1" applyBorder="1" applyAlignment="1">
      <alignment horizontal="right"/>
    </xf>
    <xf numFmtId="0" fontId="7" fillId="0" borderId="57" xfId="0" applyFont="1" applyBorder="1" applyAlignment="1">
      <alignment horizontal="left"/>
    </xf>
    <xf numFmtId="0" fontId="30" fillId="24" borderId="24" xfId="0" applyFont="1" applyFill="1" applyBorder="1" applyAlignment="1">
      <alignment horizontal="center" wrapText="1"/>
    </xf>
    <xf numFmtId="0" fontId="30" fillId="24" borderId="17" xfId="0" applyFont="1" applyFill="1" applyBorder="1" applyAlignment="1">
      <alignment horizontal="center" wrapText="1"/>
    </xf>
    <xf numFmtId="0" fontId="7" fillId="0" borderId="17" xfId="0" applyFont="1" applyBorder="1" applyAlignment="1">
      <alignment horizontal="left"/>
    </xf>
    <xf numFmtId="0" fontId="7" fillId="0" borderId="12" xfId="0" applyFont="1" applyBorder="1" applyAlignment="1">
      <alignment horizontal="left"/>
    </xf>
    <xf numFmtId="0" fontId="7" fillId="0" borderId="17" xfId="0" applyFont="1" applyBorder="1" applyAlignment="1">
      <alignment horizontal="left" wrapText="1"/>
    </xf>
    <xf numFmtId="3" fontId="33" fillId="0" borderId="17" xfId="0" applyNumberFormat="1" applyFont="1" applyBorder="1"/>
    <xf numFmtId="0" fontId="7" fillId="0" borderId="12" xfId="0" applyFont="1" applyBorder="1" applyAlignment="1">
      <alignment horizontal="left" wrapText="1"/>
    </xf>
    <xf numFmtId="43" fontId="30" fillId="0" borderId="0" xfId="56" applyFont="1"/>
    <xf numFmtId="165" fontId="30" fillId="0" borderId="11" xfId="0" applyNumberFormat="1" applyFont="1" applyBorder="1" applyAlignment="1">
      <alignment horizontal="right"/>
    </xf>
    <xf numFmtId="165" fontId="30" fillId="0" borderId="11" xfId="0" applyNumberFormat="1" applyFont="1" applyBorder="1"/>
    <xf numFmtId="0" fontId="8" fillId="25" borderId="0" xfId="0" applyFont="1" applyFill="1" applyAlignment="1">
      <alignment horizontal="left"/>
    </xf>
    <xf numFmtId="0" fontId="63" fillId="25" borderId="0" xfId="0" applyFont="1" applyFill="1"/>
    <xf numFmtId="0" fontId="63" fillId="24" borderId="17" xfId="0" applyFont="1" applyFill="1" applyBorder="1"/>
    <xf numFmtId="3" fontId="50" fillId="46" borderId="33" xfId="0" applyNumberFormat="1" applyFont="1" applyFill="1" applyBorder="1"/>
    <xf numFmtId="3" fontId="50" fillId="46" borderId="74" xfId="0" applyNumberFormat="1" applyFont="1" applyFill="1" applyBorder="1"/>
    <xf numFmtId="3" fontId="50" fillId="46" borderId="20" xfId="0" applyNumberFormat="1" applyFont="1" applyFill="1" applyBorder="1"/>
    <xf numFmtId="3" fontId="50" fillId="46" borderId="34" xfId="0" applyNumberFormat="1" applyFont="1" applyFill="1" applyBorder="1"/>
    <xf numFmtId="3" fontId="50" fillId="46" borderId="39" xfId="0" applyNumberFormat="1" applyFont="1" applyFill="1" applyBorder="1"/>
    <xf numFmtId="3" fontId="50" fillId="46" borderId="40" xfId="0" applyNumberFormat="1" applyFont="1" applyFill="1" applyBorder="1"/>
    <xf numFmtId="3" fontId="50" fillId="46" borderId="38" xfId="0" applyNumberFormat="1" applyFont="1" applyFill="1" applyBorder="1"/>
    <xf numFmtId="0" fontId="82" fillId="24" borderId="11" xfId="0" applyFont="1" applyFill="1" applyBorder="1" applyAlignment="1">
      <alignment horizontal="center"/>
    </xf>
    <xf numFmtId="0" fontId="50" fillId="0" borderId="62" xfId="0" applyFont="1" applyBorder="1" applyAlignment="1">
      <alignment horizontal="right"/>
    </xf>
    <xf numFmtId="0" fontId="50" fillId="0" borderId="64" xfId="0" applyFont="1" applyBorder="1" applyAlignment="1">
      <alignment horizontal="right"/>
    </xf>
    <xf numFmtId="0" fontId="50" fillId="0" borderId="69" xfId="0" applyFont="1" applyBorder="1" applyAlignment="1">
      <alignment horizontal="right"/>
    </xf>
    <xf numFmtId="0" fontId="39" fillId="24" borderId="33" xfId="0" applyFont="1" applyFill="1" applyBorder="1" applyAlignment="1">
      <alignment wrapText="1"/>
    </xf>
    <xf numFmtId="3" fontId="50" fillId="25" borderId="82" xfId="0" applyNumberFormat="1" applyFont="1" applyFill="1" applyBorder="1"/>
    <xf numFmtId="3" fontId="0" fillId="0" borderId="11" xfId="92" applyNumberFormat="1" applyFont="1" applyFill="1" applyBorder="1"/>
    <xf numFmtId="1" fontId="0" fillId="0" borderId="11" xfId="92" applyNumberFormat="1" applyFont="1" applyFill="1" applyBorder="1"/>
    <xf numFmtId="0" fontId="50" fillId="24" borderId="43" xfId="0" applyFont="1" applyFill="1" applyBorder="1" applyAlignment="1">
      <alignment horizontal="center" wrapText="1"/>
    </xf>
    <xf numFmtId="0" fontId="0" fillId="24" borderId="84" xfId="0" applyFill="1" applyBorder="1"/>
    <xf numFmtId="0" fontId="0" fillId="25" borderId="11" xfId="0" applyFill="1" applyBorder="1" applyAlignment="1">
      <alignment horizontal="center"/>
    </xf>
    <xf numFmtId="3" fontId="0" fillId="25" borderId="11" xfId="0" applyNumberFormat="1" applyFill="1" applyBorder="1"/>
    <xf numFmtId="0" fontId="30" fillId="0" borderId="24" xfId="0" applyFont="1" applyBorder="1" applyAlignment="1">
      <alignment wrapText="1"/>
    </xf>
    <xf numFmtId="0" fontId="30" fillId="0" borderId="24" xfId="0" applyFont="1" applyBorder="1" applyAlignment="1">
      <alignment vertical="center" wrapText="1"/>
    </xf>
    <xf numFmtId="3" fontId="33" fillId="0" borderId="11" xfId="0" applyNumberFormat="1" applyFont="1" applyBorder="1" applyAlignment="1">
      <alignment wrapText="1"/>
    </xf>
    <xf numFmtId="9" fontId="30" fillId="0" borderId="11" xfId="0" applyNumberFormat="1" applyFont="1" applyBorder="1" applyAlignment="1">
      <alignment vertical="center" wrapText="1"/>
    </xf>
    <xf numFmtId="9" fontId="0" fillId="25" borderId="11" xfId="0" applyNumberFormat="1" applyFill="1" applyBorder="1"/>
    <xf numFmtId="0" fontId="0" fillId="0" borderId="66" xfId="0" applyBorder="1"/>
    <xf numFmtId="0" fontId="0" fillId="0" borderId="45" xfId="0" applyBorder="1"/>
    <xf numFmtId="3" fontId="0" fillId="0" borderId="61" xfId="92" applyNumberFormat="1" applyFont="1" applyFill="1" applyBorder="1"/>
    <xf numFmtId="1" fontId="0" fillId="0" borderId="61" xfId="92" applyNumberFormat="1" applyFont="1" applyFill="1" applyBorder="1"/>
    <xf numFmtId="3" fontId="50" fillId="25" borderId="83" xfId="0" applyNumberFormat="1" applyFont="1" applyFill="1" applyBorder="1"/>
    <xf numFmtId="0" fontId="0" fillId="25" borderId="66" xfId="0" applyFill="1" applyBorder="1" applyAlignment="1">
      <alignment horizontal="center"/>
    </xf>
    <xf numFmtId="3" fontId="0" fillId="25" borderId="61" xfId="0" applyNumberFormat="1" applyFill="1" applyBorder="1"/>
    <xf numFmtId="3" fontId="0" fillId="25" borderId="40" xfId="0" applyNumberFormat="1" applyFill="1" applyBorder="1"/>
    <xf numFmtId="3" fontId="0" fillId="25" borderId="38" xfId="0" applyNumberFormat="1" applyFill="1" applyBorder="1"/>
    <xf numFmtId="1" fontId="30" fillId="0" borderId="11" xfId="82" applyNumberFormat="1" applyFont="1" applyBorder="1"/>
    <xf numFmtId="165" fontId="7" fillId="0" borderId="11" xfId="0" applyNumberFormat="1" applyFont="1" applyBorder="1" applyAlignment="1">
      <alignment horizontal="right" vertical="center"/>
    </xf>
    <xf numFmtId="0" fontId="33" fillId="24" borderId="60" xfId="0" applyFont="1" applyFill="1" applyBorder="1" applyAlignment="1">
      <alignment horizontal="left"/>
    </xf>
    <xf numFmtId="0" fontId="33" fillId="24" borderId="66" xfId="0" applyFont="1" applyFill="1" applyBorder="1" applyAlignment="1">
      <alignment horizontal="left"/>
    </xf>
    <xf numFmtId="0" fontId="47" fillId="38" borderId="66" xfId="0" applyFont="1" applyFill="1" applyBorder="1" applyAlignment="1">
      <alignment horizontal="center" wrapText="1"/>
    </xf>
    <xf numFmtId="0" fontId="30" fillId="24" borderId="66" xfId="0" applyFont="1" applyFill="1" applyBorder="1" applyAlignment="1">
      <alignment horizontal="center" wrapText="1"/>
    </xf>
    <xf numFmtId="0" fontId="30" fillId="24" borderId="45" xfId="0" applyFont="1" applyFill="1" applyBorder="1" applyAlignment="1">
      <alignment horizontal="center" wrapText="1"/>
    </xf>
    <xf numFmtId="0" fontId="30" fillId="0" borderId="33" xfId="0" applyFont="1" applyBorder="1" applyAlignment="1">
      <alignment horizontal="left"/>
    </xf>
    <xf numFmtId="165" fontId="30" fillId="0" borderId="61" xfId="0" applyNumberFormat="1" applyFont="1" applyBorder="1"/>
    <xf numFmtId="0" fontId="7" fillId="0" borderId="39" xfId="0" applyFont="1" applyBorder="1" applyAlignment="1">
      <alignment horizontal="left" vertical="center"/>
    </xf>
    <xf numFmtId="0" fontId="7" fillId="0" borderId="40" xfId="0" applyFont="1" applyBorder="1" applyAlignment="1">
      <alignment horizontal="left" vertical="center"/>
    </xf>
    <xf numFmtId="5" fontId="30" fillId="0" borderId="40" xfId="56" applyNumberFormat="1" applyFont="1" applyBorder="1"/>
    <xf numFmtId="5" fontId="30" fillId="0" borderId="38" xfId="56" applyNumberFormat="1" applyFont="1" applyBorder="1"/>
    <xf numFmtId="3" fontId="30" fillId="0" borderId="61" xfId="0" applyNumberFormat="1" applyFont="1" applyBorder="1"/>
    <xf numFmtId="3" fontId="33" fillId="0" borderId="61" xfId="0" applyNumberFormat="1" applyFont="1" applyBorder="1"/>
    <xf numFmtId="166" fontId="30" fillId="0" borderId="40" xfId="56" applyNumberFormat="1" applyFont="1" applyBorder="1"/>
    <xf numFmtId="166" fontId="30" fillId="0" borderId="38" xfId="56" applyNumberFormat="1" applyFont="1" applyBorder="1"/>
    <xf numFmtId="1" fontId="30" fillId="0" borderId="61" xfId="82" applyNumberFormat="1" applyFont="1" applyBorder="1"/>
    <xf numFmtId="0" fontId="7" fillId="0" borderId="44" xfId="0" applyFont="1" applyBorder="1" applyAlignment="1">
      <alignment horizontal="left" vertical="center"/>
    </xf>
    <xf numFmtId="0" fontId="7" fillId="0" borderId="51" xfId="0" applyFont="1" applyBorder="1" applyAlignment="1">
      <alignment horizontal="left" vertical="center"/>
    </xf>
    <xf numFmtId="1" fontId="33" fillId="0" borderId="40" xfId="82" applyNumberFormat="1" applyFont="1" applyBorder="1"/>
    <xf numFmtId="1" fontId="33" fillId="0" borderId="38" xfId="82" applyNumberFormat="1" applyFont="1" applyBorder="1"/>
    <xf numFmtId="0" fontId="8" fillId="24" borderId="60" xfId="0" applyFont="1" applyFill="1" applyBorder="1" applyAlignment="1">
      <alignment horizontal="left" vertical="center"/>
    </xf>
    <xf numFmtId="0" fontId="7" fillId="24" borderId="25" xfId="0" applyFont="1" applyFill="1" applyBorder="1" applyAlignment="1">
      <alignment horizontal="left" vertical="center"/>
    </xf>
    <xf numFmtId="165" fontId="7" fillId="0" borderId="11" xfId="0" applyNumberFormat="1" applyFont="1" applyBorder="1" applyAlignment="1">
      <alignment horizontal="right" wrapText="1"/>
    </xf>
    <xf numFmtId="0" fontId="54" fillId="0" borderId="11" xfId="0" applyFont="1" applyBorder="1" applyAlignment="1">
      <alignment horizontal="right" vertical="center" wrapText="1"/>
    </xf>
    <xf numFmtId="165" fontId="7" fillId="0" borderId="61" xfId="0" applyNumberFormat="1" applyFont="1" applyBorder="1" applyAlignment="1">
      <alignment horizontal="right" wrapText="1"/>
    </xf>
    <xf numFmtId="0" fontId="28" fillId="24" borderId="62" xfId="0" applyFont="1" applyFill="1" applyBorder="1"/>
    <xf numFmtId="165" fontId="50" fillId="24" borderId="61" xfId="0" applyNumberFormat="1" applyFont="1" applyFill="1" applyBorder="1"/>
    <xf numFmtId="0" fontId="28" fillId="24" borderId="69" xfId="0" applyFont="1" applyFill="1" applyBorder="1"/>
    <xf numFmtId="0" fontId="28" fillId="24" borderId="70" xfId="0" applyFont="1" applyFill="1" applyBorder="1"/>
    <xf numFmtId="0" fontId="54" fillId="24" borderId="39" xfId="0" applyFont="1" applyFill="1" applyBorder="1" applyAlignment="1">
      <alignment horizontal="right" vertical="center"/>
    </xf>
    <xf numFmtId="165" fontId="50" fillId="24" borderId="40" xfId="0" applyNumberFormat="1" applyFont="1" applyFill="1" applyBorder="1"/>
    <xf numFmtId="165" fontId="50" fillId="24" borderId="75" xfId="0" applyNumberFormat="1" applyFont="1" applyFill="1" applyBorder="1"/>
    <xf numFmtId="165" fontId="50" fillId="24" borderId="68" xfId="0" applyNumberFormat="1" applyFont="1" applyFill="1" applyBorder="1"/>
    <xf numFmtId="165" fontId="52" fillId="0" borderId="11" xfId="0" applyNumberFormat="1" applyFont="1" applyBorder="1"/>
    <xf numFmtId="165" fontId="8" fillId="0" borderId="17" xfId="0" applyNumberFormat="1" applyFont="1" applyBorder="1" applyAlignment="1">
      <alignment horizontal="right" wrapText="1"/>
    </xf>
    <xf numFmtId="165" fontId="8" fillId="0" borderId="58" xfId="0" applyNumberFormat="1" applyFont="1" applyBorder="1" applyAlignment="1">
      <alignment horizontal="right" wrapText="1"/>
    </xf>
    <xf numFmtId="6" fontId="30" fillId="0" borderId="11" xfId="0" applyNumberFormat="1" applyFont="1" applyBorder="1" applyAlignment="1">
      <alignment horizontal="right"/>
    </xf>
    <xf numFmtId="0" fontId="30" fillId="0" borderId="28" xfId="82" applyFont="1" applyBorder="1"/>
    <xf numFmtId="0" fontId="30" fillId="0" borderId="25" xfId="0" applyFont="1" applyBorder="1"/>
    <xf numFmtId="0" fontId="33" fillId="24" borderId="62" xfId="82" applyFont="1" applyFill="1" applyBorder="1"/>
    <xf numFmtId="0" fontId="30" fillId="24" borderId="61" xfId="0" quotePrefix="1" applyFont="1" applyFill="1" applyBorder="1" applyAlignment="1">
      <alignment horizontal="center"/>
    </xf>
    <xf numFmtId="165" fontId="30" fillId="0" borderId="61" xfId="0" applyNumberFormat="1" applyFont="1" applyBorder="1" applyAlignment="1">
      <alignment horizontal="right"/>
    </xf>
    <xf numFmtId="165" fontId="33" fillId="0" borderId="61" xfId="56" applyNumberFormat="1" applyFont="1" applyBorder="1"/>
    <xf numFmtId="0" fontId="28" fillId="24" borderId="44" xfId="0" applyFont="1" applyFill="1" applyBorder="1"/>
    <xf numFmtId="0" fontId="28" fillId="24" borderId="51" xfId="0" applyFont="1" applyFill="1" applyBorder="1"/>
    <xf numFmtId="0" fontId="54" fillId="24" borderId="85" xfId="0" applyFont="1" applyFill="1" applyBorder="1" applyAlignment="1">
      <alignment horizontal="right" vertical="center"/>
    </xf>
    <xf numFmtId="2" fontId="0" fillId="0" borderId="11" xfId="0" applyNumberFormat="1" applyBorder="1"/>
    <xf numFmtId="0" fontId="0" fillId="25" borderId="18" xfId="0" applyFill="1" applyBorder="1"/>
    <xf numFmtId="0" fontId="0" fillId="24" borderId="11" xfId="0" applyFill="1" applyBorder="1" applyAlignment="1">
      <alignment horizontal="center"/>
    </xf>
    <xf numFmtId="164" fontId="0" fillId="25" borderId="10" xfId="0" applyNumberFormat="1" applyFill="1" applyBorder="1"/>
    <xf numFmtId="0" fontId="67" fillId="0" borderId="0" xfId="0" applyFont="1"/>
    <xf numFmtId="0" fontId="0" fillId="24" borderId="12" xfId="0" applyFill="1" applyBorder="1" applyAlignment="1">
      <alignment horizontal="center" wrapText="1"/>
    </xf>
    <xf numFmtId="0" fontId="0" fillId="0" borderId="16" xfId="0" applyBorder="1"/>
    <xf numFmtId="3" fontId="50" fillId="45" borderId="17" xfId="0" applyNumberFormat="1" applyFont="1" applyFill="1" applyBorder="1" applyAlignment="1">
      <alignment horizontal="left"/>
    </xf>
    <xf numFmtId="2" fontId="0" fillId="25" borderId="0" xfId="0" applyNumberFormat="1" applyFill="1" applyAlignment="1">
      <alignment horizontal="center"/>
    </xf>
    <xf numFmtId="0" fontId="0" fillId="45" borderId="12" xfId="0" applyFill="1" applyBorder="1" applyAlignment="1">
      <alignment horizontal="left" wrapText="1"/>
    </xf>
    <xf numFmtId="0" fontId="0" fillId="45" borderId="17" xfId="0" applyFill="1" applyBorder="1" applyAlignment="1">
      <alignment horizontal="left" wrapText="1"/>
    </xf>
    <xf numFmtId="1" fontId="0" fillId="0" borderId="11" xfId="0" applyNumberFormat="1" applyBorder="1" applyAlignment="1">
      <alignment horizontal="right" wrapText="1"/>
    </xf>
    <xf numFmtId="1" fontId="0" fillId="0" borderId="11" xfId="0" applyNumberFormat="1" applyBorder="1" applyAlignment="1">
      <alignment horizontal="right"/>
    </xf>
    <xf numFmtId="0" fontId="0" fillId="44" borderId="12" xfId="0" applyFill="1" applyBorder="1" applyAlignment="1">
      <alignment horizontal="left" wrapText="1"/>
    </xf>
    <xf numFmtId="0" fontId="0" fillId="44" borderId="12" xfId="0" applyFill="1" applyBorder="1"/>
    <xf numFmtId="0" fontId="50" fillId="0" borderId="24" xfId="0" applyFont="1" applyBorder="1" applyAlignment="1">
      <alignment horizontal="right"/>
    </xf>
    <xf numFmtId="0" fontId="54" fillId="0" borderId="24" xfId="0" applyFont="1" applyBorder="1" applyAlignment="1">
      <alignment horizontal="right" vertical="center" wrapText="1"/>
    </xf>
    <xf numFmtId="165" fontId="50" fillId="28" borderId="11" xfId="0" applyNumberFormat="1" applyFont="1" applyFill="1" applyBorder="1"/>
    <xf numFmtId="1" fontId="0" fillId="45" borderId="11" xfId="0" applyNumberFormat="1" applyFill="1" applyBorder="1" applyAlignment="1">
      <alignment horizontal="right"/>
    </xf>
    <xf numFmtId="0" fontId="0" fillId="24" borderId="80" xfId="0" applyFill="1" applyBorder="1" applyAlignment="1">
      <alignment horizontal="center" wrapText="1"/>
    </xf>
    <xf numFmtId="0" fontId="0" fillId="43" borderId="80" xfId="0" applyFill="1" applyBorder="1"/>
    <xf numFmtId="0" fontId="7" fillId="0" borderId="0" xfId="0" applyFont="1" applyAlignment="1">
      <alignment horizontal="left"/>
    </xf>
    <xf numFmtId="3" fontId="33" fillId="0" borderId="0" xfId="0" applyNumberFormat="1" applyFont="1" applyAlignment="1">
      <alignment horizontal="right"/>
    </xf>
    <xf numFmtId="0" fontId="30" fillId="0" borderId="11" xfId="82" applyFont="1" applyBorder="1"/>
    <xf numFmtId="0" fontId="30" fillId="0" borderId="11" xfId="0" applyFont="1" applyBorder="1"/>
    <xf numFmtId="165" fontId="0" fillId="24" borderId="11" xfId="0" applyNumberFormat="1" applyFill="1" applyBorder="1"/>
    <xf numFmtId="165" fontId="0" fillId="28" borderId="11" xfId="0" applyNumberFormat="1" applyFill="1" applyBorder="1"/>
    <xf numFmtId="165" fontId="0" fillId="0" borderId="24" xfId="0" applyNumberFormat="1" applyBorder="1"/>
    <xf numFmtId="0" fontId="7" fillId="0" borderId="24" xfId="0" applyFont="1" applyBorder="1" applyAlignment="1">
      <alignment horizontal="left"/>
    </xf>
    <xf numFmtId="3" fontId="33" fillId="0" borderId="24" xfId="0" applyNumberFormat="1" applyFont="1" applyBorder="1"/>
    <xf numFmtId="0" fontId="39" fillId="43" borderId="12" xfId="0" applyFont="1" applyFill="1" applyBorder="1"/>
    <xf numFmtId="0" fontId="39" fillId="43" borderId="12" xfId="0" applyFont="1" applyFill="1" applyBorder="1" applyAlignment="1">
      <alignment horizontal="left" wrapText="1"/>
    </xf>
    <xf numFmtId="3" fontId="0" fillId="41" borderId="15" xfId="0" applyNumberFormat="1" applyFill="1" applyBorder="1"/>
    <xf numFmtId="3" fontId="50" fillId="44" borderId="24" xfId="0" applyNumberFormat="1" applyFont="1" applyFill="1" applyBorder="1"/>
    <xf numFmtId="0" fontId="0" fillId="44" borderId="13" xfId="0" applyFill="1" applyBorder="1"/>
    <xf numFmtId="0" fontId="0" fillId="45" borderId="31" xfId="0" applyFill="1" applyBorder="1" applyAlignment="1">
      <alignment horizontal="left" wrapText="1"/>
    </xf>
    <xf numFmtId="0" fontId="0" fillId="45" borderId="24" xfId="0" applyFill="1" applyBorder="1" applyAlignment="1">
      <alignment horizontal="left" wrapText="1"/>
    </xf>
    <xf numFmtId="3" fontId="0" fillId="45" borderId="20" xfId="0" applyNumberFormat="1" applyFill="1" applyBorder="1"/>
    <xf numFmtId="0" fontId="0" fillId="42" borderId="14" xfId="0" applyFill="1" applyBorder="1" applyAlignment="1">
      <alignment wrapText="1"/>
    </xf>
    <xf numFmtId="0" fontId="39" fillId="43" borderId="13" xfId="0" applyFont="1" applyFill="1" applyBorder="1"/>
    <xf numFmtId="0" fontId="0" fillId="42" borderId="80" xfId="0" applyFill="1" applyBorder="1"/>
    <xf numFmtId="0" fontId="0" fillId="46" borderId="80" xfId="0" applyFill="1" applyBorder="1"/>
    <xf numFmtId="0" fontId="0" fillId="31" borderId="80" xfId="0" applyFill="1" applyBorder="1"/>
    <xf numFmtId="0" fontId="63" fillId="0" borderId="17" xfId="0" applyFont="1" applyBorder="1"/>
    <xf numFmtId="0" fontId="30" fillId="0" borderId="37" xfId="82" applyFont="1" applyBorder="1"/>
    <xf numFmtId="165" fontId="33" fillId="0" borderId="37" xfId="56" applyNumberFormat="1" applyFont="1" applyBorder="1"/>
    <xf numFmtId="165" fontId="33" fillId="0" borderId="16" xfId="56" applyNumberFormat="1" applyFont="1" applyFill="1" applyBorder="1"/>
    <xf numFmtId="165" fontId="33" fillId="0" borderId="12" xfId="56" applyNumberFormat="1" applyFont="1" applyBorder="1"/>
    <xf numFmtId="0" fontId="30" fillId="24" borderId="12" xfId="0" applyFont="1" applyFill="1" applyBorder="1" applyAlignment="1">
      <alignment horizontal="center" wrapText="1"/>
    </xf>
    <xf numFmtId="0" fontId="30" fillId="24" borderId="12" xfId="0" quotePrefix="1" applyFont="1" applyFill="1" applyBorder="1" applyAlignment="1">
      <alignment horizontal="center"/>
    </xf>
    <xf numFmtId="165" fontId="30" fillId="0" borderId="12" xfId="0" applyNumberFormat="1" applyFont="1" applyBorder="1" applyAlignment="1">
      <alignment horizontal="right"/>
    </xf>
    <xf numFmtId="165" fontId="33" fillId="0" borderId="14" xfId="56" applyNumberFormat="1" applyFont="1" applyFill="1" applyBorder="1"/>
    <xf numFmtId="165" fontId="33" fillId="0" borderId="12" xfId="56" applyNumberFormat="1" applyFont="1" applyFill="1" applyBorder="1"/>
    <xf numFmtId="0" fontId="8" fillId="0" borderId="16" xfId="0" applyFont="1" applyBorder="1" applyAlignment="1">
      <alignment horizontal="left"/>
    </xf>
    <xf numFmtId="0" fontId="8" fillId="0" borderId="18" xfId="0" applyFont="1" applyBorder="1" applyAlignment="1">
      <alignment horizontal="left"/>
    </xf>
    <xf numFmtId="3" fontId="30" fillId="0" borderId="15" xfId="0" applyNumberFormat="1" applyFont="1" applyBorder="1" applyAlignment="1">
      <alignment horizontal="right"/>
    </xf>
    <xf numFmtId="3" fontId="33" fillId="0" borderId="11" xfId="0" applyNumberFormat="1" applyFont="1" applyBorder="1" applyAlignment="1">
      <alignment horizontal="right"/>
    </xf>
    <xf numFmtId="0" fontId="33" fillId="24" borderId="17" xfId="0" applyFont="1" applyFill="1" applyBorder="1" applyAlignment="1">
      <alignment horizontal="left"/>
    </xf>
    <xf numFmtId="0" fontId="30" fillId="0" borderId="17" xfId="0" applyFont="1" applyBorder="1" applyAlignment="1">
      <alignment horizontal="left"/>
    </xf>
    <xf numFmtId="0" fontId="7" fillId="0" borderId="17" xfId="0" applyFont="1" applyBorder="1" applyAlignment="1">
      <alignment horizontal="left" vertical="center"/>
    </xf>
    <xf numFmtId="0" fontId="30" fillId="0" borderId="62" xfId="82" applyFont="1" applyBorder="1"/>
    <xf numFmtId="0" fontId="7" fillId="0" borderId="30" xfId="0" applyFont="1" applyBorder="1" applyAlignment="1">
      <alignment horizontal="left" vertical="center"/>
    </xf>
    <xf numFmtId="0" fontId="30" fillId="0" borderId="62" xfId="0" applyFont="1" applyBorder="1"/>
    <xf numFmtId="0" fontId="86" fillId="0" borderId="69" xfId="0" applyFont="1" applyBorder="1" applyAlignment="1">
      <alignment horizontal="left" wrapText="1"/>
    </xf>
    <xf numFmtId="0" fontId="8" fillId="25" borderId="0" xfId="82" applyFont="1" applyFill="1" applyAlignment="1">
      <alignment horizontal="center"/>
    </xf>
    <xf numFmtId="0" fontId="81" fillId="25" borderId="0" xfId="82" applyFont="1" applyFill="1" applyAlignment="1">
      <alignment horizontal="center" wrapText="1"/>
    </xf>
    <xf numFmtId="169" fontId="7" fillId="25" borderId="0" xfId="82" applyNumberFormat="1" applyFont="1" applyFill="1"/>
    <xf numFmtId="0" fontId="82" fillId="25" borderId="0" xfId="0" applyFont="1" applyFill="1" applyAlignment="1">
      <alignment horizontal="center" wrapText="1"/>
    </xf>
    <xf numFmtId="0" fontId="81" fillId="25" borderId="0" xfId="82" applyFont="1" applyFill="1" applyAlignment="1">
      <alignment wrapText="1"/>
    </xf>
    <xf numFmtId="166" fontId="81" fillId="25" borderId="0" xfId="56" applyNumberFormat="1" applyFont="1" applyFill="1" applyBorder="1"/>
    <xf numFmtId="10" fontId="7" fillId="25" borderId="0" xfId="92" applyNumberFormat="1" applyFont="1" applyFill="1" applyBorder="1"/>
    <xf numFmtId="165" fontId="7" fillId="25" borderId="0" xfId="56" applyNumberFormat="1" applyFont="1" applyFill="1" applyBorder="1"/>
    <xf numFmtId="10" fontId="7" fillId="25" borderId="0" xfId="82" applyNumberFormat="1" applyFont="1" applyFill="1"/>
    <xf numFmtId="10" fontId="2" fillId="25" borderId="0" xfId="82" applyNumberFormat="1" applyFill="1"/>
    <xf numFmtId="10" fontId="2" fillId="25" borderId="0" xfId="92" applyNumberFormat="1" applyFont="1" applyFill="1" applyBorder="1"/>
    <xf numFmtId="0" fontId="0" fillId="28" borderId="53" xfId="0" applyFill="1" applyBorder="1" applyAlignment="1">
      <alignment horizontal="center" wrapText="1"/>
    </xf>
    <xf numFmtId="164" fontId="0" fillId="28" borderId="11" xfId="0" applyNumberFormat="1" applyFill="1" applyBorder="1" applyAlignment="1">
      <alignment horizontal="right"/>
    </xf>
    <xf numFmtId="0" fontId="80" fillId="0" borderId="0" xfId="0" applyFont="1" applyAlignment="1">
      <alignment horizontal="left"/>
    </xf>
    <xf numFmtId="0" fontId="81" fillId="24" borderId="11" xfId="82" applyFont="1" applyFill="1" applyBorder="1" applyAlignment="1">
      <alignment horizontal="center"/>
    </xf>
    <xf numFmtId="0" fontId="81" fillId="24" borderId="11" xfId="82" applyFont="1" applyFill="1" applyBorder="1" applyAlignment="1">
      <alignment horizontal="center" wrapText="1"/>
    </xf>
    <xf numFmtId="0" fontId="5" fillId="24" borderId="11" xfId="82" applyFont="1" applyFill="1" applyBorder="1" applyAlignment="1">
      <alignment horizontal="center"/>
    </xf>
    <xf numFmtId="165" fontId="0" fillId="40" borderId="11" xfId="0" applyNumberFormat="1" applyFill="1" applyBorder="1" applyAlignment="1" applyProtection="1">
      <alignment horizontal="right" vertical="center"/>
      <protection locked="0"/>
    </xf>
    <xf numFmtId="164" fontId="0" fillId="40" borderId="11" xfId="0" applyNumberFormat="1" applyFill="1" applyBorder="1" applyAlignment="1" applyProtection="1">
      <alignment horizontal="right" vertical="center"/>
      <protection locked="0"/>
    </xf>
    <xf numFmtId="9" fontId="28" fillId="40" borderId="11" xfId="92" applyFont="1" applyFill="1" applyBorder="1" applyAlignment="1" applyProtection="1">
      <alignment horizontal="right" vertical="center"/>
      <protection locked="0"/>
    </xf>
    <xf numFmtId="165" fontId="52" fillId="40" borderId="30" xfId="82" applyNumberFormat="1" applyFont="1" applyFill="1" applyBorder="1" applyAlignment="1" applyProtection="1">
      <alignment horizontal="right"/>
      <protection locked="0"/>
    </xf>
    <xf numFmtId="0" fontId="52" fillId="0" borderId="11" xfId="0" applyFont="1" applyBorder="1" applyAlignment="1">
      <alignment horizontal="right" wrapText="1"/>
    </xf>
    <xf numFmtId="1" fontId="52" fillId="0" borderId="11" xfId="0" applyNumberFormat="1" applyFont="1" applyBorder="1" applyAlignment="1">
      <alignment horizontal="right" wrapText="1"/>
    </xf>
    <xf numFmtId="0" fontId="33" fillId="0" borderId="88" xfId="0" applyFont="1" applyBorder="1"/>
    <xf numFmtId="0" fontId="33" fillId="24" borderId="32" xfId="0" applyFont="1" applyFill="1" applyBorder="1" applyAlignment="1">
      <alignment horizontal="left"/>
    </xf>
    <xf numFmtId="0" fontId="33" fillId="24" borderId="42" xfId="0" applyFont="1" applyFill="1" applyBorder="1" applyAlignment="1">
      <alignment horizontal="left"/>
    </xf>
    <xf numFmtId="0" fontId="30" fillId="0" borderId="62" xfId="0" applyFont="1" applyBorder="1" applyAlignment="1">
      <alignment horizontal="left"/>
    </xf>
    <xf numFmtId="0" fontId="7" fillId="0" borderId="62" xfId="0" applyFont="1" applyBorder="1" applyAlignment="1">
      <alignment horizontal="left" vertical="center"/>
    </xf>
    <xf numFmtId="0" fontId="7" fillId="0" borderId="69" xfId="0" applyFont="1" applyBorder="1" applyAlignment="1">
      <alignment horizontal="left" vertical="center"/>
    </xf>
    <xf numFmtId="0" fontId="7" fillId="0" borderId="75" xfId="0" applyFont="1" applyBorder="1" applyAlignment="1">
      <alignment horizontal="left" vertical="center"/>
    </xf>
    <xf numFmtId="0" fontId="33" fillId="24" borderId="32" xfId="0" applyFont="1" applyFill="1" applyBorder="1"/>
    <xf numFmtId="0" fontId="33" fillId="24" borderId="37" xfId="0" applyFont="1" applyFill="1" applyBorder="1"/>
    <xf numFmtId="0" fontId="30" fillId="0" borderId="62" xfId="0" applyFont="1" applyBorder="1" applyAlignment="1">
      <alignment wrapText="1"/>
    </xf>
    <xf numFmtId="9" fontId="30" fillId="0" borderId="61" xfId="92" applyFont="1" applyBorder="1"/>
    <xf numFmtId="0" fontId="30" fillId="0" borderId="69" xfId="0" applyFont="1" applyBorder="1" applyAlignment="1">
      <alignment vertical="center" wrapText="1"/>
    </xf>
    <xf numFmtId="0" fontId="30" fillId="0" borderId="70" xfId="0" applyFont="1" applyBorder="1" applyAlignment="1">
      <alignment vertical="center" wrapText="1"/>
    </xf>
    <xf numFmtId="9" fontId="30" fillId="0" borderId="40" xfId="0" applyNumberFormat="1" applyFont="1" applyBorder="1" applyAlignment="1">
      <alignment vertical="center" wrapText="1"/>
    </xf>
    <xf numFmtId="9" fontId="30" fillId="0" borderId="40" xfId="92" applyFont="1" applyBorder="1"/>
    <xf numFmtId="9" fontId="30" fillId="0" borderId="38" xfId="92" applyFont="1" applyBorder="1"/>
    <xf numFmtId="0" fontId="7" fillId="25" borderId="18" xfId="82" applyFont="1" applyFill="1" applyBorder="1" applyAlignment="1">
      <alignment horizontal="center"/>
    </xf>
    <xf numFmtId="0" fontId="43" fillId="42" borderId="0" xfId="0" applyFont="1" applyFill="1" applyAlignment="1">
      <alignment horizontal="center" wrapText="1"/>
    </xf>
    <xf numFmtId="0" fontId="0" fillId="42" borderId="0" xfId="0" applyFill="1" applyAlignment="1">
      <alignment horizontal="center" wrapText="1"/>
    </xf>
    <xf numFmtId="165" fontId="50" fillId="42" borderId="0" xfId="0" applyNumberFormat="1" applyFont="1" applyFill="1"/>
    <xf numFmtId="175" fontId="0" fillId="0" borderId="11" xfId="0" applyNumberFormat="1" applyBorder="1"/>
    <xf numFmtId="0" fontId="8" fillId="0" borderId="60" xfId="82" applyFont="1" applyBorder="1" applyAlignment="1">
      <alignment vertical="top"/>
    </xf>
    <xf numFmtId="0" fontId="8" fillId="0" borderId="33" xfId="82" applyFont="1" applyBorder="1" applyAlignment="1">
      <alignment vertical="top"/>
    </xf>
    <xf numFmtId="0" fontId="8" fillId="25" borderId="39" xfId="82" applyFont="1" applyFill="1" applyBorder="1" applyAlignment="1">
      <alignment horizontal="left"/>
    </xf>
    <xf numFmtId="0" fontId="47" fillId="25" borderId="0" xfId="82" applyFont="1" applyFill="1"/>
    <xf numFmtId="0" fontId="8" fillId="0" borderId="66" xfId="82" applyFont="1" applyBorder="1"/>
    <xf numFmtId="0" fontId="8" fillId="0" borderId="45" xfId="82" applyFont="1" applyBorder="1"/>
    <xf numFmtId="0" fontId="30" fillId="40" borderId="11" xfId="0" applyFont="1" applyFill="1" applyBorder="1" applyAlignment="1" applyProtection="1">
      <alignment horizontal="right"/>
      <protection locked="0"/>
    </xf>
    <xf numFmtId="9" fontId="0" fillId="40" borderId="11" xfId="0" applyNumberFormat="1" applyFill="1" applyBorder="1" applyProtection="1">
      <protection locked="0"/>
    </xf>
    <xf numFmtId="1" fontId="0" fillId="40" borderId="11" xfId="0" applyNumberFormat="1" applyFill="1" applyBorder="1" applyProtection="1">
      <protection locked="0"/>
    </xf>
    <xf numFmtId="165" fontId="52" fillId="40" borderId="30" xfId="56" applyNumberFormat="1" applyFont="1" applyFill="1" applyBorder="1" applyAlignment="1" applyProtection="1">
      <alignment horizontal="right" wrapText="1"/>
      <protection locked="0"/>
    </xf>
    <xf numFmtId="165" fontId="52" fillId="40" borderId="11" xfId="56" applyNumberFormat="1" applyFont="1" applyFill="1" applyBorder="1" applyProtection="1">
      <protection locked="0"/>
    </xf>
    <xf numFmtId="3" fontId="76" fillId="40" borderId="11" xfId="0" applyNumberFormat="1" applyFont="1" applyFill="1" applyBorder="1" applyProtection="1">
      <protection locked="0"/>
    </xf>
    <xf numFmtId="9" fontId="76" fillId="40" borderId="11" xfId="0" applyNumberFormat="1" applyFont="1" applyFill="1" applyBorder="1" applyProtection="1">
      <protection locked="0"/>
    </xf>
    <xf numFmtId="0" fontId="76" fillId="40" borderId="11" xfId="0" applyFont="1" applyFill="1" applyBorder="1" applyAlignment="1" applyProtection="1">
      <alignment horizontal="right"/>
      <protection locked="0"/>
    </xf>
    <xf numFmtId="10" fontId="76" fillId="40" borderId="11" xfId="0" applyNumberFormat="1" applyFont="1" applyFill="1" applyBorder="1" applyProtection="1">
      <protection locked="0"/>
    </xf>
    <xf numFmtId="0" fontId="92" fillId="24" borderId="15" xfId="82" applyFont="1" applyFill="1" applyBorder="1"/>
    <xf numFmtId="0" fontId="92" fillId="24" borderId="16" xfId="82" applyFont="1" applyFill="1" applyBorder="1"/>
    <xf numFmtId="0" fontId="92" fillId="24" borderId="16" xfId="82" applyFont="1" applyFill="1" applyBorder="1" applyAlignment="1">
      <alignment horizontal="center"/>
    </xf>
    <xf numFmtId="0" fontId="92" fillId="24" borderId="18" xfId="82" applyFont="1" applyFill="1" applyBorder="1" applyAlignment="1">
      <alignment horizontal="center"/>
    </xf>
    <xf numFmtId="0" fontId="92" fillId="25" borderId="0" xfId="82" applyFont="1" applyFill="1"/>
    <xf numFmtId="0" fontId="93" fillId="25" borderId="0" xfId="82" applyFont="1" applyFill="1"/>
    <xf numFmtId="0" fontId="92" fillId="24" borderId="20" xfId="82" applyFont="1" applyFill="1" applyBorder="1" applyAlignment="1">
      <alignment horizontal="center"/>
    </xf>
    <xf numFmtId="0" fontId="92" fillId="0" borderId="0" xfId="82" applyFont="1" applyAlignment="1">
      <alignment horizontal="center"/>
    </xf>
    <xf numFmtId="0" fontId="92" fillId="0" borderId="0" xfId="82" applyFont="1"/>
    <xf numFmtId="0" fontId="7" fillId="0" borderId="18" xfId="82" applyFont="1" applyBorder="1" applyAlignment="1">
      <alignment horizontal="center"/>
    </xf>
    <xf numFmtId="0" fontId="0" fillId="41" borderId="80" xfId="0" applyFill="1" applyBorder="1"/>
    <xf numFmtId="9" fontId="2" fillId="40" borderId="73" xfId="82" applyNumberFormat="1" applyFill="1" applyBorder="1" applyProtection="1">
      <protection locked="0"/>
    </xf>
    <xf numFmtId="4" fontId="7" fillId="0" borderId="71" xfId="82" applyNumberFormat="1" applyFont="1" applyBorder="1"/>
    <xf numFmtId="0" fontId="81" fillId="40" borderId="11" xfId="82" applyFont="1" applyFill="1" applyBorder="1" applyProtection="1">
      <protection locked="0"/>
    </xf>
    <xf numFmtId="0" fontId="82" fillId="40" borderId="11" xfId="0" applyFont="1" applyFill="1" applyBorder="1" applyAlignment="1" applyProtection="1">
      <alignment horizontal="right"/>
      <protection locked="0"/>
    </xf>
    <xf numFmtId="0" fontId="81" fillId="40" borderId="11" xfId="82" applyFont="1" applyFill="1" applyBorder="1" applyAlignment="1" applyProtection="1">
      <alignment wrapText="1"/>
      <protection locked="0"/>
    </xf>
    <xf numFmtId="0" fontId="5" fillId="40" borderId="11" xfId="82" applyFont="1" applyFill="1" applyBorder="1" applyProtection="1">
      <protection locked="0"/>
    </xf>
    <xf numFmtId="2" fontId="0" fillId="40" borderId="11" xfId="0" applyNumberFormat="1" applyFill="1" applyBorder="1" applyProtection="1">
      <protection locked="0"/>
    </xf>
    <xf numFmtId="1" fontId="0" fillId="40" borderId="11" xfId="0" applyNumberFormat="1" applyFill="1" applyBorder="1" applyAlignment="1" applyProtection="1">
      <alignment horizontal="right"/>
      <protection locked="0"/>
    </xf>
    <xf numFmtId="0" fontId="0" fillId="40" borderId="11" xfId="0" applyFill="1" applyBorder="1" applyProtection="1">
      <protection locked="0"/>
    </xf>
    <xf numFmtId="0" fontId="0" fillId="40" borderId="52" xfId="0" applyFill="1" applyBorder="1" applyAlignment="1" applyProtection="1">
      <alignment horizontal="center" wrapText="1"/>
      <protection locked="0"/>
    </xf>
    <xf numFmtId="164" fontId="0" fillId="40" borderId="11" xfId="0" applyNumberFormat="1" applyFill="1" applyBorder="1" applyProtection="1">
      <protection locked="0"/>
    </xf>
    <xf numFmtId="0" fontId="0" fillId="40" borderId="86" xfId="0" applyFill="1" applyBorder="1" applyAlignment="1" applyProtection="1">
      <alignment horizontal="center" wrapText="1"/>
      <protection locked="0"/>
    </xf>
    <xf numFmtId="164" fontId="0" fillId="40" borderId="87" xfId="0" applyNumberFormat="1" applyFill="1" applyBorder="1" applyProtection="1">
      <protection locked="0"/>
    </xf>
    <xf numFmtId="0" fontId="50" fillId="40" borderId="11" xfId="0" applyFont="1" applyFill="1" applyBorder="1" applyAlignment="1" applyProtection="1">
      <alignment horizontal="center" wrapText="1"/>
      <protection locked="0"/>
    </xf>
    <xf numFmtId="164" fontId="50" fillId="40" borderId="11" xfId="0" applyNumberFormat="1" applyFont="1" applyFill="1" applyBorder="1" applyAlignment="1" applyProtection="1">
      <alignment horizontal="right"/>
      <protection locked="0"/>
    </xf>
    <xf numFmtId="0" fontId="0" fillId="40" borderId="53" xfId="0" applyFill="1" applyBorder="1" applyAlignment="1" applyProtection="1">
      <alignment horizontal="center" wrapText="1"/>
      <protection locked="0"/>
    </xf>
    <xf numFmtId="164" fontId="0" fillId="40" borderId="11" xfId="0" applyNumberFormat="1" applyFill="1" applyBorder="1" applyAlignment="1" applyProtection="1">
      <alignment horizontal="right"/>
      <protection locked="0"/>
    </xf>
    <xf numFmtId="8" fontId="50" fillId="40" borderId="11" xfId="0" applyNumberFormat="1" applyFont="1" applyFill="1" applyBorder="1" applyAlignment="1" applyProtection="1">
      <alignment horizontal="right"/>
      <protection locked="0"/>
    </xf>
    <xf numFmtId="165" fontId="50" fillId="40" borderId="11" xfId="0" applyNumberFormat="1" applyFont="1" applyFill="1" applyBorder="1" applyAlignment="1" applyProtection="1">
      <alignment horizontal="right"/>
      <protection locked="0"/>
    </xf>
    <xf numFmtId="10" fontId="30" fillId="40" borderId="11" xfId="0" applyNumberFormat="1" applyFont="1" applyFill="1" applyBorder="1" applyProtection="1">
      <protection locked="0"/>
    </xf>
    <xf numFmtId="3" fontId="0" fillId="40" borderId="11" xfId="0" applyNumberFormat="1" applyFill="1" applyBorder="1" applyProtection="1">
      <protection locked="0"/>
    </xf>
    <xf numFmtId="10" fontId="0" fillId="40" borderId="11" xfId="92" applyNumberFormat="1" applyFont="1" applyFill="1" applyBorder="1" applyAlignment="1" applyProtection="1">
      <protection locked="0"/>
    </xf>
    <xf numFmtId="10" fontId="28" fillId="40" borderId="11" xfId="92" applyNumberFormat="1" applyFont="1" applyFill="1" applyBorder="1" applyProtection="1">
      <protection locked="0"/>
    </xf>
    <xf numFmtId="9" fontId="0" fillId="40" borderId="33" xfId="92" applyFont="1" applyFill="1" applyBorder="1" applyAlignment="1" applyProtection="1">
      <protection locked="0"/>
    </xf>
    <xf numFmtId="9" fontId="0" fillId="40" borderId="11" xfId="92" applyFont="1" applyFill="1" applyBorder="1" applyAlignment="1" applyProtection="1">
      <protection locked="0"/>
    </xf>
    <xf numFmtId="9" fontId="0" fillId="40" borderId="61" xfId="92" applyFont="1" applyFill="1" applyBorder="1" applyAlignment="1" applyProtection="1">
      <protection locked="0"/>
    </xf>
    <xf numFmtId="9" fontId="0" fillId="40" borderId="54" xfId="0" applyNumberFormat="1" applyFill="1" applyBorder="1" applyProtection="1">
      <protection locked="0"/>
    </xf>
    <xf numFmtId="9" fontId="0" fillId="40" borderId="55" xfId="92" applyFont="1" applyFill="1" applyBorder="1" applyProtection="1">
      <protection locked="0"/>
    </xf>
    <xf numFmtId="9" fontId="0" fillId="40" borderId="72" xfId="92" applyFont="1" applyFill="1" applyBorder="1" applyProtection="1">
      <protection locked="0"/>
    </xf>
    <xf numFmtId="44" fontId="2" fillId="40" borderId="11" xfId="82" applyNumberFormat="1" applyFill="1" applyBorder="1" applyProtection="1">
      <protection locked="0"/>
    </xf>
    <xf numFmtId="9" fontId="2" fillId="40" borderId="11" xfId="92" applyFont="1" applyFill="1" applyBorder="1" applyProtection="1">
      <protection locked="0"/>
    </xf>
    <xf numFmtId="44" fontId="2" fillId="40" borderId="40" xfId="82" applyNumberFormat="1" applyFill="1" applyBorder="1" applyProtection="1">
      <protection locked="0"/>
    </xf>
    <xf numFmtId="9" fontId="2" fillId="40" borderId="40" xfId="92" applyFont="1" applyFill="1" applyBorder="1" applyProtection="1">
      <protection locked="0"/>
    </xf>
    <xf numFmtId="0" fontId="30" fillId="40" borderId="33" xfId="0" applyFont="1" applyFill="1" applyBorder="1" applyProtection="1">
      <protection locked="0"/>
    </xf>
    <xf numFmtId="9" fontId="30" fillId="40" borderId="17" xfId="92" applyFont="1" applyFill="1" applyBorder="1" applyProtection="1">
      <protection locked="0"/>
    </xf>
    <xf numFmtId="0" fontId="2" fillId="40" borderId="11" xfId="82" applyFill="1" applyBorder="1" applyAlignment="1" applyProtection="1">
      <alignment horizontal="right" wrapText="1"/>
      <protection locked="0"/>
    </xf>
    <xf numFmtId="2" fontId="2" fillId="40" borderId="11" xfId="82" applyNumberFormat="1" applyFill="1" applyBorder="1" applyAlignment="1" applyProtection="1">
      <alignment horizontal="right" wrapText="1"/>
      <protection locked="0"/>
    </xf>
    <xf numFmtId="0" fontId="2" fillId="40" borderId="11" xfId="82" applyFill="1" applyBorder="1" applyAlignment="1" applyProtection="1">
      <alignment horizontal="center" wrapText="1"/>
      <protection locked="0"/>
    </xf>
    <xf numFmtId="4" fontId="2" fillId="40" borderId="11" xfId="82" applyNumberFormat="1" applyFill="1" applyBorder="1" applyAlignment="1" applyProtection="1">
      <alignment horizontal="right" wrapText="1"/>
      <protection locked="0"/>
    </xf>
    <xf numFmtId="0" fontId="30" fillId="40" borderId="63" xfId="0" applyFont="1" applyFill="1" applyBorder="1" applyProtection="1">
      <protection locked="0"/>
    </xf>
    <xf numFmtId="0" fontId="30" fillId="40" borderId="74" xfId="0" applyFont="1" applyFill="1" applyBorder="1" applyProtection="1">
      <protection locked="0"/>
    </xf>
    <xf numFmtId="0" fontId="2" fillId="40" borderId="11" xfId="82" applyFill="1" applyBorder="1" applyProtection="1">
      <protection locked="0"/>
    </xf>
    <xf numFmtId="0" fontId="5" fillId="40" borderId="11" xfId="82" applyFont="1" applyFill="1" applyBorder="1" applyAlignment="1" applyProtection="1">
      <alignment horizontal="center" wrapText="1"/>
      <protection locked="0"/>
    </xf>
    <xf numFmtId="9" fontId="30" fillId="40" borderId="15" xfId="92" applyFont="1" applyFill="1" applyBorder="1" applyProtection="1">
      <protection locked="0"/>
    </xf>
    <xf numFmtId="0" fontId="2" fillId="40" borderId="15" xfId="82" applyFill="1" applyBorder="1" applyProtection="1">
      <protection locked="0"/>
    </xf>
    <xf numFmtId="0" fontId="2" fillId="40" borderId="15" xfId="82" applyFill="1" applyBorder="1" applyAlignment="1" applyProtection="1">
      <alignment horizontal="right"/>
      <protection locked="0"/>
    </xf>
    <xf numFmtId="0" fontId="5" fillId="40" borderId="15" xfId="82" applyFont="1" applyFill="1" applyBorder="1" applyAlignment="1" applyProtection="1">
      <alignment horizontal="center" wrapText="1"/>
      <protection locked="0"/>
    </xf>
    <xf numFmtId="4" fontId="2" fillId="40" borderId="15" xfId="82" applyNumberFormat="1" applyFill="1" applyBorder="1" applyAlignment="1" applyProtection="1">
      <alignment horizontal="right" wrapText="1"/>
      <protection locked="0"/>
    </xf>
    <xf numFmtId="0" fontId="30" fillId="40" borderId="39" xfId="0" applyFont="1" applyFill="1" applyBorder="1" applyProtection="1">
      <protection locked="0"/>
    </xf>
    <xf numFmtId="9" fontId="30" fillId="40" borderId="40" xfId="92" applyFont="1" applyFill="1" applyBorder="1" applyProtection="1">
      <protection locked="0"/>
    </xf>
    <xf numFmtId="0" fontId="2" fillId="40" borderId="40" xfId="82" applyFill="1" applyBorder="1" applyAlignment="1" applyProtection="1">
      <alignment horizontal="right"/>
      <protection locked="0"/>
    </xf>
    <xf numFmtId="0" fontId="2" fillId="40" borderId="40" xfId="82" applyFill="1" applyBorder="1" applyProtection="1">
      <protection locked="0"/>
    </xf>
    <xf numFmtId="0" fontId="5" fillId="40" borderId="40" xfId="82" applyFont="1" applyFill="1" applyBorder="1" applyAlignment="1" applyProtection="1">
      <alignment horizontal="center" wrapText="1"/>
      <protection locked="0"/>
    </xf>
    <xf numFmtId="4" fontId="2" fillId="40" borderId="40" xfId="82" applyNumberFormat="1" applyFill="1" applyBorder="1" applyAlignment="1" applyProtection="1">
      <alignment horizontal="right" wrapText="1"/>
      <protection locked="0"/>
    </xf>
    <xf numFmtId="0" fontId="30" fillId="40" borderId="77" xfId="0" applyFont="1" applyFill="1" applyBorder="1" applyProtection="1">
      <protection locked="0"/>
    </xf>
    <xf numFmtId="9" fontId="30" fillId="40" borderId="42" xfId="92" applyFont="1" applyFill="1" applyBorder="1" applyProtection="1">
      <protection locked="0"/>
    </xf>
    <xf numFmtId="0" fontId="2" fillId="40" borderId="66" xfId="82" applyFill="1" applyBorder="1" applyAlignment="1" applyProtection="1">
      <alignment horizontal="right" wrapText="1"/>
      <protection locked="0"/>
    </xf>
    <xf numFmtId="2" fontId="2" fillId="40" borderId="66" xfId="82" applyNumberFormat="1" applyFill="1" applyBorder="1" applyAlignment="1" applyProtection="1">
      <alignment horizontal="right" wrapText="1"/>
      <protection locked="0"/>
    </xf>
    <xf numFmtId="0" fontId="2" fillId="40" borderId="66" xfId="82" applyFill="1" applyBorder="1" applyAlignment="1" applyProtection="1">
      <alignment horizontal="center" wrapText="1"/>
      <protection locked="0"/>
    </xf>
    <xf numFmtId="4" fontId="2" fillId="40" borderId="66" xfId="82" applyNumberFormat="1" applyFill="1" applyBorder="1" applyAlignment="1" applyProtection="1">
      <alignment horizontal="right" wrapText="1"/>
      <protection locked="0"/>
    </xf>
    <xf numFmtId="0" fontId="30" fillId="40" borderId="60" xfId="0" applyFont="1" applyFill="1" applyBorder="1" applyProtection="1">
      <protection locked="0"/>
    </xf>
    <xf numFmtId="4" fontId="2" fillId="40" borderId="45" xfId="82" applyNumberFormat="1" applyFill="1" applyBorder="1" applyAlignment="1" applyProtection="1">
      <alignment horizontal="right" wrapText="1"/>
      <protection locked="0"/>
    </xf>
    <xf numFmtId="4" fontId="2" fillId="40" borderId="61" xfId="82" applyNumberFormat="1" applyFill="1" applyBorder="1" applyAlignment="1" applyProtection="1">
      <alignment horizontal="right" wrapText="1"/>
      <protection locked="0"/>
    </xf>
    <xf numFmtId="4" fontId="2" fillId="40" borderId="38" xfId="82" applyNumberFormat="1" applyFill="1" applyBorder="1" applyAlignment="1" applyProtection="1">
      <alignment horizontal="right" wrapText="1"/>
      <protection locked="0"/>
    </xf>
    <xf numFmtId="0" fontId="2" fillId="40" borderId="66" xfId="82" applyFill="1" applyBorder="1" applyProtection="1">
      <protection locked="0"/>
    </xf>
    <xf numFmtId="9" fontId="30" fillId="40" borderId="75" xfId="92" applyFont="1" applyFill="1" applyBorder="1" applyProtection="1">
      <protection locked="0"/>
    </xf>
    <xf numFmtId="0" fontId="2" fillId="40" borderId="40" xfId="82" applyFill="1" applyBorder="1" applyAlignment="1" applyProtection="1">
      <alignment horizontal="center" wrapText="1"/>
      <protection locked="0"/>
    </xf>
    <xf numFmtId="2" fontId="2" fillId="40" borderId="20" xfId="82" applyNumberFormat="1" applyFill="1" applyBorder="1" applyAlignment="1" applyProtection="1">
      <alignment horizontal="right" wrapText="1"/>
      <protection locked="0"/>
    </xf>
    <xf numFmtId="0" fontId="2" fillId="40" borderId="20" xfId="82" applyFill="1" applyBorder="1" applyAlignment="1" applyProtection="1">
      <alignment horizontal="right" wrapText="1"/>
      <protection locked="0"/>
    </xf>
    <xf numFmtId="0" fontId="2" fillId="40" borderId="62" xfId="82" applyFill="1" applyBorder="1" applyAlignment="1" applyProtection="1">
      <alignment vertical="top"/>
      <protection locked="0"/>
    </xf>
    <xf numFmtId="166" fontId="7" fillId="40" borderId="11" xfId="56" applyNumberFormat="1" applyFont="1" applyFill="1" applyBorder="1" applyAlignment="1" applyProtection="1">
      <alignment horizontal="center"/>
      <protection locked="0"/>
    </xf>
    <xf numFmtId="165" fontId="2" fillId="40" borderId="11" xfId="82" applyNumberFormat="1" applyFill="1" applyBorder="1" applyProtection="1">
      <protection locked="0"/>
    </xf>
    <xf numFmtId="0" fontId="2" fillId="40" borderId="69" xfId="82" applyFill="1" applyBorder="1" applyAlignment="1" applyProtection="1">
      <alignment vertical="top"/>
      <protection locked="0"/>
    </xf>
    <xf numFmtId="166" fontId="7" fillId="40" borderId="40" xfId="56" applyNumberFormat="1" applyFont="1" applyFill="1" applyBorder="1" applyAlignment="1" applyProtection="1">
      <alignment horizontal="center"/>
      <protection locked="0"/>
    </xf>
    <xf numFmtId="165" fontId="2" fillId="40" borderId="40" xfId="82" applyNumberFormat="1" applyFill="1" applyBorder="1" applyProtection="1">
      <protection locked="0"/>
    </xf>
    <xf numFmtId="0" fontId="40" fillId="40" borderId="72" xfId="0" applyFont="1" applyFill="1" applyBorder="1" applyAlignment="1" applyProtection="1">
      <alignment horizontal="left" wrapText="1"/>
      <protection locked="0"/>
    </xf>
    <xf numFmtId="0" fontId="7" fillId="40" borderId="12" xfId="82" applyFont="1" applyFill="1" applyBorder="1" applyAlignment="1" applyProtection="1">
      <alignment horizontal="left"/>
      <protection locked="0"/>
    </xf>
    <xf numFmtId="0" fontId="7" fillId="40" borderId="24" xfId="82" applyFont="1" applyFill="1" applyBorder="1" applyAlignment="1" applyProtection="1">
      <alignment horizontal="left"/>
      <protection locked="0"/>
    </xf>
    <xf numFmtId="0" fontId="7" fillId="40" borderId="24" xfId="82" applyFont="1" applyFill="1" applyBorder="1" applyAlignment="1" applyProtection="1">
      <alignment horizontal="right"/>
      <protection locked="0"/>
    </xf>
    <xf numFmtId="166" fontId="7" fillId="40" borderId="24" xfId="56" applyNumberFormat="1" applyFont="1" applyFill="1" applyBorder="1" applyProtection="1">
      <protection locked="0"/>
    </xf>
    <xf numFmtId="0" fontId="7" fillId="40" borderId="24" xfId="82" applyFont="1" applyFill="1" applyBorder="1" applyProtection="1">
      <protection locked="0"/>
    </xf>
    <xf numFmtId="166" fontId="7" fillId="40" borderId="17" xfId="56" applyNumberFormat="1" applyFont="1" applyFill="1" applyBorder="1" applyProtection="1">
      <protection locked="0"/>
    </xf>
    <xf numFmtId="165" fontId="7" fillId="40" borderId="11" xfId="82" applyNumberFormat="1" applyFont="1" applyFill="1" applyBorder="1" applyProtection="1">
      <protection locked="0"/>
    </xf>
    <xf numFmtId="0" fontId="40" fillId="40" borderId="11" xfId="0" applyFont="1" applyFill="1" applyBorder="1" applyAlignment="1" applyProtection="1">
      <alignment horizontal="left" wrapText="1"/>
      <protection locked="0"/>
    </xf>
    <xf numFmtId="0" fontId="86" fillId="40" borderId="33" xfId="0" applyFont="1" applyFill="1" applyBorder="1" applyProtection="1">
      <protection locked="0"/>
    </xf>
    <xf numFmtId="0" fontId="86" fillId="40" borderId="11" xfId="0" applyFont="1" applyFill="1" applyBorder="1" applyAlignment="1" applyProtection="1">
      <alignment horizontal="center"/>
      <protection locked="0"/>
    </xf>
    <xf numFmtId="8" fontId="86" fillId="40" borderId="61" xfId="0" applyNumberFormat="1" applyFont="1" applyFill="1" applyBorder="1" applyProtection="1">
      <protection locked="0"/>
    </xf>
    <xf numFmtId="0" fontId="7" fillId="40" borderId="11" xfId="82" applyFont="1" applyFill="1" applyBorder="1" applyAlignment="1" applyProtection="1">
      <alignment horizontal="center"/>
      <protection locked="0"/>
    </xf>
    <xf numFmtId="164" fontId="7" fillId="40" borderId="61" xfId="56" applyNumberFormat="1" applyFont="1" applyFill="1" applyBorder="1" applyAlignment="1" applyProtection="1">
      <alignment horizontal="right"/>
      <protection locked="0"/>
    </xf>
    <xf numFmtId="0" fontId="86" fillId="40" borderId="39" xfId="0" applyFont="1" applyFill="1" applyBorder="1" applyAlignment="1" applyProtection="1">
      <alignment horizontal="left"/>
      <protection locked="0"/>
    </xf>
    <xf numFmtId="0" fontId="86" fillId="40" borderId="40" xfId="0" applyFont="1" applyFill="1" applyBorder="1" applyAlignment="1" applyProtection="1">
      <alignment horizontal="center" wrapText="1"/>
      <protection locked="0"/>
    </xf>
    <xf numFmtId="165" fontId="7" fillId="40" borderId="38" xfId="56" applyNumberFormat="1" applyFont="1" applyFill="1" applyBorder="1" applyAlignment="1" applyProtection="1">
      <alignment horizontal="right"/>
      <protection locked="0"/>
    </xf>
    <xf numFmtId="165" fontId="7" fillId="0" borderId="0" xfId="0" applyNumberFormat="1" applyFont="1"/>
    <xf numFmtId="2" fontId="0" fillId="40" borderId="11" xfId="0" applyNumberFormat="1" applyFill="1" applyBorder="1" applyAlignment="1" applyProtection="1">
      <alignment horizontal="right"/>
      <protection locked="0"/>
    </xf>
    <xf numFmtId="0" fontId="40" fillId="0" borderId="0" xfId="0" applyFont="1"/>
    <xf numFmtId="0" fontId="29" fillId="0" borderId="24" xfId="72" applyFill="1" applyBorder="1" applyAlignment="1" applyProtection="1">
      <alignment horizontal="left" vertical="center" wrapText="1"/>
    </xf>
    <xf numFmtId="0" fontId="0" fillId="0" borderId="24" xfId="0" applyBorder="1" applyAlignment="1">
      <alignment wrapText="1"/>
    </xf>
    <xf numFmtId="0" fontId="0" fillId="0" borderId="58" xfId="0" applyBorder="1" applyAlignment="1">
      <alignment wrapText="1"/>
    </xf>
    <xf numFmtId="0" fontId="30" fillId="29" borderId="12" xfId="0" applyFont="1" applyFill="1" applyBorder="1" applyAlignment="1">
      <alignment horizontal="center"/>
    </xf>
    <xf numFmtId="0" fontId="30" fillId="29" borderId="24" xfId="0" applyFont="1" applyFill="1" applyBorder="1" applyAlignment="1">
      <alignment horizontal="center"/>
    </xf>
    <xf numFmtId="0" fontId="30" fillId="29" borderId="17" xfId="0" applyFont="1" applyFill="1" applyBorder="1" applyAlignment="1">
      <alignment horizontal="center"/>
    </xf>
    <xf numFmtId="0" fontId="50" fillId="50" borderId="12" xfId="82" applyFont="1" applyFill="1" applyBorder="1" applyAlignment="1">
      <alignment horizontal="center" vertical="center"/>
    </xf>
    <xf numFmtId="0" fontId="50" fillId="50" borderId="24" xfId="82" applyFont="1" applyFill="1" applyBorder="1" applyAlignment="1">
      <alignment horizontal="center" vertical="center"/>
    </xf>
    <xf numFmtId="0" fontId="50" fillId="50" borderId="17" xfId="82" applyFont="1" applyFill="1" applyBorder="1" applyAlignment="1">
      <alignment horizontal="center" vertical="center"/>
    </xf>
    <xf numFmtId="0" fontId="63" fillId="48" borderId="31" xfId="82" applyFont="1" applyFill="1" applyBorder="1" applyAlignment="1">
      <alignment horizontal="center"/>
    </xf>
    <xf numFmtId="0" fontId="63" fillId="48" borderId="10" xfId="82" applyFont="1" applyFill="1" applyBorder="1" applyAlignment="1">
      <alignment horizontal="center"/>
    </xf>
    <xf numFmtId="0" fontId="63" fillId="48" borderId="30" xfId="82" applyFont="1" applyFill="1" applyBorder="1" applyAlignment="1">
      <alignment horizontal="center"/>
    </xf>
    <xf numFmtId="0" fontId="48" fillId="0" borderId="32" xfId="0" applyFont="1"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wrapText="1"/>
    </xf>
    <xf numFmtId="0" fontId="48" fillId="0" borderId="32" xfId="0" applyFont="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30" fillId="25" borderId="43" xfId="0" applyFont="1" applyFill="1" applyBorder="1" applyAlignment="1">
      <alignment horizontal="center"/>
    </xf>
    <xf numFmtId="0" fontId="0" fillId="0" borderId="42" xfId="0" applyBorder="1" applyAlignment="1">
      <alignment horizontal="center"/>
    </xf>
    <xf numFmtId="0" fontId="45" fillId="39" borderId="27" xfId="0"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FF99"/>
      <color rgb="FFCCFFFF"/>
      <color rgb="FFFF00FF"/>
      <color rgb="FFE4E5B5"/>
      <color rgb="FF18646E"/>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361813</xdr:colOff>
      <xdr:row>54</xdr:row>
      <xdr:rowOff>272143</xdr:rowOff>
    </xdr:from>
    <xdr:to>
      <xdr:col>9</xdr:col>
      <xdr:colOff>10467</xdr:colOff>
      <xdr:row>56</xdr:row>
      <xdr:rowOff>397621</xdr:rowOff>
    </xdr:to>
    <xdr:sp macro="" textlink="">
      <xdr:nvSpPr>
        <xdr:cNvPr id="5" name="TextBox 1">
          <a:extLst>
            <a:ext uri="{FF2B5EF4-FFF2-40B4-BE49-F238E27FC236}">
              <a16:creationId xmlns:a16="http://schemas.microsoft.com/office/drawing/2014/main" id="{6A172DF7-38D8-B86A-58C0-8081BF350109}"/>
            </a:ext>
          </a:extLst>
        </xdr:cNvPr>
        <xdr:cNvSpPr txBox="1"/>
      </xdr:nvSpPr>
      <xdr:spPr>
        <a:xfrm>
          <a:off x="518818" y="12937253"/>
          <a:ext cx="10000550" cy="690698"/>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table below is to denote the testing rates in</a:t>
          </a:r>
          <a:r>
            <a:rPr lang="en-GB" sz="1100" baseline="0"/>
            <a:t> current and future practice</a:t>
          </a:r>
          <a:r>
            <a:rPr lang="en-GB" sz="1100"/>
            <a:t>.  Please complete cells D58-I60 to show the applicable portions.  Cells</a:t>
          </a:r>
          <a:r>
            <a:rPr lang="en-GB" sz="1100" baseline="0"/>
            <a:t> in row 61</a:t>
          </a:r>
          <a:r>
            <a:rPr lang="en-GB" sz="1100"/>
            <a:t> should total 100%.  Beneath that is a table which will</a:t>
          </a:r>
          <a:r>
            <a:rPr lang="en-GB" sz="1100" baseline="0"/>
            <a:t> populate with the relevant population numbers.  </a:t>
          </a:r>
          <a:r>
            <a:rPr lang="en-GB" sz="1100"/>
            <a:t> The assumptions regarding</a:t>
          </a:r>
          <a:r>
            <a:rPr lang="en-GB" sz="1100" baseline="0"/>
            <a:t> the proportions of people receiving chemotherapy shown in cells D72 - D75 are the same as what is used in the economic assessment model but can be amended locally.  </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xdr:txBody>
    </xdr:sp>
    <xdr:clientData/>
  </xdr:twoCellAnchor>
  <xdr:twoCellAnchor>
    <xdr:from>
      <xdr:col>1</xdr:col>
      <xdr:colOff>378564</xdr:colOff>
      <xdr:row>78</xdr:row>
      <xdr:rowOff>115136</xdr:rowOff>
    </xdr:from>
    <xdr:to>
      <xdr:col>9</xdr:col>
      <xdr:colOff>10468</xdr:colOff>
      <xdr:row>80</xdr:row>
      <xdr:rowOff>7342</xdr:rowOff>
    </xdr:to>
    <xdr:sp macro="" textlink="">
      <xdr:nvSpPr>
        <xdr:cNvPr id="6" name="TextBox 2">
          <a:extLst>
            <a:ext uri="{FF2B5EF4-FFF2-40B4-BE49-F238E27FC236}">
              <a16:creationId xmlns:a16="http://schemas.microsoft.com/office/drawing/2014/main" id="{C7B328A3-DD0F-8252-4FC2-E97618607B23}"/>
            </a:ext>
          </a:extLst>
        </xdr:cNvPr>
        <xdr:cNvSpPr txBox="1"/>
      </xdr:nvSpPr>
      <xdr:spPr>
        <a:xfrm>
          <a:off x="535569" y="18547581"/>
          <a:ext cx="9983800" cy="47836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table below sets out the distribution of people who receive chemotherapy across the treatment options listed in column C.  The assumed percentages against each treatment have been taken from the economic model but can be amended locally.  The table beneath sets out the relevant population numbers.</a:t>
          </a:r>
        </a:p>
        <a:p>
          <a:endParaRPr lang="en-GB" sz="1100" baseline="0"/>
        </a:p>
        <a:p>
          <a:endParaRPr lang="en-GB" sz="1100" baseline="0"/>
        </a:p>
        <a:p>
          <a:endParaRPr lang="en-GB" sz="1100" baseline="0"/>
        </a:p>
        <a:p>
          <a:endParaRPr lang="en-GB" sz="1100" baseline="0"/>
        </a:p>
        <a:p>
          <a:endParaRPr lang="en-GB" sz="1100" baseline="0"/>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ssociationofbreastsurgery.org.uk/media/626977/nhs-bsp-abs-audit-2021-2022.pdf" TargetMode="External"/><Relationship Id="rId5" Type="http://schemas.openxmlformats.org/officeDocument/2006/relationships/hyperlink" Target="https://digital.nhs.uk/data-and-information/publications/statistical/cancer-registration-statistics/england-2021---summary-counts-only"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england.nhs.uk/publication/2023-25-nhs-payment-scheme/" TargetMode="External"/><Relationship Id="rId2" Type="http://schemas.openxmlformats.org/officeDocument/2006/relationships/hyperlink" Target="https://www.drugtariff.nhsbsa.nhs.uk/" TargetMode="External"/><Relationship Id="rId1" Type="http://schemas.openxmlformats.org/officeDocument/2006/relationships/hyperlink" Target="https://www.gov.uk/government/publications/drugs-and-pharmaceutical-electronic-market-information-emit" TargetMode="External"/><Relationship Id="rId5" Type="http://schemas.openxmlformats.org/officeDocument/2006/relationships/printerSettings" Target="../printerSettings/printerSettings4.bin"/><Relationship Id="rId4" Type="http://schemas.openxmlformats.org/officeDocument/2006/relationships/hyperlink" Target="https://www.england.nhs.uk/publication/2023-25-nhs-payment-schem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2"/>
  <sheetViews>
    <sheetView showGridLines="0" tabSelected="1" topLeftCell="A6" zoomScale="80" zoomScaleNormal="80" zoomScaleSheetLayoutView="80" workbookViewId="0"/>
  </sheetViews>
  <sheetFormatPr defaultRowHeight="15" x14ac:dyDescent="0.25"/>
  <cols>
    <col min="1" max="1" width="1.42578125" customWidth="1"/>
    <col min="2" max="2" width="1.85546875" customWidth="1"/>
    <col min="14" max="14" width="8.7109375" customWidth="1"/>
    <col min="15" max="15" width="1.5703125" customWidth="1"/>
    <col min="16" max="16" width="1.42578125" customWidth="1"/>
    <col min="21" max="21" width="31" customWidth="1"/>
  </cols>
  <sheetData>
    <row r="2" spans="2:21" x14ac:dyDescent="0.25">
      <c r="B2" s="296"/>
      <c r="C2" s="455"/>
      <c r="D2" s="455"/>
      <c r="E2" s="455"/>
      <c r="F2" s="455"/>
      <c r="G2" s="455"/>
      <c r="H2" s="455"/>
      <c r="I2" s="455"/>
      <c r="J2" s="455"/>
      <c r="K2" s="455"/>
      <c r="L2" s="455"/>
      <c r="M2" s="455"/>
      <c r="N2" s="455"/>
      <c r="O2" s="454"/>
    </row>
    <row r="3" spans="2:21" x14ac:dyDescent="0.25">
      <c r="B3" s="285"/>
      <c r="O3" s="284"/>
    </row>
    <row r="4" spans="2:21" x14ac:dyDescent="0.25">
      <c r="B4" s="285"/>
      <c r="O4" s="284"/>
    </row>
    <row r="5" spans="2:21" x14ac:dyDescent="0.25">
      <c r="B5" s="285"/>
      <c r="O5" s="284"/>
    </row>
    <row r="6" spans="2:21" ht="46.5" x14ac:dyDescent="0.7">
      <c r="B6" s="285"/>
      <c r="O6" s="284"/>
      <c r="S6" s="527"/>
      <c r="U6" s="528"/>
    </row>
    <row r="7" spans="2:21" x14ac:dyDescent="0.25">
      <c r="B7" s="285"/>
      <c r="O7" s="284"/>
    </row>
    <row r="8" spans="2:21" x14ac:dyDescent="0.25">
      <c r="B8" s="285"/>
      <c r="O8" s="284"/>
    </row>
    <row r="9" spans="2:21" x14ac:dyDescent="0.25">
      <c r="B9" s="285"/>
      <c r="O9" s="284"/>
    </row>
    <row r="10" spans="2:21" x14ac:dyDescent="0.25">
      <c r="B10" s="285"/>
      <c r="C10" s="297"/>
      <c r="D10" s="297"/>
      <c r="E10" s="297"/>
      <c r="F10" s="297"/>
      <c r="G10" s="297"/>
      <c r="H10" s="297"/>
      <c r="I10" s="297"/>
      <c r="J10" s="297"/>
      <c r="K10" s="297"/>
      <c r="L10" s="297"/>
      <c r="M10" s="297"/>
      <c r="N10" s="297"/>
      <c r="O10" s="284"/>
    </row>
    <row r="11" spans="2:21" ht="31.5" x14ac:dyDescent="0.5">
      <c r="B11" s="285"/>
      <c r="C11" s="298" t="s">
        <v>0</v>
      </c>
      <c r="D11" s="297"/>
      <c r="E11" s="297"/>
      <c r="F11" s="297"/>
      <c r="G11" s="297"/>
      <c r="H11" s="297"/>
      <c r="I11" s="297"/>
      <c r="J11" s="297"/>
      <c r="K11" s="297"/>
      <c r="L11" s="297"/>
      <c r="M11" s="297"/>
      <c r="N11" s="297"/>
      <c r="O11" s="284"/>
    </row>
    <row r="12" spans="2:21" x14ac:dyDescent="0.25">
      <c r="B12" s="285"/>
      <c r="C12" s="297"/>
      <c r="D12" s="297"/>
      <c r="E12" s="297"/>
      <c r="F12" s="297"/>
      <c r="G12" s="297"/>
      <c r="H12" s="297"/>
      <c r="I12" s="297"/>
      <c r="J12" s="297"/>
      <c r="K12" s="297"/>
      <c r="L12" s="297"/>
      <c r="M12" s="297"/>
      <c r="N12" s="297"/>
      <c r="O12" s="284"/>
    </row>
    <row r="13" spans="2:21" x14ac:dyDescent="0.25">
      <c r="B13" s="285"/>
      <c r="O13" s="284"/>
    </row>
    <row r="14" spans="2:21" ht="31.5" x14ac:dyDescent="0.5">
      <c r="B14" s="285"/>
      <c r="C14" s="300" t="s">
        <v>1</v>
      </c>
      <c r="O14" s="284"/>
    </row>
    <row r="15" spans="2:21" ht="31.5" x14ac:dyDescent="0.25">
      <c r="B15" s="285"/>
      <c r="C15" s="500" t="s">
        <v>1103</v>
      </c>
      <c r="O15" s="284"/>
    </row>
    <row r="16" spans="2:21" ht="31.5" x14ac:dyDescent="0.25">
      <c r="B16" s="285"/>
      <c r="C16" s="500" t="s">
        <v>1104</v>
      </c>
      <c r="O16" s="284"/>
    </row>
    <row r="17" spans="2:15" ht="31.5" x14ac:dyDescent="0.25">
      <c r="B17" s="285"/>
      <c r="C17" s="500"/>
      <c r="O17" s="284"/>
    </row>
    <row r="18" spans="2:15" ht="31.5" x14ac:dyDescent="0.5">
      <c r="B18" s="285"/>
      <c r="C18" s="500" t="s">
        <v>1297</v>
      </c>
      <c r="D18" s="301"/>
      <c r="O18" s="284"/>
    </row>
    <row r="19" spans="2:15" ht="31.5" x14ac:dyDescent="0.5">
      <c r="B19" s="285"/>
      <c r="D19" s="301"/>
      <c r="O19" s="284"/>
    </row>
    <row r="20" spans="2:15" ht="31.5" x14ac:dyDescent="0.5">
      <c r="B20" s="285"/>
      <c r="C20" s="299" t="s">
        <v>1298</v>
      </c>
      <c r="D20" s="301"/>
      <c r="O20" s="284"/>
    </row>
    <row r="21" spans="2:15" ht="31.5" x14ac:dyDescent="0.5">
      <c r="B21" s="285"/>
      <c r="D21" s="301"/>
      <c r="O21" s="284"/>
    </row>
    <row r="22" spans="2:15" ht="31.5" x14ac:dyDescent="0.5">
      <c r="B22" s="285"/>
      <c r="D22" s="301"/>
      <c r="O22" s="284"/>
    </row>
    <row r="23" spans="2:15" ht="31.5" x14ac:dyDescent="0.5">
      <c r="B23" s="285"/>
      <c r="D23" s="301"/>
      <c r="O23" s="284"/>
    </row>
    <row r="24" spans="2:15" ht="31.5" x14ac:dyDescent="0.5">
      <c r="B24" s="285"/>
      <c r="C24" s="499"/>
      <c r="D24" s="301"/>
      <c r="O24" s="284"/>
    </row>
    <row r="25" spans="2:15" x14ac:dyDescent="0.25">
      <c r="B25" s="285"/>
      <c r="O25" s="284"/>
    </row>
    <row r="26" spans="2:15" x14ac:dyDescent="0.25">
      <c r="B26" s="285"/>
      <c r="O26" s="284"/>
    </row>
    <row r="27" spans="2:15" x14ac:dyDescent="0.25">
      <c r="B27" s="285"/>
      <c r="O27" s="284"/>
    </row>
    <row r="28" spans="2:15" x14ac:dyDescent="0.25">
      <c r="B28" s="285"/>
      <c r="O28" s="284"/>
    </row>
    <row r="29" spans="2:15" x14ac:dyDescent="0.25">
      <c r="B29" s="285"/>
      <c r="O29" s="284"/>
    </row>
    <row r="30" spans="2:15" x14ac:dyDescent="0.25">
      <c r="B30" s="285"/>
      <c r="O30" s="284"/>
    </row>
    <row r="31" spans="2:15" x14ac:dyDescent="0.25">
      <c r="B31" s="285"/>
      <c r="O31" s="284"/>
    </row>
    <row r="32" spans="2:15" x14ac:dyDescent="0.25">
      <c r="B32" s="285"/>
      <c r="O32" s="284"/>
    </row>
    <row r="33" spans="2:15" x14ac:dyDescent="0.25">
      <c r="B33" s="285"/>
      <c r="O33" s="284"/>
    </row>
    <row r="34" spans="2:15" x14ac:dyDescent="0.25">
      <c r="B34" s="285"/>
      <c r="O34" s="284"/>
    </row>
    <row r="35" spans="2:15" x14ac:dyDescent="0.25">
      <c r="B35" s="285"/>
      <c r="C35" s="276" t="s">
        <v>2</v>
      </c>
      <c r="D35" s="318"/>
      <c r="E35" s="292"/>
      <c r="F35" s="363" t="s">
        <v>3</v>
      </c>
      <c r="G35" s="318"/>
      <c r="H35" s="318"/>
      <c r="I35" s="318"/>
      <c r="J35" s="318"/>
      <c r="K35" s="318"/>
      <c r="L35" s="318"/>
      <c r="M35" s="292"/>
      <c r="O35" s="284"/>
    </row>
    <row r="36" spans="2:15" x14ac:dyDescent="0.25">
      <c r="B36" s="285"/>
      <c r="C36" s="276" t="s">
        <v>4</v>
      </c>
      <c r="D36" s="318"/>
      <c r="E36" s="292"/>
      <c r="F36" s="363" t="s">
        <v>1101</v>
      </c>
      <c r="G36" s="318"/>
      <c r="H36" s="318"/>
      <c r="I36" s="318"/>
      <c r="J36" s="318"/>
      <c r="K36" s="318"/>
      <c r="L36" s="318"/>
      <c r="M36" s="292"/>
      <c r="O36" s="284"/>
    </row>
    <row r="37" spans="2:15" x14ac:dyDescent="0.25">
      <c r="B37" s="285"/>
      <c r="C37" s="276" t="s">
        <v>5</v>
      </c>
      <c r="D37" s="318"/>
      <c r="E37" s="292"/>
      <c r="F37" s="363" t="s">
        <v>1106</v>
      </c>
      <c r="G37" s="318"/>
      <c r="H37" s="318"/>
      <c r="I37" s="318"/>
      <c r="J37" s="318"/>
      <c r="K37" s="318"/>
      <c r="L37" s="318"/>
      <c r="M37" s="292"/>
      <c r="O37" s="284"/>
    </row>
    <row r="38" spans="2:15" x14ac:dyDescent="0.25">
      <c r="B38" s="285"/>
      <c r="C38" s="276" t="s">
        <v>6</v>
      </c>
      <c r="D38" s="318"/>
      <c r="E38" s="292"/>
      <c r="F38" s="363" t="s">
        <v>1105</v>
      </c>
      <c r="G38" s="318"/>
      <c r="H38" s="318"/>
      <c r="I38" s="318"/>
      <c r="J38" s="318"/>
      <c r="K38" s="318"/>
      <c r="L38" s="318"/>
      <c r="M38" s="292"/>
      <c r="O38" s="284"/>
    </row>
    <row r="39" spans="2:15" x14ac:dyDescent="0.25">
      <c r="B39" s="285"/>
      <c r="C39" s="363" t="s">
        <v>7</v>
      </c>
      <c r="D39" s="318"/>
      <c r="E39" s="292"/>
      <c r="F39" s="363" t="s">
        <v>8</v>
      </c>
      <c r="G39" s="318"/>
      <c r="H39" s="318"/>
      <c r="I39" s="318"/>
      <c r="J39" s="318"/>
      <c r="K39" s="318"/>
      <c r="L39" s="318"/>
      <c r="M39" s="292"/>
      <c r="O39" s="284"/>
    </row>
    <row r="40" spans="2:15" x14ac:dyDescent="0.25">
      <c r="B40" s="285"/>
      <c r="C40" s="276" t="s">
        <v>9</v>
      </c>
      <c r="D40" s="318"/>
      <c r="E40" s="292"/>
      <c r="F40" s="1323" t="s">
        <v>1293</v>
      </c>
      <c r="G40" s="318"/>
      <c r="H40" s="318"/>
      <c r="I40" s="318"/>
      <c r="J40" s="318"/>
      <c r="K40" s="318"/>
      <c r="L40" s="318"/>
      <c r="M40" s="292"/>
      <c r="O40" s="284"/>
    </row>
    <row r="41" spans="2:15" x14ac:dyDescent="0.25">
      <c r="B41" s="285"/>
      <c r="C41" s="276" t="s">
        <v>10</v>
      </c>
      <c r="D41" s="318"/>
      <c r="E41" s="292"/>
      <c r="F41" s="363" t="s">
        <v>11</v>
      </c>
      <c r="G41" s="318"/>
      <c r="H41" s="318"/>
      <c r="I41" s="318"/>
      <c r="J41" s="318"/>
      <c r="K41" s="318"/>
      <c r="L41" s="318"/>
      <c r="M41" s="292"/>
      <c r="O41" s="284"/>
    </row>
    <row r="42" spans="2:15" x14ac:dyDescent="0.25">
      <c r="B42" s="286"/>
      <c r="C42" s="287"/>
      <c r="D42" s="287"/>
      <c r="E42" s="287"/>
      <c r="F42" s="287"/>
      <c r="G42" s="287"/>
      <c r="H42" s="287"/>
      <c r="I42" s="287"/>
      <c r="J42" s="287"/>
      <c r="K42" s="287"/>
      <c r="L42" s="287"/>
      <c r="M42" s="287"/>
      <c r="N42" s="287"/>
      <c r="O42" s="288"/>
    </row>
  </sheetData>
  <sheetProtection algorithmName="SHA-512" hashValue="jnjYgNN7Ht+iYcokdT6F/Sri5vxmscKIOCdgS0AVtd7rhSfKFsQWHy/APggHUeJ2DTFtbQCwSIi70U9kFTfkMQ==" saltValue="s8h6jhCg6Ea8wdzP5eZ7iQ=="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3"/>
  </sheetPr>
  <dimension ref="A1:HU111"/>
  <sheetViews>
    <sheetView zoomScale="80" zoomScaleNormal="80" workbookViewId="0"/>
  </sheetViews>
  <sheetFormatPr defaultColWidth="8.7109375" defaultRowHeight="15" x14ac:dyDescent="0.25"/>
  <cols>
    <col min="1" max="1" width="13.7109375" customWidth="1"/>
    <col min="3" max="4" width="11.85546875" customWidth="1"/>
    <col min="5" max="5" width="10.42578125" style="685" customWidth="1"/>
    <col min="6" max="7" width="11.85546875" customWidth="1"/>
    <col min="8" max="8" width="11.85546875" hidden="1" customWidth="1"/>
    <col min="9" max="9" width="8.85546875" hidden="1" customWidth="1"/>
    <col min="10" max="10" width="9.42578125" hidden="1" customWidth="1"/>
    <col min="11" max="11" width="10.42578125" hidden="1" customWidth="1"/>
    <col min="12" max="12" width="10.5703125" hidden="1" customWidth="1"/>
    <col min="13" max="13" width="11.42578125" hidden="1" customWidth="1"/>
    <col min="14" max="14" width="11.85546875" hidden="1" customWidth="1"/>
    <col min="15" max="15" width="11.85546875" customWidth="1"/>
    <col min="16" max="16" width="24.42578125" bestFit="1" customWidth="1"/>
    <col min="17" max="17" width="31.7109375" bestFit="1" customWidth="1"/>
    <col min="18" max="18" width="15.140625" style="686" bestFit="1" customWidth="1"/>
    <col min="19" max="20" width="9" hidden="1" customWidth="1"/>
    <col min="21" max="22" width="9" customWidth="1"/>
    <col min="23" max="23" width="17.85546875" customWidth="1"/>
    <col min="24" max="24" width="12.5703125" customWidth="1"/>
    <col min="25" max="25" width="23.140625" customWidth="1"/>
    <col min="26" max="27" width="5.42578125" customWidth="1"/>
    <col min="28" max="28" width="13.28515625" customWidth="1"/>
    <col min="29" max="29" width="14.28515625" customWidth="1"/>
    <col min="30" max="30" width="10.42578125" customWidth="1"/>
  </cols>
  <sheetData>
    <row r="1" spans="1:26" ht="29.1" customHeight="1" x14ac:dyDescent="0.25">
      <c r="X1" s="692"/>
      <c r="Y1" s="692"/>
      <c r="Z1" s="692"/>
    </row>
    <row r="2" spans="1:26" x14ac:dyDescent="0.25">
      <c r="X2" s="692"/>
      <c r="Y2" s="692"/>
      <c r="Z2" s="692"/>
    </row>
    <row r="3" spans="1:26" ht="15.75" thickBot="1" x14ac:dyDescent="0.3">
      <c r="B3" s="1330" t="s">
        <v>828</v>
      </c>
      <c r="C3" s="1331"/>
      <c r="D3" s="1331"/>
      <c r="E3" s="1331"/>
      <c r="F3" s="1331"/>
      <c r="G3" s="1332"/>
      <c r="H3" s="1333" t="s">
        <v>358</v>
      </c>
      <c r="I3" s="1334"/>
      <c r="J3" s="1334"/>
      <c r="K3" s="1334"/>
      <c r="L3" s="1334"/>
      <c r="M3" s="1334"/>
      <c r="N3" s="1335"/>
      <c r="O3" s="687"/>
      <c r="P3" s="687"/>
      <c r="X3" s="692"/>
      <c r="Y3" s="692"/>
      <c r="Z3" s="692"/>
    </row>
    <row r="4" spans="1:26" ht="57" customHeight="1" x14ac:dyDescent="0.25">
      <c r="A4" s="715" t="s">
        <v>829</v>
      </c>
      <c r="B4" s="723" t="s">
        <v>830</v>
      </c>
      <c r="C4" s="724" t="s">
        <v>831</v>
      </c>
      <c r="D4" s="724" t="s">
        <v>832</v>
      </c>
      <c r="E4" s="725" t="s">
        <v>833</v>
      </c>
      <c r="F4" s="724" t="s">
        <v>834</v>
      </c>
      <c r="G4" s="726" t="s">
        <v>835</v>
      </c>
      <c r="H4" s="718" t="s">
        <v>831</v>
      </c>
      <c r="I4" s="719" t="s">
        <v>836</v>
      </c>
      <c r="J4" s="719" t="s">
        <v>358</v>
      </c>
      <c r="K4" s="719" t="s">
        <v>832</v>
      </c>
      <c r="L4" s="719" t="s">
        <v>833</v>
      </c>
      <c r="M4" s="719" t="s">
        <v>834</v>
      </c>
      <c r="N4" s="720" t="s">
        <v>835</v>
      </c>
      <c r="O4" s="688"/>
      <c r="P4" s="700" t="s">
        <v>829</v>
      </c>
      <c r="Q4" s="702" t="s">
        <v>1288</v>
      </c>
      <c r="R4" s="700" t="s">
        <v>835</v>
      </c>
      <c r="S4" s="701" t="s">
        <v>837</v>
      </c>
      <c r="T4" s="701" t="s">
        <v>838</v>
      </c>
      <c r="U4" s="701" t="s">
        <v>839</v>
      </c>
      <c r="V4" s="703" t="s">
        <v>840</v>
      </c>
      <c r="X4" s="692"/>
      <c r="Y4" s="692"/>
      <c r="Z4" s="692"/>
    </row>
    <row r="5" spans="1:26" x14ac:dyDescent="0.25">
      <c r="A5" s="716">
        <v>2</v>
      </c>
      <c r="B5" s="704" t="s">
        <v>841</v>
      </c>
      <c r="C5" s="689">
        <v>22383.9</v>
      </c>
      <c r="D5" s="689">
        <f t="shared" ref="D5:D36" si="0">(C5-$B$109)*0.138</f>
        <v>3088.9782000000005</v>
      </c>
      <c r="E5" s="705">
        <f t="shared" ref="E5:E68" si="1">C5*0.005</f>
        <v>111.91950000000001</v>
      </c>
      <c r="F5" s="689">
        <f t="shared" ref="F5:F68" si="2">C5*0.2068</f>
        <v>4628.9905200000003</v>
      </c>
      <c r="G5" s="706">
        <f t="shared" ref="G5:G68" si="3">SUM(C5:F5)</f>
        <v>30213.788220000002</v>
      </c>
      <c r="H5" s="721">
        <f t="shared" ref="H5:H68" si="4">C5</f>
        <v>22383.9</v>
      </c>
      <c r="I5" s="722">
        <v>5132.4000000000005</v>
      </c>
      <c r="J5" s="722">
        <f t="shared" ref="J5:J68" si="5">C5+I5</f>
        <v>27516.300000000003</v>
      </c>
      <c r="K5" s="722">
        <f>(J5-$B$109)*0.138</f>
        <v>3797.2494000000006</v>
      </c>
      <c r="L5" s="722">
        <f t="shared" ref="L5:L68" si="6">J5*0.005</f>
        <v>137.58150000000001</v>
      </c>
      <c r="M5" s="722">
        <f t="shared" ref="M5:M68" si="7">J5*0.2068</f>
        <v>5690.3708400000005</v>
      </c>
      <c r="N5" s="722">
        <f t="shared" ref="N5:N68" si="8">SUM(J5:M5)</f>
        <v>37141.501740000007</v>
      </c>
      <c r="O5" s="690"/>
      <c r="P5" s="689" t="s">
        <v>845</v>
      </c>
      <c r="Q5" s="276" t="s">
        <v>846</v>
      </c>
      <c r="R5" s="1176">
        <v>29541.911700000001</v>
      </c>
      <c r="S5" s="1210">
        <v>0.35</v>
      </c>
      <c r="T5" s="1210">
        <v>0.69</v>
      </c>
      <c r="U5" s="1211">
        <v>1560</v>
      </c>
      <c r="V5" s="1177">
        <f t="shared" ref="V5:V38" si="9">ROUND(R5/U5,2)</f>
        <v>18.940000000000001</v>
      </c>
    </row>
    <row r="6" spans="1:26" x14ac:dyDescent="0.25">
      <c r="A6" s="716">
        <v>2</v>
      </c>
      <c r="B6" s="704" t="s">
        <v>842</v>
      </c>
      <c r="C6" s="689">
        <v>22383.9</v>
      </c>
      <c r="D6" s="689">
        <f t="shared" si="0"/>
        <v>3088.9782000000005</v>
      </c>
      <c r="E6" s="705">
        <f t="shared" si="1"/>
        <v>111.91950000000001</v>
      </c>
      <c r="F6" s="689">
        <f t="shared" si="2"/>
        <v>4628.9905200000003</v>
      </c>
      <c r="G6" s="706">
        <f t="shared" si="3"/>
        <v>30213.788220000002</v>
      </c>
      <c r="H6" s="721">
        <f t="shared" si="4"/>
        <v>22383.9</v>
      </c>
      <c r="I6" s="722">
        <v>5132.4000000000005</v>
      </c>
      <c r="J6" s="722">
        <f t="shared" si="5"/>
        <v>27516.300000000003</v>
      </c>
      <c r="K6" s="722">
        <f t="shared" ref="K6:K69" si="10">(J6-$B$109)*0.138</f>
        <v>3797.2494000000006</v>
      </c>
      <c r="L6" s="722">
        <f t="shared" si="6"/>
        <v>137.58150000000001</v>
      </c>
      <c r="M6" s="722">
        <f t="shared" si="7"/>
        <v>5690.3708400000005</v>
      </c>
      <c r="N6" s="722">
        <f>SUM(J6:M6)</f>
        <v>37141.501740000007</v>
      </c>
      <c r="O6" s="690"/>
      <c r="P6" s="689" t="s">
        <v>845</v>
      </c>
      <c r="Q6" s="276" t="s">
        <v>848</v>
      </c>
      <c r="R6" s="1176">
        <v>31592.730330000006</v>
      </c>
      <c r="S6" s="1210">
        <v>0.35</v>
      </c>
      <c r="T6" s="1210">
        <v>0.69</v>
      </c>
      <c r="U6" s="1211">
        <v>1560</v>
      </c>
      <c r="V6" s="1177">
        <f t="shared" si="9"/>
        <v>20.25</v>
      </c>
    </row>
    <row r="7" spans="1:26" x14ac:dyDescent="0.25">
      <c r="A7" s="716">
        <v>2</v>
      </c>
      <c r="B7" s="704" t="s">
        <v>843</v>
      </c>
      <c r="C7" s="689">
        <v>22383.9</v>
      </c>
      <c r="D7" s="689">
        <f t="shared" si="0"/>
        <v>3088.9782000000005</v>
      </c>
      <c r="E7" s="705">
        <f t="shared" si="1"/>
        <v>111.91950000000001</v>
      </c>
      <c r="F7" s="689">
        <f t="shared" si="2"/>
        <v>4628.9905200000003</v>
      </c>
      <c r="G7" s="706">
        <f t="shared" si="3"/>
        <v>30213.788220000002</v>
      </c>
      <c r="H7" s="721">
        <f t="shared" si="4"/>
        <v>22383.9</v>
      </c>
      <c r="I7" s="722">
        <v>5132.4000000000005</v>
      </c>
      <c r="J7" s="722">
        <f t="shared" si="5"/>
        <v>27516.300000000003</v>
      </c>
      <c r="K7" s="722">
        <f t="shared" si="10"/>
        <v>3797.2494000000006</v>
      </c>
      <c r="L7" s="722">
        <f t="shared" si="6"/>
        <v>137.58150000000001</v>
      </c>
      <c r="M7" s="722">
        <f t="shared" si="7"/>
        <v>5690.3708400000005</v>
      </c>
      <c r="N7" s="722">
        <f t="shared" si="8"/>
        <v>37141.501740000007</v>
      </c>
      <c r="O7" s="690"/>
      <c r="P7" s="689" t="s">
        <v>845</v>
      </c>
      <c r="Q7" s="276" t="s">
        <v>850</v>
      </c>
      <c r="R7" s="1176">
        <v>31592.730330000006</v>
      </c>
      <c r="S7" s="1210">
        <v>0.35</v>
      </c>
      <c r="T7" s="1210">
        <v>0.69</v>
      </c>
      <c r="U7" s="1211">
        <v>1560</v>
      </c>
      <c r="V7" s="1177">
        <f t="shared" si="9"/>
        <v>20.25</v>
      </c>
    </row>
    <row r="8" spans="1:26" x14ac:dyDescent="0.25">
      <c r="A8" s="716">
        <v>2</v>
      </c>
      <c r="B8" s="704" t="s">
        <v>844</v>
      </c>
      <c r="C8" s="689">
        <v>22383.9</v>
      </c>
      <c r="D8" s="689">
        <f t="shared" si="0"/>
        <v>3088.9782000000005</v>
      </c>
      <c r="E8" s="705">
        <f t="shared" si="1"/>
        <v>111.91950000000001</v>
      </c>
      <c r="F8" s="689">
        <f t="shared" si="2"/>
        <v>4628.9905200000003</v>
      </c>
      <c r="G8" s="706">
        <f t="shared" si="3"/>
        <v>30213.788220000002</v>
      </c>
      <c r="H8" s="721">
        <f t="shared" si="4"/>
        <v>22383.9</v>
      </c>
      <c r="I8" s="722">
        <v>5132.4000000000005</v>
      </c>
      <c r="J8" s="722">
        <f t="shared" si="5"/>
        <v>27516.300000000003</v>
      </c>
      <c r="K8" s="722">
        <f t="shared" si="10"/>
        <v>3797.2494000000006</v>
      </c>
      <c r="L8" s="722">
        <f t="shared" si="6"/>
        <v>137.58150000000001</v>
      </c>
      <c r="M8" s="722">
        <f t="shared" si="7"/>
        <v>5690.3708400000005</v>
      </c>
      <c r="N8" s="722">
        <f t="shared" si="8"/>
        <v>37141.501740000007</v>
      </c>
      <c r="O8" s="690"/>
      <c r="P8" s="689" t="s">
        <v>852</v>
      </c>
      <c r="Q8" s="276" t="s">
        <v>853</v>
      </c>
      <c r="R8" s="1176">
        <v>32686.878210000003</v>
      </c>
      <c r="S8" s="1210">
        <v>0.3</v>
      </c>
      <c r="T8" s="1210">
        <v>0.6</v>
      </c>
      <c r="U8" s="1211">
        <v>1560</v>
      </c>
      <c r="V8" s="1177">
        <f t="shared" si="9"/>
        <v>20.95</v>
      </c>
    </row>
    <row r="9" spans="1:26" x14ac:dyDescent="0.25">
      <c r="A9" s="716">
        <v>2</v>
      </c>
      <c r="B9" s="704" t="s">
        <v>847</v>
      </c>
      <c r="C9" s="689">
        <v>22383.9</v>
      </c>
      <c r="D9" s="689">
        <f t="shared" si="0"/>
        <v>3088.9782000000005</v>
      </c>
      <c r="E9" s="705">
        <f t="shared" si="1"/>
        <v>111.91950000000001</v>
      </c>
      <c r="F9" s="689">
        <f t="shared" si="2"/>
        <v>4628.9905200000003</v>
      </c>
      <c r="G9" s="706">
        <f t="shared" si="3"/>
        <v>30213.788220000002</v>
      </c>
      <c r="H9" s="721">
        <f t="shared" si="4"/>
        <v>22383.9</v>
      </c>
      <c r="I9" s="722">
        <v>5132.4000000000005</v>
      </c>
      <c r="J9" s="722">
        <f t="shared" si="5"/>
        <v>27516.300000000003</v>
      </c>
      <c r="K9" s="722">
        <f t="shared" si="10"/>
        <v>3797.2494000000006</v>
      </c>
      <c r="L9" s="722">
        <f t="shared" si="6"/>
        <v>137.58150000000001</v>
      </c>
      <c r="M9" s="722">
        <f t="shared" si="7"/>
        <v>5690.3708400000005</v>
      </c>
      <c r="N9" s="722">
        <f t="shared" si="8"/>
        <v>37141.501740000007</v>
      </c>
      <c r="O9" s="690"/>
      <c r="P9" s="689" t="s">
        <v>852</v>
      </c>
      <c r="Q9" s="276" t="s">
        <v>855</v>
      </c>
      <c r="R9" s="1176">
        <v>35993.415780000003</v>
      </c>
      <c r="S9" s="1210">
        <v>0.3</v>
      </c>
      <c r="T9" s="1210">
        <v>0.6</v>
      </c>
      <c r="U9" s="1211">
        <v>1560</v>
      </c>
      <c r="V9" s="1177">
        <f t="shared" si="9"/>
        <v>23.07</v>
      </c>
    </row>
    <row r="10" spans="1:26" x14ac:dyDescent="0.25">
      <c r="A10" s="716">
        <v>2</v>
      </c>
      <c r="B10" s="704" t="s">
        <v>849</v>
      </c>
      <c r="C10" s="689">
        <v>22383.9</v>
      </c>
      <c r="D10" s="689">
        <f t="shared" si="0"/>
        <v>3088.9782000000005</v>
      </c>
      <c r="E10" s="705">
        <f t="shared" si="1"/>
        <v>111.91950000000001</v>
      </c>
      <c r="F10" s="689">
        <f t="shared" si="2"/>
        <v>4628.9905200000003</v>
      </c>
      <c r="G10" s="706">
        <f t="shared" si="3"/>
        <v>30213.788220000002</v>
      </c>
      <c r="H10" s="721">
        <f t="shared" si="4"/>
        <v>22383.9</v>
      </c>
      <c r="I10" s="722">
        <v>5132.4000000000005</v>
      </c>
      <c r="J10" s="722">
        <f t="shared" si="5"/>
        <v>27516.300000000003</v>
      </c>
      <c r="K10" s="722">
        <f t="shared" si="10"/>
        <v>3797.2494000000006</v>
      </c>
      <c r="L10" s="722">
        <f t="shared" si="6"/>
        <v>137.58150000000001</v>
      </c>
      <c r="M10" s="722">
        <f t="shared" si="7"/>
        <v>5690.3708400000005</v>
      </c>
      <c r="N10" s="722">
        <f t="shared" si="8"/>
        <v>37141.501740000007</v>
      </c>
      <c r="O10" s="690"/>
      <c r="P10" s="689" t="s">
        <v>852</v>
      </c>
      <c r="Q10" s="276" t="s">
        <v>857</v>
      </c>
      <c r="R10" s="1176">
        <v>35993.415780000003</v>
      </c>
      <c r="S10" s="1210">
        <v>0.3</v>
      </c>
      <c r="T10" s="1210">
        <v>0.6</v>
      </c>
      <c r="U10" s="1211">
        <v>1560</v>
      </c>
      <c r="V10" s="1177">
        <f t="shared" si="9"/>
        <v>23.07</v>
      </c>
    </row>
    <row r="11" spans="1:26" x14ac:dyDescent="0.25">
      <c r="A11" s="716">
        <v>2</v>
      </c>
      <c r="B11" s="704" t="s">
        <v>851</v>
      </c>
      <c r="C11" s="689">
        <v>22383.9</v>
      </c>
      <c r="D11" s="689">
        <f t="shared" si="0"/>
        <v>3088.9782000000005</v>
      </c>
      <c r="E11" s="705">
        <f t="shared" si="1"/>
        <v>111.91950000000001</v>
      </c>
      <c r="F11" s="689">
        <f t="shared" si="2"/>
        <v>4628.9905200000003</v>
      </c>
      <c r="G11" s="706">
        <f t="shared" si="3"/>
        <v>30213.788220000002</v>
      </c>
      <c r="H11" s="721">
        <f t="shared" si="4"/>
        <v>22383.9</v>
      </c>
      <c r="I11" s="722">
        <v>5132.4000000000005</v>
      </c>
      <c r="J11" s="722">
        <f t="shared" si="5"/>
        <v>27516.300000000003</v>
      </c>
      <c r="K11" s="722">
        <f t="shared" si="10"/>
        <v>3797.2494000000006</v>
      </c>
      <c r="L11" s="722">
        <f t="shared" si="6"/>
        <v>137.58150000000001</v>
      </c>
      <c r="M11" s="722">
        <f t="shared" si="7"/>
        <v>5690.3708400000005</v>
      </c>
      <c r="N11" s="722">
        <f t="shared" si="8"/>
        <v>37141.501740000007</v>
      </c>
      <c r="O11" s="690"/>
      <c r="P11" s="689" t="s">
        <v>859</v>
      </c>
      <c r="Q11" s="276" t="s">
        <v>860</v>
      </c>
      <c r="R11" s="1176">
        <v>37088.980949999997</v>
      </c>
      <c r="S11" s="1210">
        <v>0.3</v>
      </c>
      <c r="T11" s="1210">
        <v>0.6</v>
      </c>
      <c r="U11" s="1211">
        <v>1560</v>
      </c>
      <c r="V11" s="1177">
        <f t="shared" si="9"/>
        <v>23.77</v>
      </c>
    </row>
    <row r="12" spans="1:26" x14ac:dyDescent="0.25">
      <c r="A12" s="716">
        <v>3</v>
      </c>
      <c r="B12" s="704" t="s">
        <v>854</v>
      </c>
      <c r="C12" s="689">
        <v>22816.5</v>
      </c>
      <c r="D12" s="689">
        <f t="shared" si="0"/>
        <v>3148.6770000000001</v>
      </c>
      <c r="E12" s="705">
        <f t="shared" si="1"/>
        <v>114.0825</v>
      </c>
      <c r="F12" s="689">
        <f t="shared" si="2"/>
        <v>4718.4522000000006</v>
      </c>
      <c r="G12" s="706">
        <f t="shared" si="3"/>
        <v>30797.7117</v>
      </c>
      <c r="H12" s="721">
        <f t="shared" si="4"/>
        <v>22816.5</v>
      </c>
      <c r="I12" s="722">
        <v>5132.4000000000005</v>
      </c>
      <c r="J12" s="722">
        <f t="shared" si="5"/>
        <v>27948.9</v>
      </c>
      <c r="K12" s="722">
        <f t="shared" si="10"/>
        <v>3856.9482000000007</v>
      </c>
      <c r="L12" s="722">
        <f t="shared" si="6"/>
        <v>139.74450000000002</v>
      </c>
      <c r="M12" s="722">
        <f t="shared" si="7"/>
        <v>5779.8325200000008</v>
      </c>
      <c r="N12" s="722">
        <f t="shared" si="8"/>
        <v>37725.425220000005</v>
      </c>
      <c r="O12" s="690"/>
      <c r="P12" s="689" t="s">
        <v>859</v>
      </c>
      <c r="Q12" s="276" t="s">
        <v>82</v>
      </c>
      <c r="R12" s="1176">
        <v>40100.722199999997</v>
      </c>
      <c r="S12" s="1210">
        <v>0.3</v>
      </c>
      <c r="T12" s="1210">
        <v>0.6</v>
      </c>
      <c r="U12" s="1211">
        <v>1560</v>
      </c>
      <c r="V12" s="1177">
        <f t="shared" si="9"/>
        <v>25.71</v>
      </c>
    </row>
    <row r="13" spans="1:26" x14ac:dyDescent="0.25">
      <c r="A13" s="716">
        <v>3</v>
      </c>
      <c r="B13" s="704" t="s">
        <v>856</v>
      </c>
      <c r="C13" s="689">
        <v>22816.5</v>
      </c>
      <c r="D13" s="689">
        <f t="shared" si="0"/>
        <v>3148.6770000000001</v>
      </c>
      <c r="E13" s="705">
        <f t="shared" si="1"/>
        <v>114.0825</v>
      </c>
      <c r="F13" s="689">
        <f t="shared" si="2"/>
        <v>4718.4522000000006</v>
      </c>
      <c r="G13" s="706">
        <f t="shared" si="3"/>
        <v>30797.7117</v>
      </c>
      <c r="H13" s="721">
        <f t="shared" si="4"/>
        <v>22816.5</v>
      </c>
      <c r="I13" s="722">
        <v>5132.4000000000005</v>
      </c>
      <c r="J13" s="722">
        <f t="shared" si="5"/>
        <v>27948.9</v>
      </c>
      <c r="K13" s="722">
        <f t="shared" si="10"/>
        <v>3856.9482000000007</v>
      </c>
      <c r="L13" s="722">
        <f t="shared" si="6"/>
        <v>139.74450000000002</v>
      </c>
      <c r="M13" s="722">
        <f t="shared" si="7"/>
        <v>5779.8325200000008</v>
      </c>
      <c r="N13" s="722">
        <f t="shared" si="8"/>
        <v>37725.425220000005</v>
      </c>
      <c r="O13" s="690"/>
      <c r="P13" s="689" t="s">
        <v>859</v>
      </c>
      <c r="Q13" s="276" t="s">
        <v>863</v>
      </c>
      <c r="R13" s="1176">
        <v>45421.22886000001</v>
      </c>
      <c r="S13" s="1210">
        <v>0.3</v>
      </c>
      <c r="T13" s="1210">
        <v>0.6</v>
      </c>
      <c r="U13" s="1211">
        <v>1560</v>
      </c>
      <c r="V13" s="1177">
        <f t="shared" si="9"/>
        <v>29.12</v>
      </c>
    </row>
    <row r="14" spans="1:26" x14ac:dyDescent="0.25">
      <c r="A14" s="716">
        <v>3</v>
      </c>
      <c r="B14" s="704" t="s">
        <v>858</v>
      </c>
      <c r="C14" s="689">
        <v>24335.850000000002</v>
      </c>
      <c r="D14" s="689">
        <f t="shared" si="0"/>
        <v>3358.3473000000004</v>
      </c>
      <c r="E14" s="705">
        <f t="shared" si="1"/>
        <v>121.67925000000001</v>
      </c>
      <c r="F14" s="689">
        <f t="shared" si="2"/>
        <v>5032.6537800000006</v>
      </c>
      <c r="G14" s="706">
        <f t="shared" si="3"/>
        <v>32848.530330000009</v>
      </c>
      <c r="H14" s="721">
        <f t="shared" si="4"/>
        <v>24335.850000000002</v>
      </c>
      <c r="I14" s="722">
        <v>5132.4000000000005</v>
      </c>
      <c r="J14" s="722">
        <f t="shared" si="5"/>
        <v>29468.250000000004</v>
      </c>
      <c r="K14" s="722">
        <f t="shared" si="10"/>
        <v>4066.6185000000009</v>
      </c>
      <c r="L14" s="722">
        <f t="shared" si="6"/>
        <v>147.34125000000003</v>
      </c>
      <c r="M14" s="722">
        <f t="shared" si="7"/>
        <v>6094.0341000000008</v>
      </c>
      <c r="N14" s="722">
        <f t="shared" si="8"/>
        <v>39776.243849999999</v>
      </c>
      <c r="O14" s="690"/>
      <c r="P14" s="689" t="s">
        <v>865</v>
      </c>
      <c r="Q14" s="276" t="s">
        <v>866</v>
      </c>
      <c r="R14" s="1176">
        <v>46515.37674</v>
      </c>
      <c r="S14" s="1210">
        <v>0.3</v>
      </c>
      <c r="T14" s="1210">
        <v>0.6</v>
      </c>
      <c r="U14" s="1211">
        <v>1560</v>
      </c>
      <c r="V14" s="1177">
        <f t="shared" si="9"/>
        <v>29.82</v>
      </c>
    </row>
    <row r="15" spans="1:26" x14ac:dyDescent="0.25">
      <c r="A15" s="716">
        <v>3</v>
      </c>
      <c r="B15" s="704" t="s">
        <v>861</v>
      </c>
      <c r="C15" s="689">
        <v>24335.850000000002</v>
      </c>
      <c r="D15" s="689">
        <f t="shared" si="0"/>
        <v>3358.3473000000004</v>
      </c>
      <c r="E15" s="705">
        <f t="shared" si="1"/>
        <v>121.67925000000001</v>
      </c>
      <c r="F15" s="689">
        <f t="shared" si="2"/>
        <v>5032.6537800000006</v>
      </c>
      <c r="G15" s="706">
        <f t="shared" si="3"/>
        <v>32848.530330000009</v>
      </c>
      <c r="H15" s="721">
        <f t="shared" si="4"/>
        <v>24335.850000000002</v>
      </c>
      <c r="I15" s="722">
        <v>5132.4000000000005</v>
      </c>
      <c r="J15" s="722">
        <f t="shared" si="5"/>
        <v>29468.250000000004</v>
      </c>
      <c r="K15" s="722">
        <f t="shared" si="10"/>
        <v>4066.6185000000009</v>
      </c>
      <c r="L15" s="722">
        <f t="shared" si="6"/>
        <v>147.34125000000003</v>
      </c>
      <c r="M15" s="722">
        <f t="shared" si="7"/>
        <v>6094.0341000000008</v>
      </c>
      <c r="N15" s="722">
        <f t="shared" si="8"/>
        <v>39776.243849999999</v>
      </c>
      <c r="O15" s="690"/>
      <c r="P15" s="689" t="s">
        <v>865</v>
      </c>
      <c r="Q15" s="276" t="s">
        <v>90</v>
      </c>
      <c r="R15" s="1176">
        <v>49160.039879999989</v>
      </c>
      <c r="S15" s="1210">
        <v>0.3</v>
      </c>
      <c r="T15" s="1210">
        <v>0.6</v>
      </c>
      <c r="U15" s="1211">
        <v>1560</v>
      </c>
      <c r="V15" s="1177">
        <f t="shared" si="9"/>
        <v>31.51</v>
      </c>
    </row>
    <row r="16" spans="1:26" x14ac:dyDescent="0.25">
      <c r="A16" s="716">
        <v>3</v>
      </c>
      <c r="B16" s="704" t="s">
        <v>862</v>
      </c>
      <c r="C16" s="689">
        <v>24335.850000000002</v>
      </c>
      <c r="D16" s="689">
        <f t="shared" si="0"/>
        <v>3358.3473000000004</v>
      </c>
      <c r="E16" s="705">
        <f t="shared" si="1"/>
        <v>121.67925000000001</v>
      </c>
      <c r="F16" s="689">
        <f t="shared" si="2"/>
        <v>5032.6537800000006</v>
      </c>
      <c r="G16" s="706">
        <f t="shared" si="3"/>
        <v>32848.530330000009</v>
      </c>
      <c r="H16" s="721">
        <f t="shared" si="4"/>
        <v>24335.850000000002</v>
      </c>
      <c r="I16" s="722">
        <v>5132.4000000000005</v>
      </c>
      <c r="J16" s="722">
        <f t="shared" si="5"/>
        <v>29468.250000000004</v>
      </c>
      <c r="K16" s="722">
        <f t="shared" si="10"/>
        <v>4066.6185000000009</v>
      </c>
      <c r="L16" s="722">
        <f t="shared" si="6"/>
        <v>147.34125000000003</v>
      </c>
      <c r="M16" s="722">
        <f t="shared" si="7"/>
        <v>6094.0341000000008</v>
      </c>
      <c r="N16" s="722">
        <f t="shared" si="8"/>
        <v>39776.243849999999</v>
      </c>
      <c r="O16" s="690"/>
      <c r="P16" s="689" t="s">
        <v>865</v>
      </c>
      <c r="Q16" s="276" t="s">
        <v>869</v>
      </c>
      <c r="R16" s="1176">
        <v>56269.166519999999</v>
      </c>
      <c r="S16" s="1210">
        <v>0.3</v>
      </c>
      <c r="T16" s="1210">
        <v>0.6</v>
      </c>
      <c r="U16" s="1211">
        <v>1560</v>
      </c>
      <c r="V16" s="1177">
        <f t="shared" si="9"/>
        <v>36.07</v>
      </c>
    </row>
    <row r="17" spans="1:22" x14ac:dyDescent="0.25">
      <c r="A17" s="716">
        <v>3</v>
      </c>
      <c r="B17" s="704" t="s">
        <v>864</v>
      </c>
      <c r="C17" s="689">
        <v>24335.850000000002</v>
      </c>
      <c r="D17" s="689">
        <f t="shared" si="0"/>
        <v>3358.3473000000004</v>
      </c>
      <c r="E17" s="705">
        <f t="shared" si="1"/>
        <v>121.67925000000001</v>
      </c>
      <c r="F17" s="689">
        <f t="shared" si="2"/>
        <v>5032.6537800000006</v>
      </c>
      <c r="G17" s="706">
        <f t="shared" si="3"/>
        <v>32848.530330000009</v>
      </c>
      <c r="H17" s="721">
        <f t="shared" si="4"/>
        <v>24335.850000000002</v>
      </c>
      <c r="I17" s="722">
        <v>5132.4000000000005</v>
      </c>
      <c r="J17" s="722">
        <f t="shared" si="5"/>
        <v>29468.250000000004</v>
      </c>
      <c r="K17" s="722">
        <f t="shared" si="10"/>
        <v>4066.6185000000009</v>
      </c>
      <c r="L17" s="722">
        <f t="shared" si="6"/>
        <v>147.34125000000003</v>
      </c>
      <c r="M17" s="722">
        <f t="shared" si="7"/>
        <v>6094.0341000000008</v>
      </c>
      <c r="N17" s="722">
        <f t="shared" si="8"/>
        <v>39776.243849999999</v>
      </c>
      <c r="O17" s="690"/>
      <c r="P17" s="689" t="s">
        <v>871</v>
      </c>
      <c r="Q17" s="276" t="s">
        <v>872</v>
      </c>
      <c r="R17" s="1176">
        <v>57787.084110000011</v>
      </c>
      <c r="S17" s="1210">
        <v>0.3</v>
      </c>
      <c r="T17" s="1210">
        <v>0.6</v>
      </c>
      <c r="U17" s="1211">
        <v>1560</v>
      </c>
      <c r="V17" s="1177">
        <f t="shared" si="9"/>
        <v>37.04</v>
      </c>
    </row>
    <row r="18" spans="1:22" x14ac:dyDescent="0.25">
      <c r="A18" s="716">
        <v>3</v>
      </c>
      <c r="B18" s="704" t="s">
        <v>867</v>
      </c>
      <c r="C18" s="689">
        <v>24335.850000000002</v>
      </c>
      <c r="D18" s="689">
        <f t="shared" si="0"/>
        <v>3358.3473000000004</v>
      </c>
      <c r="E18" s="705">
        <f t="shared" si="1"/>
        <v>121.67925000000001</v>
      </c>
      <c r="F18" s="689">
        <f t="shared" si="2"/>
        <v>5032.6537800000006</v>
      </c>
      <c r="G18" s="706">
        <f t="shared" si="3"/>
        <v>32848.530330000009</v>
      </c>
      <c r="H18" s="721">
        <f t="shared" si="4"/>
        <v>24335.850000000002</v>
      </c>
      <c r="I18" s="722">
        <v>5132.4000000000005</v>
      </c>
      <c r="J18" s="722">
        <f t="shared" si="5"/>
        <v>29468.250000000004</v>
      </c>
      <c r="K18" s="722">
        <f t="shared" si="10"/>
        <v>4066.6185000000009</v>
      </c>
      <c r="L18" s="722">
        <f t="shared" si="6"/>
        <v>147.34125000000003</v>
      </c>
      <c r="M18" s="722">
        <f t="shared" si="7"/>
        <v>6094.0341000000008</v>
      </c>
      <c r="N18" s="722">
        <f t="shared" si="8"/>
        <v>39776.243849999999</v>
      </c>
      <c r="O18" s="690"/>
      <c r="P18" s="689" t="s">
        <v>871</v>
      </c>
      <c r="Q18" s="276" t="s">
        <v>81</v>
      </c>
      <c r="R18" s="1176">
        <v>60830.005740000008</v>
      </c>
      <c r="S18" s="1210">
        <v>0.3</v>
      </c>
      <c r="T18" s="1210">
        <v>0.6</v>
      </c>
      <c r="U18" s="1211">
        <v>1560</v>
      </c>
      <c r="V18" s="1177">
        <f t="shared" si="9"/>
        <v>38.99</v>
      </c>
    </row>
    <row r="19" spans="1:22" x14ac:dyDescent="0.25">
      <c r="A19" s="716">
        <v>4</v>
      </c>
      <c r="B19" s="704" t="s">
        <v>868</v>
      </c>
      <c r="C19" s="689">
        <v>25146.45</v>
      </c>
      <c r="D19" s="689">
        <f t="shared" si="0"/>
        <v>3470.2101000000002</v>
      </c>
      <c r="E19" s="705">
        <f t="shared" si="1"/>
        <v>125.73225000000001</v>
      </c>
      <c r="F19" s="689">
        <f t="shared" si="2"/>
        <v>5200.2858600000009</v>
      </c>
      <c r="G19" s="706">
        <f t="shared" si="3"/>
        <v>33942.678210000005</v>
      </c>
      <c r="H19" s="721">
        <f t="shared" si="4"/>
        <v>25146.45</v>
      </c>
      <c r="I19" s="722">
        <v>5132.4000000000005</v>
      </c>
      <c r="J19" s="722">
        <f t="shared" si="5"/>
        <v>30278.850000000002</v>
      </c>
      <c r="K19" s="722">
        <f t="shared" si="10"/>
        <v>4178.4813000000004</v>
      </c>
      <c r="L19" s="722">
        <f t="shared" si="6"/>
        <v>151.39425000000003</v>
      </c>
      <c r="M19" s="722">
        <f t="shared" si="7"/>
        <v>6261.6661800000011</v>
      </c>
      <c r="N19" s="722">
        <f t="shared" si="8"/>
        <v>40870.391730000003</v>
      </c>
      <c r="O19" s="690"/>
      <c r="P19" s="689" t="s">
        <v>871</v>
      </c>
      <c r="Q19" s="276" t="s">
        <v>875</v>
      </c>
      <c r="R19" s="1176">
        <v>66309.248879999999</v>
      </c>
      <c r="S19" s="1210">
        <v>0.3</v>
      </c>
      <c r="T19" s="1210">
        <v>0.6</v>
      </c>
      <c r="U19" s="1211">
        <v>1560</v>
      </c>
      <c r="V19" s="1177">
        <f t="shared" si="9"/>
        <v>42.51</v>
      </c>
    </row>
    <row r="20" spans="1:22" x14ac:dyDescent="0.25">
      <c r="A20" s="716">
        <v>4</v>
      </c>
      <c r="B20" s="704" t="s">
        <v>870</v>
      </c>
      <c r="C20" s="689">
        <v>25146.45</v>
      </c>
      <c r="D20" s="689">
        <f t="shared" si="0"/>
        <v>3470.2101000000002</v>
      </c>
      <c r="E20" s="705">
        <f t="shared" si="1"/>
        <v>125.73225000000001</v>
      </c>
      <c r="F20" s="689">
        <f t="shared" si="2"/>
        <v>5200.2858600000009</v>
      </c>
      <c r="G20" s="706">
        <f t="shared" si="3"/>
        <v>33942.678210000005</v>
      </c>
      <c r="H20" s="721">
        <f t="shared" si="4"/>
        <v>25146.45</v>
      </c>
      <c r="I20" s="722">
        <v>5132.4000000000005</v>
      </c>
      <c r="J20" s="722">
        <f t="shared" si="5"/>
        <v>30278.850000000002</v>
      </c>
      <c r="K20" s="722">
        <f t="shared" si="10"/>
        <v>4178.4813000000004</v>
      </c>
      <c r="L20" s="722">
        <f t="shared" si="6"/>
        <v>151.39425000000003</v>
      </c>
      <c r="M20" s="722">
        <f t="shared" si="7"/>
        <v>6261.6661800000011</v>
      </c>
      <c r="N20" s="722">
        <f t="shared" si="8"/>
        <v>40870.391730000003</v>
      </c>
      <c r="O20" s="690"/>
      <c r="P20" s="689" t="s">
        <v>877</v>
      </c>
      <c r="Q20" s="276" t="s">
        <v>878</v>
      </c>
      <c r="R20" s="1176">
        <v>67519.61454000001</v>
      </c>
      <c r="S20" s="1210">
        <v>0.3</v>
      </c>
      <c r="T20" s="1210">
        <v>0.6</v>
      </c>
      <c r="U20" s="1211">
        <v>1560</v>
      </c>
      <c r="V20" s="1177">
        <f t="shared" si="9"/>
        <v>43.28</v>
      </c>
    </row>
    <row r="21" spans="1:22" x14ac:dyDescent="0.25">
      <c r="A21" s="716">
        <v>4</v>
      </c>
      <c r="B21" s="704" t="s">
        <v>873</v>
      </c>
      <c r="C21" s="689">
        <v>25146.45</v>
      </c>
      <c r="D21" s="689">
        <f t="shared" si="0"/>
        <v>3470.2101000000002</v>
      </c>
      <c r="E21" s="705">
        <f t="shared" si="1"/>
        <v>125.73225000000001</v>
      </c>
      <c r="F21" s="689">
        <f t="shared" si="2"/>
        <v>5200.2858600000009</v>
      </c>
      <c r="G21" s="706">
        <f t="shared" si="3"/>
        <v>33942.678210000005</v>
      </c>
      <c r="H21" s="721">
        <f t="shared" si="4"/>
        <v>25146.45</v>
      </c>
      <c r="I21" s="722">
        <v>5132.4000000000005</v>
      </c>
      <c r="J21" s="722">
        <f t="shared" si="5"/>
        <v>30278.850000000002</v>
      </c>
      <c r="K21" s="722">
        <f t="shared" si="10"/>
        <v>4178.4813000000004</v>
      </c>
      <c r="L21" s="722">
        <f t="shared" si="6"/>
        <v>151.39425000000003</v>
      </c>
      <c r="M21" s="722">
        <f t="shared" si="7"/>
        <v>6261.6661800000011</v>
      </c>
      <c r="N21" s="722">
        <f t="shared" si="8"/>
        <v>40870.391730000003</v>
      </c>
      <c r="O21" s="690"/>
      <c r="P21" s="689" t="s">
        <v>877</v>
      </c>
      <c r="Q21" s="276" t="s">
        <v>83</v>
      </c>
      <c r="R21" s="1176">
        <v>67519.61454000001</v>
      </c>
      <c r="S21" s="1210">
        <v>0.3</v>
      </c>
      <c r="T21" s="1210">
        <v>0.6</v>
      </c>
      <c r="U21" s="1211">
        <v>1560</v>
      </c>
      <c r="V21" s="1177">
        <f t="shared" si="9"/>
        <v>43.28</v>
      </c>
    </row>
    <row r="22" spans="1:22" x14ac:dyDescent="0.25">
      <c r="A22" s="716">
        <v>4</v>
      </c>
      <c r="B22" s="704" t="s">
        <v>874</v>
      </c>
      <c r="C22" s="689">
        <v>27596.100000000002</v>
      </c>
      <c r="D22" s="689">
        <f t="shared" si="0"/>
        <v>3808.2618000000007</v>
      </c>
      <c r="E22" s="705">
        <f t="shared" si="1"/>
        <v>137.98050000000001</v>
      </c>
      <c r="F22" s="689">
        <f t="shared" si="2"/>
        <v>5706.8734800000011</v>
      </c>
      <c r="G22" s="706">
        <f t="shared" si="3"/>
        <v>37249.215780000006</v>
      </c>
      <c r="H22" s="721">
        <f t="shared" si="4"/>
        <v>27596.100000000002</v>
      </c>
      <c r="I22" s="722">
        <v>5519.2200000000012</v>
      </c>
      <c r="J22" s="722">
        <f t="shared" si="5"/>
        <v>33115.320000000007</v>
      </c>
      <c r="K22" s="722">
        <f t="shared" si="10"/>
        <v>4569.9141600000012</v>
      </c>
      <c r="L22" s="722">
        <f t="shared" si="6"/>
        <v>165.57660000000004</v>
      </c>
      <c r="M22" s="722">
        <f t="shared" si="7"/>
        <v>6848.2481760000019</v>
      </c>
      <c r="N22" s="722">
        <f t="shared" si="8"/>
        <v>44699.058936000009</v>
      </c>
      <c r="O22" s="690"/>
      <c r="P22" s="689" t="s">
        <v>877</v>
      </c>
      <c r="Q22" s="276" t="s">
        <v>881</v>
      </c>
      <c r="R22" s="1176">
        <v>76155.162510000009</v>
      </c>
      <c r="S22" s="1210">
        <v>0.3</v>
      </c>
      <c r="T22" s="1210">
        <v>0.6</v>
      </c>
      <c r="U22" s="1211">
        <v>1560</v>
      </c>
      <c r="V22" s="1177">
        <f t="shared" si="9"/>
        <v>48.82</v>
      </c>
    </row>
    <row r="23" spans="1:22" x14ac:dyDescent="0.25">
      <c r="A23" s="716">
        <v>4</v>
      </c>
      <c r="B23" s="704" t="s">
        <v>876</v>
      </c>
      <c r="C23" s="689">
        <v>27596.100000000002</v>
      </c>
      <c r="D23" s="689">
        <f t="shared" si="0"/>
        <v>3808.2618000000007</v>
      </c>
      <c r="E23" s="705">
        <f t="shared" si="1"/>
        <v>137.98050000000001</v>
      </c>
      <c r="F23" s="689">
        <f t="shared" si="2"/>
        <v>5706.8734800000011</v>
      </c>
      <c r="G23" s="706">
        <f t="shared" si="3"/>
        <v>37249.215780000006</v>
      </c>
      <c r="H23" s="721">
        <f t="shared" si="4"/>
        <v>27596.100000000002</v>
      </c>
      <c r="I23" s="722">
        <v>5519.2200000000012</v>
      </c>
      <c r="J23" s="722">
        <f t="shared" si="5"/>
        <v>33115.320000000007</v>
      </c>
      <c r="K23" s="722">
        <f t="shared" si="10"/>
        <v>4569.9141600000012</v>
      </c>
      <c r="L23" s="722">
        <f t="shared" si="6"/>
        <v>165.57660000000004</v>
      </c>
      <c r="M23" s="722">
        <f t="shared" si="7"/>
        <v>6848.2481760000019</v>
      </c>
      <c r="N23" s="722">
        <f t="shared" si="8"/>
        <v>44699.058936000009</v>
      </c>
      <c r="O23" s="690"/>
      <c r="P23" s="689" t="s">
        <v>883</v>
      </c>
      <c r="Q23" s="276" t="s">
        <v>884</v>
      </c>
      <c r="R23" s="1176">
        <v>78344.875560000015</v>
      </c>
      <c r="S23" s="1210">
        <v>0.3</v>
      </c>
      <c r="T23" s="1210">
        <v>0.6</v>
      </c>
      <c r="U23" s="1211">
        <v>1560</v>
      </c>
      <c r="V23" s="1177">
        <f t="shared" si="9"/>
        <v>50.22</v>
      </c>
    </row>
    <row r="24" spans="1:22" x14ac:dyDescent="0.25">
      <c r="A24" s="716">
        <v>4</v>
      </c>
      <c r="B24" s="704" t="s">
        <v>879</v>
      </c>
      <c r="C24" s="689">
        <v>27596.100000000002</v>
      </c>
      <c r="D24" s="689">
        <f t="shared" si="0"/>
        <v>3808.2618000000007</v>
      </c>
      <c r="E24" s="705">
        <f t="shared" si="1"/>
        <v>137.98050000000001</v>
      </c>
      <c r="F24" s="689">
        <f t="shared" si="2"/>
        <v>5706.8734800000011</v>
      </c>
      <c r="G24" s="706">
        <f t="shared" si="3"/>
        <v>37249.215780000006</v>
      </c>
      <c r="H24" s="721">
        <f t="shared" si="4"/>
        <v>27596.100000000002</v>
      </c>
      <c r="I24" s="722">
        <v>5519.2200000000012</v>
      </c>
      <c r="J24" s="722">
        <f t="shared" si="5"/>
        <v>33115.320000000007</v>
      </c>
      <c r="K24" s="722">
        <f t="shared" si="10"/>
        <v>4569.9141600000012</v>
      </c>
      <c r="L24" s="722">
        <f t="shared" si="6"/>
        <v>165.57660000000004</v>
      </c>
      <c r="M24" s="722">
        <f t="shared" si="7"/>
        <v>6848.2481760000019</v>
      </c>
      <c r="N24" s="722">
        <f t="shared" si="8"/>
        <v>44699.058936000009</v>
      </c>
      <c r="O24" s="690"/>
      <c r="P24" s="689" t="s">
        <v>883</v>
      </c>
      <c r="Q24" s="276" t="s">
        <v>886</v>
      </c>
      <c r="R24" s="1176">
        <v>78344.875560000015</v>
      </c>
      <c r="S24" s="1210">
        <v>0.3</v>
      </c>
      <c r="T24" s="1210">
        <v>0.6</v>
      </c>
      <c r="U24" s="1211">
        <v>1560</v>
      </c>
      <c r="V24" s="1177">
        <f t="shared" si="9"/>
        <v>50.22</v>
      </c>
    </row>
    <row r="25" spans="1:22" x14ac:dyDescent="0.25">
      <c r="A25" s="716">
        <v>4</v>
      </c>
      <c r="B25" s="704" t="s">
        <v>880</v>
      </c>
      <c r="C25" s="689">
        <v>27596.100000000002</v>
      </c>
      <c r="D25" s="689">
        <f t="shared" si="0"/>
        <v>3808.2618000000007</v>
      </c>
      <c r="E25" s="705">
        <f t="shared" si="1"/>
        <v>137.98050000000001</v>
      </c>
      <c r="F25" s="689">
        <f t="shared" si="2"/>
        <v>5706.8734800000011</v>
      </c>
      <c r="G25" s="706">
        <f t="shared" si="3"/>
        <v>37249.215780000006</v>
      </c>
      <c r="H25" s="721">
        <f t="shared" si="4"/>
        <v>27596.100000000002</v>
      </c>
      <c r="I25" s="722">
        <v>5519.2200000000012</v>
      </c>
      <c r="J25" s="722">
        <f t="shared" si="5"/>
        <v>33115.320000000007</v>
      </c>
      <c r="K25" s="722">
        <f t="shared" si="10"/>
        <v>4569.9141600000012</v>
      </c>
      <c r="L25" s="722">
        <f t="shared" si="6"/>
        <v>165.57660000000004</v>
      </c>
      <c r="M25" s="722">
        <f t="shared" si="7"/>
        <v>6848.2481760000019</v>
      </c>
      <c r="N25" s="722">
        <f t="shared" si="8"/>
        <v>44699.058936000009</v>
      </c>
      <c r="O25" s="690"/>
      <c r="P25" s="689" t="s">
        <v>883</v>
      </c>
      <c r="Q25" s="276" t="s">
        <v>888</v>
      </c>
      <c r="R25" s="1176">
        <v>91239.379980000012</v>
      </c>
      <c r="S25" s="1210">
        <v>0.3</v>
      </c>
      <c r="T25" s="1210">
        <v>0.6</v>
      </c>
      <c r="U25" s="1211">
        <v>1560</v>
      </c>
      <c r="V25" s="1177">
        <f t="shared" si="9"/>
        <v>58.49</v>
      </c>
    </row>
    <row r="26" spans="1:22" x14ac:dyDescent="0.25">
      <c r="A26" s="716">
        <v>5</v>
      </c>
      <c r="B26" s="704" t="s">
        <v>882</v>
      </c>
      <c r="C26" s="689">
        <v>28407.75</v>
      </c>
      <c r="D26" s="689">
        <f t="shared" si="0"/>
        <v>3920.2695000000003</v>
      </c>
      <c r="E26" s="705">
        <f t="shared" si="1"/>
        <v>142.03874999999999</v>
      </c>
      <c r="F26" s="689">
        <f t="shared" si="2"/>
        <v>5874.7227000000003</v>
      </c>
      <c r="G26" s="706">
        <f t="shared" si="3"/>
        <v>38344.78095</v>
      </c>
      <c r="H26" s="721">
        <f t="shared" si="4"/>
        <v>28407.75</v>
      </c>
      <c r="I26" s="722">
        <v>5681.55</v>
      </c>
      <c r="J26" s="722">
        <f t="shared" si="5"/>
        <v>34089.300000000003</v>
      </c>
      <c r="K26" s="722">
        <f t="shared" si="10"/>
        <v>4704.3234000000011</v>
      </c>
      <c r="L26" s="722">
        <f t="shared" si="6"/>
        <v>170.44650000000001</v>
      </c>
      <c r="M26" s="722">
        <f t="shared" si="7"/>
        <v>7049.6672400000007</v>
      </c>
      <c r="N26" s="722">
        <f t="shared" si="8"/>
        <v>46013.737140000005</v>
      </c>
      <c r="O26" s="690"/>
      <c r="P26" s="689" t="s">
        <v>890</v>
      </c>
      <c r="Q26" s="276" t="s">
        <v>891</v>
      </c>
      <c r="R26" s="1176">
        <v>93793.336559999996</v>
      </c>
      <c r="S26" s="1210">
        <v>0.3</v>
      </c>
      <c r="T26" s="1210">
        <v>0.6</v>
      </c>
      <c r="U26" s="1211">
        <v>1560</v>
      </c>
      <c r="V26" s="1177">
        <f t="shared" si="9"/>
        <v>60.12</v>
      </c>
    </row>
    <row r="27" spans="1:22" x14ac:dyDescent="0.25">
      <c r="A27" s="716">
        <v>5</v>
      </c>
      <c r="B27" s="704" t="s">
        <v>885</v>
      </c>
      <c r="C27" s="689">
        <v>28407.75</v>
      </c>
      <c r="D27" s="689">
        <f t="shared" si="0"/>
        <v>3920.2695000000003</v>
      </c>
      <c r="E27" s="705">
        <f t="shared" si="1"/>
        <v>142.03874999999999</v>
      </c>
      <c r="F27" s="689">
        <f t="shared" si="2"/>
        <v>5874.7227000000003</v>
      </c>
      <c r="G27" s="706">
        <f t="shared" si="3"/>
        <v>38344.78095</v>
      </c>
      <c r="H27" s="721">
        <f t="shared" si="4"/>
        <v>28407.75</v>
      </c>
      <c r="I27" s="722">
        <v>5681.55</v>
      </c>
      <c r="J27" s="722">
        <f t="shared" si="5"/>
        <v>34089.300000000003</v>
      </c>
      <c r="K27" s="722">
        <f t="shared" si="10"/>
        <v>4704.3234000000011</v>
      </c>
      <c r="L27" s="722">
        <f t="shared" si="6"/>
        <v>170.44650000000001</v>
      </c>
      <c r="M27" s="722">
        <f t="shared" si="7"/>
        <v>7049.6672400000007</v>
      </c>
      <c r="N27" s="722">
        <f t="shared" si="8"/>
        <v>46013.737140000005</v>
      </c>
      <c r="O27" s="690"/>
      <c r="P27" s="689" t="s">
        <v>890</v>
      </c>
      <c r="Q27" s="276" t="s">
        <v>893</v>
      </c>
      <c r="R27" s="1176">
        <v>93793.336559999996</v>
      </c>
      <c r="S27" s="1210">
        <v>0.3</v>
      </c>
      <c r="T27" s="1210">
        <v>0.6</v>
      </c>
      <c r="U27" s="1211">
        <v>1560</v>
      </c>
      <c r="V27" s="1177">
        <f t="shared" si="9"/>
        <v>60.12</v>
      </c>
    </row>
    <row r="28" spans="1:22" x14ac:dyDescent="0.25">
      <c r="A28" s="716">
        <v>5</v>
      </c>
      <c r="B28" s="704" t="s">
        <v>887</v>
      </c>
      <c r="C28" s="689">
        <v>30639</v>
      </c>
      <c r="D28" s="689">
        <f t="shared" si="0"/>
        <v>4228.1820000000007</v>
      </c>
      <c r="E28" s="705">
        <f t="shared" si="1"/>
        <v>153.19499999999999</v>
      </c>
      <c r="F28" s="689">
        <f t="shared" si="2"/>
        <v>6336.1451999999999</v>
      </c>
      <c r="G28" s="706">
        <f t="shared" si="3"/>
        <v>41356.522199999999</v>
      </c>
      <c r="H28" s="721">
        <f t="shared" si="4"/>
        <v>30639</v>
      </c>
      <c r="I28" s="722">
        <v>6127.8</v>
      </c>
      <c r="J28" s="722">
        <f t="shared" si="5"/>
        <v>36766.800000000003</v>
      </c>
      <c r="K28" s="722">
        <f t="shared" si="10"/>
        <v>5073.818400000001</v>
      </c>
      <c r="L28" s="722">
        <f t="shared" si="6"/>
        <v>183.83400000000003</v>
      </c>
      <c r="M28" s="722">
        <f t="shared" si="7"/>
        <v>7603.374240000001</v>
      </c>
      <c r="N28" s="722">
        <f t="shared" si="8"/>
        <v>49627.826640000014</v>
      </c>
      <c r="O28" s="690"/>
      <c r="P28" s="689" t="s">
        <v>890</v>
      </c>
      <c r="Q28" s="276" t="s">
        <v>895</v>
      </c>
      <c r="R28" s="1176">
        <v>108263.86746000001</v>
      </c>
      <c r="S28" s="1210">
        <v>0.3</v>
      </c>
      <c r="T28" s="1210">
        <v>0.6</v>
      </c>
      <c r="U28" s="1211">
        <v>1560</v>
      </c>
      <c r="V28" s="1177">
        <f t="shared" si="9"/>
        <v>69.400000000000006</v>
      </c>
    </row>
    <row r="29" spans="1:22" x14ac:dyDescent="0.25">
      <c r="A29" s="716">
        <v>5</v>
      </c>
      <c r="B29" s="704" t="s">
        <v>889</v>
      </c>
      <c r="C29" s="689">
        <v>30639</v>
      </c>
      <c r="D29" s="689">
        <f t="shared" si="0"/>
        <v>4228.1820000000007</v>
      </c>
      <c r="E29" s="705">
        <f t="shared" si="1"/>
        <v>153.19499999999999</v>
      </c>
      <c r="F29" s="689">
        <f t="shared" si="2"/>
        <v>6336.1451999999999</v>
      </c>
      <c r="G29" s="706">
        <f t="shared" si="3"/>
        <v>41356.522199999999</v>
      </c>
      <c r="H29" s="721">
        <f t="shared" si="4"/>
        <v>30639</v>
      </c>
      <c r="I29" s="722">
        <v>6127.8</v>
      </c>
      <c r="J29" s="722">
        <f t="shared" si="5"/>
        <v>36766.800000000003</v>
      </c>
      <c r="K29" s="722">
        <f t="shared" si="10"/>
        <v>5073.818400000001</v>
      </c>
      <c r="L29" s="722">
        <f t="shared" si="6"/>
        <v>183.83400000000003</v>
      </c>
      <c r="M29" s="722">
        <f t="shared" si="7"/>
        <v>7603.374240000001</v>
      </c>
      <c r="N29" s="722">
        <f t="shared" si="8"/>
        <v>49627.826640000014</v>
      </c>
      <c r="O29" s="690"/>
      <c r="P29" s="689" t="s">
        <v>897</v>
      </c>
      <c r="Q29" s="276" t="s">
        <v>898</v>
      </c>
      <c r="R29" s="1176">
        <v>111549.14568</v>
      </c>
      <c r="S29" s="1210">
        <v>0.3</v>
      </c>
      <c r="T29" s="1210">
        <v>0.6</v>
      </c>
      <c r="U29" s="1211">
        <v>1560</v>
      </c>
      <c r="V29" s="1177">
        <f t="shared" si="9"/>
        <v>71.510000000000005</v>
      </c>
    </row>
    <row r="30" spans="1:22" x14ac:dyDescent="0.25">
      <c r="A30" s="716">
        <v>5</v>
      </c>
      <c r="B30" s="704" t="s">
        <v>892</v>
      </c>
      <c r="C30" s="689">
        <v>34580.700000000004</v>
      </c>
      <c r="D30" s="689">
        <f t="shared" si="0"/>
        <v>4772.1366000000007</v>
      </c>
      <c r="E30" s="705">
        <f t="shared" si="1"/>
        <v>172.90350000000004</v>
      </c>
      <c r="F30" s="689">
        <f t="shared" si="2"/>
        <v>7151.2887600000013</v>
      </c>
      <c r="G30" s="706">
        <f t="shared" si="3"/>
        <v>46677.028860000006</v>
      </c>
      <c r="H30" s="721">
        <f t="shared" si="4"/>
        <v>34580.700000000004</v>
      </c>
      <c r="I30" s="722">
        <v>6916.14</v>
      </c>
      <c r="J30" s="722">
        <f t="shared" si="5"/>
        <v>41496.840000000004</v>
      </c>
      <c r="K30" s="722">
        <f t="shared" si="10"/>
        <v>5726.5639200000014</v>
      </c>
      <c r="L30" s="722">
        <f t="shared" si="6"/>
        <v>207.48420000000002</v>
      </c>
      <c r="M30" s="722">
        <f t="shared" si="7"/>
        <v>8581.5465120000008</v>
      </c>
      <c r="N30" s="722">
        <f t="shared" si="8"/>
        <v>56012.434632000004</v>
      </c>
      <c r="O30" s="690"/>
      <c r="P30" s="689" t="s">
        <v>897</v>
      </c>
      <c r="Q30" s="276" t="s">
        <v>900</v>
      </c>
      <c r="R30" s="1176">
        <v>111549.14568</v>
      </c>
      <c r="S30" s="1210">
        <v>0.3</v>
      </c>
      <c r="T30" s="1210">
        <v>0.6</v>
      </c>
      <c r="U30" s="1211">
        <v>1560</v>
      </c>
      <c r="V30" s="1177">
        <f t="shared" si="9"/>
        <v>71.510000000000005</v>
      </c>
    </row>
    <row r="31" spans="1:22" x14ac:dyDescent="0.25">
      <c r="A31" s="716">
        <v>5</v>
      </c>
      <c r="B31" s="704" t="s">
        <v>894</v>
      </c>
      <c r="C31" s="689">
        <v>34580.700000000004</v>
      </c>
      <c r="D31" s="689">
        <f t="shared" si="0"/>
        <v>4772.1366000000007</v>
      </c>
      <c r="E31" s="705">
        <f t="shared" si="1"/>
        <v>172.90350000000004</v>
      </c>
      <c r="F31" s="689">
        <f t="shared" si="2"/>
        <v>7151.2887600000013</v>
      </c>
      <c r="G31" s="706">
        <f t="shared" si="3"/>
        <v>46677.028860000006</v>
      </c>
      <c r="H31" s="721">
        <f t="shared" si="4"/>
        <v>34580.700000000004</v>
      </c>
      <c r="I31" s="722">
        <v>6916.14</v>
      </c>
      <c r="J31" s="722">
        <f t="shared" si="5"/>
        <v>41496.840000000004</v>
      </c>
      <c r="K31" s="722">
        <f t="shared" si="10"/>
        <v>5726.5639200000014</v>
      </c>
      <c r="L31" s="722">
        <f t="shared" si="6"/>
        <v>207.48420000000002</v>
      </c>
      <c r="M31" s="722">
        <f t="shared" si="7"/>
        <v>8581.5465120000008</v>
      </c>
      <c r="N31" s="722">
        <f t="shared" si="8"/>
        <v>56012.434632000004</v>
      </c>
      <c r="O31" s="690"/>
      <c r="P31" s="689" t="s">
        <v>897</v>
      </c>
      <c r="Q31" s="276" t="s">
        <v>902</v>
      </c>
      <c r="R31" s="1176">
        <v>128832.99723000001</v>
      </c>
      <c r="S31" s="1210">
        <v>0.3</v>
      </c>
      <c r="T31" s="1210">
        <v>0.6</v>
      </c>
      <c r="U31" s="1211">
        <v>1560</v>
      </c>
      <c r="V31" s="1177">
        <f t="shared" si="9"/>
        <v>82.59</v>
      </c>
    </row>
    <row r="32" spans="1:22" x14ac:dyDescent="0.25">
      <c r="A32" s="716">
        <v>5</v>
      </c>
      <c r="B32" s="704" t="s">
        <v>896</v>
      </c>
      <c r="C32" s="689">
        <v>34580.700000000004</v>
      </c>
      <c r="D32" s="689">
        <f t="shared" si="0"/>
        <v>4772.1366000000007</v>
      </c>
      <c r="E32" s="705">
        <f t="shared" si="1"/>
        <v>172.90350000000004</v>
      </c>
      <c r="F32" s="689">
        <f t="shared" si="2"/>
        <v>7151.2887600000013</v>
      </c>
      <c r="G32" s="706">
        <f t="shared" si="3"/>
        <v>46677.028860000006</v>
      </c>
      <c r="H32" s="721">
        <f t="shared" si="4"/>
        <v>34580.700000000004</v>
      </c>
      <c r="I32" s="722">
        <v>6916.14</v>
      </c>
      <c r="J32" s="722">
        <f t="shared" si="5"/>
        <v>41496.840000000004</v>
      </c>
      <c r="K32" s="722">
        <f t="shared" si="10"/>
        <v>5726.5639200000014</v>
      </c>
      <c r="L32" s="722">
        <f t="shared" si="6"/>
        <v>207.48420000000002</v>
      </c>
      <c r="M32" s="722">
        <f t="shared" si="7"/>
        <v>8581.5465120000008</v>
      </c>
      <c r="N32" s="722">
        <f t="shared" si="8"/>
        <v>56012.434632000004</v>
      </c>
      <c r="O32" s="690"/>
      <c r="P32" s="689" t="s">
        <v>904</v>
      </c>
      <c r="Q32" s="276" t="s">
        <v>905</v>
      </c>
      <c r="R32" s="1176">
        <v>133578.08415000001</v>
      </c>
      <c r="S32" s="1210">
        <v>0.3</v>
      </c>
      <c r="T32" s="1210">
        <v>0.6</v>
      </c>
      <c r="U32" s="1211">
        <v>1560</v>
      </c>
      <c r="V32" s="1177">
        <f t="shared" si="9"/>
        <v>85.63</v>
      </c>
    </row>
    <row r="33" spans="1:22" x14ac:dyDescent="0.25">
      <c r="A33" s="716">
        <v>5</v>
      </c>
      <c r="B33" s="704" t="s">
        <v>899</v>
      </c>
      <c r="C33" s="689">
        <v>34580.700000000004</v>
      </c>
      <c r="D33" s="689">
        <f t="shared" si="0"/>
        <v>4772.1366000000007</v>
      </c>
      <c r="E33" s="705">
        <f t="shared" si="1"/>
        <v>172.90350000000004</v>
      </c>
      <c r="F33" s="689">
        <f t="shared" si="2"/>
        <v>7151.2887600000013</v>
      </c>
      <c r="G33" s="706">
        <f t="shared" si="3"/>
        <v>46677.028860000006</v>
      </c>
      <c r="H33" s="721">
        <f t="shared" si="4"/>
        <v>34580.700000000004</v>
      </c>
      <c r="I33" s="722">
        <v>6916.14</v>
      </c>
      <c r="J33" s="722">
        <f t="shared" si="5"/>
        <v>41496.840000000004</v>
      </c>
      <c r="K33" s="722">
        <f t="shared" si="10"/>
        <v>5726.5639200000014</v>
      </c>
      <c r="L33" s="722">
        <f t="shared" si="6"/>
        <v>207.48420000000002</v>
      </c>
      <c r="M33" s="722">
        <f t="shared" si="7"/>
        <v>8581.5465120000008</v>
      </c>
      <c r="N33" s="722">
        <f t="shared" si="8"/>
        <v>56012.434632000004</v>
      </c>
      <c r="O33" s="690"/>
      <c r="P33" s="689" t="s">
        <v>904</v>
      </c>
      <c r="Q33" s="276" t="s">
        <v>907</v>
      </c>
      <c r="R33" s="1176">
        <v>133578.08415000001</v>
      </c>
      <c r="S33" s="1210">
        <v>0.3</v>
      </c>
      <c r="T33" s="1210">
        <v>0.6</v>
      </c>
      <c r="U33" s="1211">
        <v>1560</v>
      </c>
      <c r="V33" s="1177">
        <f t="shared" si="9"/>
        <v>85.63</v>
      </c>
    </row>
    <row r="34" spans="1:22" x14ac:dyDescent="0.25">
      <c r="A34" s="716">
        <v>6</v>
      </c>
      <c r="B34" s="704" t="s">
        <v>901</v>
      </c>
      <c r="C34" s="689">
        <v>35391.300000000003</v>
      </c>
      <c r="D34" s="689">
        <f t="shared" si="0"/>
        <v>4883.9994000000006</v>
      </c>
      <c r="E34" s="705">
        <f t="shared" si="1"/>
        <v>176.95650000000001</v>
      </c>
      <c r="F34" s="689">
        <f t="shared" si="2"/>
        <v>7318.9208400000007</v>
      </c>
      <c r="G34" s="706">
        <f t="shared" si="3"/>
        <v>47771.176740000003</v>
      </c>
      <c r="H34" s="721">
        <f t="shared" si="4"/>
        <v>35391.300000000003</v>
      </c>
      <c r="I34" s="722">
        <v>7078.2600000000011</v>
      </c>
      <c r="J34" s="722">
        <f t="shared" si="5"/>
        <v>42469.560000000005</v>
      </c>
      <c r="K34" s="722">
        <f t="shared" si="10"/>
        <v>5860.7992800000011</v>
      </c>
      <c r="L34" s="722">
        <f t="shared" si="6"/>
        <v>212.34780000000003</v>
      </c>
      <c r="M34" s="722">
        <f t="shared" si="7"/>
        <v>8782.7050080000008</v>
      </c>
      <c r="N34" s="722">
        <f t="shared" si="8"/>
        <v>57325.412088000012</v>
      </c>
      <c r="O34" s="690"/>
      <c r="P34" s="689" t="s">
        <v>904</v>
      </c>
      <c r="Q34" s="276" t="s">
        <v>909</v>
      </c>
      <c r="R34" s="1176">
        <v>153902.02275</v>
      </c>
      <c r="S34" s="1210">
        <v>0.3</v>
      </c>
      <c r="T34" s="1210">
        <v>0.6</v>
      </c>
      <c r="U34" s="1211">
        <v>1560</v>
      </c>
      <c r="V34" s="1177">
        <f t="shared" si="9"/>
        <v>98.66</v>
      </c>
    </row>
    <row r="35" spans="1:22" x14ac:dyDescent="0.25">
      <c r="A35" s="716">
        <v>6</v>
      </c>
      <c r="B35" s="704" t="s">
        <v>903</v>
      </c>
      <c r="C35" s="689">
        <v>35391.300000000003</v>
      </c>
      <c r="D35" s="689">
        <f t="shared" si="0"/>
        <v>4883.9994000000006</v>
      </c>
      <c r="E35" s="705">
        <f t="shared" si="1"/>
        <v>176.95650000000001</v>
      </c>
      <c r="F35" s="689">
        <f t="shared" si="2"/>
        <v>7318.9208400000007</v>
      </c>
      <c r="G35" s="706">
        <f t="shared" si="3"/>
        <v>47771.176740000003</v>
      </c>
      <c r="H35" s="721">
        <f t="shared" si="4"/>
        <v>35391.300000000003</v>
      </c>
      <c r="I35" s="722">
        <v>7078.2600000000011</v>
      </c>
      <c r="J35" s="722">
        <f t="shared" si="5"/>
        <v>42469.560000000005</v>
      </c>
      <c r="K35" s="722">
        <f t="shared" si="10"/>
        <v>5860.7992800000011</v>
      </c>
      <c r="L35" s="722">
        <f t="shared" si="6"/>
        <v>212.34780000000003</v>
      </c>
      <c r="M35" s="722">
        <f t="shared" si="7"/>
        <v>8782.7050080000008</v>
      </c>
      <c r="N35" s="722">
        <f t="shared" si="8"/>
        <v>57325.412088000012</v>
      </c>
      <c r="O35" s="690"/>
      <c r="P35" s="689" t="s">
        <v>911</v>
      </c>
      <c r="Q35" s="276" t="s">
        <v>912</v>
      </c>
      <c r="R35" s="1176">
        <f>G82</f>
        <v>119273.72720000001</v>
      </c>
      <c r="S35" s="1178">
        <v>0</v>
      </c>
      <c r="T35" s="1178">
        <v>0</v>
      </c>
      <c r="U35" s="1211">
        <v>1344</v>
      </c>
      <c r="V35" s="1177">
        <f t="shared" si="9"/>
        <v>88.75</v>
      </c>
    </row>
    <row r="36" spans="1:22" x14ac:dyDescent="0.25">
      <c r="A36" s="716">
        <v>6</v>
      </c>
      <c r="B36" s="704" t="s">
        <v>906</v>
      </c>
      <c r="C36" s="689">
        <v>37350.6</v>
      </c>
      <c r="D36" s="689">
        <f t="shared" si="0"/>
        <v>5154.3828000000003</v>
      </c>
      <c r="E36" s="705">
        <f t="shared" si="1"/>
        <v>186.75299999999999</v>
      </c>
      <c r="F36" s="689">
        <f t="shared" si="2"/>
        <v>7724.1040800000001</v>
      </c>
      <c r="G36" s="706">
        <f t="shared" si="3"/>
        <v>50415.839879999992</v>
      </c>
      <c r="H36" s="721">
        <f t="shared" si="4"/>
        <v>37350.6</v>
      </c>
      <c r="I36" s="722">
        <v>7470.1200000000008</v>
      </c>
      <c r="J36" s="722">
        <f t="shared" si="5"/>
        <v>44820.72</v>
      </c>
      <c r="K36" s="722">
        <f t="shared" si="10"/>
        <v>6185.2593600000009</v>
      </c>
      <c r="L36" s="722">
        <f t="shared" si="6"/>
        <v>224.1036</v>
      </c>
      <c r="M36" s="722">
        <f t="shared" si="7"/>
        <v>9268.9248960000004</v>
      </c>
      <c r="N36" s="722">
        <f t="shared" si="8"/>
        <v>60499.007856000011</v>
      </c>
      <c r="O36" s="690"/>
      <c r="P36" s="689" t="s">
        <v>911</v>
      </c>
      <c r="Q36" s="276" t="s">
        <v>87</v>
      </c>
      <c r="R36" s="1176">
        <f>G91</f>
        <v>143073.4008</v>
      </c>
      <c r="S36" s="1178">
        <v>0</v>
      </c>
      <c r="T36" s="1178">
        <v>0</v>
      </c>
      <c r="U36" s="1211">
        <v>1344</v>
      </c>
      <c r="V36" s="1177">
        <f t="shared" si="9"/>
        <v>106.45</v>
      </c>
    </row>
    <row r="37" spans="1:22" x14ac:dyDescent="0.25">
      <c r="A37" s="716">
        <v>6</v>
      </c>
      <c r="B37" s="704" t="s">
        <v>908</v>
      </c>
      <c r="C37" s="689">
        <v>37350.6</v>
      </c>
      <c r="D37" s="689">
        <f t="shared" ref="D37:D68" si="11">(C37-$B$109)*0.138</f>
        <v>5154.3828000000003</v>
      </c>
      <c r="E37" s="705">
        <f t="shared" si="1"/>
        <v>186.75299999999999</v>
      </c>
      <c r="F37" s="689">
        <f t="shared" si="2"/>
        <v>7724.1040800000001</v>
      </c>
      <c r="G37" s="706">
        <f t="shared" si="3"/>
        <v>50415.839879999992</v>
      </c>
      <c r="H37" s="721">
        <f t="shared" si="4"/>
        <v>37350.6</v>
      </c>
      <c r="I37" s="722">
        <v>7470.1200000000008</v>
      </c>
      <c r="J37" s="722">
        <f t="shared" si="5"/>
        <v>44820.72</v>
      </c>
      <c r="K37" s="722">
        <f t="shared" si="10"/>
        <v>6185.2593600000009</v>
      </c>
      <c r="L37" s="722">
        <f t="shared" si="6"/>
        <v>224.1036</v>
      </c>
      <c r="M37" s="722">
        <f t="shared" si="7"/>
        <v>9268.9248960000004</v>
      </c>
      <c r="N37" s="722">
        <f t="shared" si="8"/>
        <v>60499.007856000011</v>
      </c>
      <c r="O37" s="690"/>
      <c r="P37" s="689" t="s">
        <v>911</v>
      </c>
      <c r="Q37" s="276" t="s">
        <v>915</v>
      </c>
      <c r="R37" s="1176">
        <f>G100</f>
        <v>160805.72340000002</v>
      </c>
      <c r="S37" s="1178">
        <v>0</v>
      </c>
      <c r="T37" s="1178">
        <v>0</v>
      </c>
      <c r="U37" s="1211">
        <v>1344</v>
      </c>
      <c r="V37" s="1177">
        <f t="shared" si="9"/>
        <v>119.65</v>
      </c>
    </row>
    <row r="38" spans="1:22" x14ac:dyDescent="0.25">
      <c r="A38" s="716">
        <v>6</v>
      </c>
      <c r="B38" s="704" t="s">
        <v>910</v>
      </c>
      <c r="C38" s="689">
        <v>37350.6</v>
      </c>
      <c r="D38" s="689">
        <f t="shared" si="11"/>
        <v>5154.3828000000003</v>
      </c>
      <c r="E38" s="705">
        <f t="shared" si="1"/>
        <v>186.75299999999999</v>
      </c>
      <c r="F38" s="689">
        <f t="shared" si="2"/>
        <v>7724.1040800000001</v>
      </c>
      <c r="G38" s="706">
        <f t="shared" si="3"/>
        <v>50415.839879999992</v>
      </c>
      <c r="H38" s="721">
        <f t="shared" si="4"/>
        <v>37350.6</v>
      </c>
      <c r="I38" s="722">
        <v>7470.1200000000008</v>
      </c>
      <c r="J38" s="722">
        <f t="shared" si="5"/>
        <v>44820.72</v>
      </c>
      <c r="K38" s="722">
        <f t="shared" si="10"/>
        <v>6185.2593600000009</v>
      </c>
      <c r="L38" s="722">
        <f t="shared" si="6"/>
        <v>224.1036</v>
      </c>
      <c r="M38" s="722">
        <f t="shared" si="7"/>
        <v>9268.9248960000004</v>
      </c>
      <c r="N38" s="722">
        <f t="shared" si="8"/>
        <v>60499.007856000011</v>
      </c>
      <c r="O38" s="690"/>
      <c r="P38" s="689" t="s">
        <v>917</v>
      </c>
      <c r="Q38" s="276" t="s">
        <v>918</v>
      </c>
      <c r="R38" s="1176">
        <f>E105</f>
        <v>205803.51999999999</v>
      </c>
      <c r="S38" s="1178">
        <v>0</v>
      </c>
      <c r="T38" s="1178">
        <v>0</v>
      </c>
      <c r="U38" s="1211">
        <v>1344</v>
      </c>
      <c r="V38" s="1177">
        <f t="shared" si="9"/>
        <v>153.13</v>
      </c>
    </row>
    <row r="39" spans="1:22" x14ac:dyDescent="0.25">
      <c r="A39" s="716">
        <v>6</v>
      </c>
      <c r="B39" s="704" t="s">
        <v>913</v>
      </c>
      <c r="C39" s="689">
        <v>42617.4</v>
      </c>
      <c r="D39" s="689">
        <f t="shared" si="11"/>
        <v>5881.2012000000004</v>
      </c>
      <c r="E39" s="705">
        <f t="shared" si="1"/>
        <v>213.08700000000002</v>
      </c>
      <c r="F39" s="689">
        <f t="shared" si="2"/>
        <v>8813.2783200000013</v>
      </c>
      <c r="G39" s="706">
        <f t="shared" si="3"/>
        <v>57524.966520000002</v>
      </c>
      <c r="H39" s="721">
        <f t="shared" si="4"/>
        <v>42617.4</v>
      </c>
      <c r="I39" s="722">
        <v>7745.85</v>
      </c>
      <c r="J39" s="722">
        <f t="shared" si="5"/>
        <v>50363.25</v>
      </c>
      <c r="K39" s="722">
        <f t="shared" si="10"/>
        <v>6950.1285000000007</v>
      </c>
      <c r="L39" s="722">
        <f t="shared" si="6"/>
        <v>251.81625</v>
      </c>
      <c r="M39" s="722">
        <f t="shared" si="7"/>
        <v>10415.1201</v>
      </c>
      <c r="N39" s="722">
        <f t="shared" si="8"/>
        <v>67980.314849999995</v>
      </c>
      <c r="O39" s="690"/>
      <c r="P39" s="315"/>
      <c r="R39"/>
    </row>
    <row r="40" spans="1:22" x14ac:dyDescent="0.25">
      <c r="A40" s="716">
        <v>6</v>
      </c>
      <c r="B40" s="704" t="s">
        <v>914</v>
      </c>
      <c r="C40" s="689">
        <v>42617.4</v>
      </c>
      <c r="D40" s="689">
        <f t="shared" si="11"/>
        <v>5881.2012000000004</v>
      </c>
      <c r="E40" s="705">
        <f t="shared" si="1"/>
        <v>213.08700000000002</v>
      </c>
      <c r="F40" s="689">
        <f t="shared" si="2"/>
        <v>8813.2783200000013</v>
      </c>
      <c r="G40" s="706">
        <f t="shared" si="3"/>
        <v>57524.966520000002</v>
      </c>
      <c r="H40" s="721">
        <f t="shared" si="4"/>
        <v>42617.4</v>
      </c>
      <c r="I40" s="722">
        <v>7745.85</v>
      </c>
      <c r="J40" s="722">
        <f t="shared" si="5"/>
        <v>50363.25</v>
      </c>
      <c r="K40" s="722">
        <f t="shared" si="10"/>
        <v>6950.1285000000007</v>
      </c>
      <c r="L40" s="722">
        <f t="shared" si="6"/>
        <v>251.81625</v>
      </c>
      <c r="M40" s="722">
        <f t="shared" si="7"/>
        <v>10415.1201</v>
      </c>
      <c r="N40" s="722">
        <f t="shared" si="8"/>
        <v>67980.314849999995</v>
      </c>
      <c r="O40" s="690"/>
      <c r="P40" s="315"/>
      <c r="R40"/>
    </row>
    <row r="41" spans="1:22" x14ac:dyDescent="0.25">
      <c r="A41" s="716">
        <v>6</v>
      </c>
      <c r="B41" s="704" t="s">
        <v>916</v>
      </c>
      <c r="C41" s="689">
        <v>42617.4</v>
      </c>
      <c r="D41" s="689">
        <f t="shared" si="11"/>
        <v>5881.2012000000004</v>
      </c>
      <c r="E41" s="705">
        <f t="shared" si="1"/>
        <v>213.08700000000002</v>
      </c>
      <c r="F41" s="689">
        <f t="shared" si="2"/>
        <v>8813.2783200000013</v>
      </c>
      <c r="G41" s="706">
        <f t="shared" si="3"/>
        <v>57524.966520000002</v>
      </c>
      <c r="H41" s="721">
        <f t="shared" si="4"/>
        <v>42617.4</v>
      </c>
      <c r="I41" s="722">
        <v>7745.85</v>
      </c>
      <c r="J41" s="722">
        <f t="shared" si="5"/>
        <v>50363.25</v>
      </c>
      <c r="K41" s="722">
        <f t="shared" si="10"/>
        <v>6950.1285000000007</v>
      </c>
      <c r="L41" s="722">
        <f t="shared" si="6"/>
        <v>251.81625</v>
      </c>
      <c r="M41" s="722">
        <f t="shared" si="7"/>
        <v>10415.1201</v>
      </c>
      <c r="N41" s="722">
        <f t="shared" si="8"/>
        <v>67980.314849999995</v>
      </c>
      <c r="O41" s="690"/>
    </row>
    <row r="42" spans="1:22" x14ac:dyDescent="0.25">
      <c r="A42" s="716">
        <v>6</v>
      </c>
      <c r="B42" s="704" t="s">
        <v>919</v>
      </c>
      <c r="C42" s="689">
        <v>42617.4</v>
      </c>
      <c r="D42" s="689">
        <f t="shared" si="11"/>
        <v>5881.2012000000004</v>
      </c>
      <c r="E42" s="705">
        <f t="shared" si="1"/>
        <v>213.08700000000002</v>
      </c>
      <c r="F42" s="689">
        <f t="shared" si="2"/>
        <v>8813.2783200000013</v>
      </c>
      <c r="G42" s="706">
        <f t="shared" si="3"/>
        <v>57524.966520000002</v>
      </c>
      <c r="H42" s="721">
        <f t="shared" si="4"/>
        <v>42617.4</v>
      </c>
      <c r="I42" s="722">
        <v>7745.85</v>
      </c>
      <c r="J42" s="722">
        <f t="shared" si="5"/>
        <v>50363.25</v>
      </c>
      <c r="K42" s="722">
        <f t="shared" si="10"/>
        <v>6950.1285000000007</v>
      </c>
      <c r="L42" s="722">
        <f t="shared" si="6"/>
        <v>251.81625</v>
      </c>
      <c r="M42" s="722">
        <f t="shared" si="7"/>
        <v>10415.1201</v>
      </c>
      <c r="N42" s="722">
        <f t="shared" si="8"/>
        <v>67980.314849999995</v>
      </c>
      <c r="O42" s="690"/>
      <c r="P42" s="690" t="s">
        <v>923</v>
      </c>
    </row>
    <row r="43" spans="1:22" x14ac:dyDescent="0.25">
      <c r="A43" s="716">
        <v>7</v>
      </c>
      <c r="B43" s="704" t="s">
        <v>920</v>
      </c>
      <c r="C43" s="689">
        <v>43741.950000000004</v>
      </c>
      <c r="D43" s="689">
        <f t="shared" si="11"/>
        <v>6036.3891000000012</v>
      </c>
      <c r="E43" s="705">
        <f t="shared" si="1"/>
        <v>218.70975000000001</v>
      </c>
      <c r="F43" s="689">
        <f t="shared" si="2"/>
        <v>9045.8352600000017</v>
      </c>
      <c r="G43" s="706">
        <f t="shared" si="3"/>
        <v>59042.884110000006</v>
      </c>
      <c r="H43" s="721">
        <f t="shared" si="4"/>
        <v>43741.950000000004</v>
      </c>
      <c r="I43" s="722">
        <v>7745.85</v>
      </c>
      <c r="J43" s="722">
        <f t="shared" si="5"/>
        <v>51487.8</v>
      </c>
      <c r="K43" s="722">
        <f t="shared" si="10"/>
        <v>7105.3164000000006</v>
      </c>
      <c r="L43" s="722">
        <f t="shared" si="6"/>
        <v>257.43900000000002</v>
      </c>
      <c r="M43" s="722">
        <f>J43*0.2068</f>
        <v>10647.67704</v>
      </c>
      <c r="N43" s="722">
        <f t="shared" si="8"/>
        <v>69498.232440000007</v>
      </c>
      <c r="O43" s="690"/>
      <c r="P43" s="690" t="s">
        <v>925</v>
      </c>
    </row>
    <row r="44" spans="1:22" x14ac:dyDescent="0.25">
      <c r="A44" s="716">
        <v>7</v>
      </c>
      <c r="B44" s="704" t="s">
        <v>921</v>
      </c>
      <c r="C44" s="689">
        <v>43741.950000000004</v>
      </c>
      <c r="D44" s="689">
        <f t="shared" si="11"/>
        <v>6036.3891000000012</v>
      </c>
      <c r="E44" s="705">
        <f t="shared" si="1"/>
        <v>218.70975000000001</v>
      </c>
      <c r="F44" s="689">
        <f t="shared" si="2"/>
        <v>9045.8352600000017</v>
      </c>
      <c r="G44" s="706">
        <f t="shared" si="3"/>
        <v>59042.884110000006</v>
      </c>
      <c r="H44" s="721">
        <f t="shared" si="4"/>
        <v>43741.950000000004</v>
      </c>
      <c r="I44" s="722">
        <v>7745.85</v>
      </c>
      <c r="J44" s="722">
        <f t="shared" si="5"/>
        <v>51487.8</v>
      </c>
      <c r="K44" s="722">
        <f t="shared" si="10"/>
        <v>7105.3164000000006</v>
      </c>
      <c r="L44" s="722">
        <f t="shared" si="6"/>
        <v>257.43900000000002</v>
      </c>
      <c r="M44" s="722">
        <f t="shared" si="7"/>
        <v>10647.67704</v>
      </c>
      <c r="N44" s="722">
        <f t="shared" si="8"/>
        <v>69498.232440000007</v>
      </c>
      <c r="O44" s="690"/>
      <c r="P44" s="690"/>
    </row>
    <row r="45" spans="1:22" x14ac:dyDescent="0.25">
      <c r="A45" s="716">
        <v>7</v>
      </c>
      <c r="B45" s="704" t="s">
        <v>922</v>
      </c>
      <c r="C45" s="689">
        <v>45996.3</v>
      </c>
      <c r="D45" s="689">
        <f t="shared" si="11"/>
        <v>6347.4894000000013</v>
      </c>
      <c r="E45" s="705">
        <f t="shared" si="1"/>
        <v>229.98150000000001</v>
      </c>
      <c r="F45" s="689">
        <f t="shared" si="2"/>
        <v>9512.0348400000003</v>
      </c>
      <c r="G45" s="706">
        <f t="shared" si="3"/>
        <v>62085.805740000003</v>
      </c>
      <c r="H45" s="721">
        <f t="shared" si="4"/>
        <v>45996.3</v>
      </c>
      <c r="I45" s="722">
        <v>7745.85</v>
      </c>
      <c r="J45" s="722">
        <f t="shared" si="5"/>
        <v>53742.15</v>
      </c>
      <c r="K45" s="722">
        <f t="shared" si="10"/>
        <v>7416.4167000000007</v>
      </c>
      <c r="L45" s="722">
        <f t="shared" si="6"/>
        <v>268.71075000000002</v>
      </c>
      <c r="M45" s="722">
        <f t="shared" si="7"/>
        <v>11113.876620000001</v>
      </c>
      <c r="N45" s="722">
        <f t="shared" si="8"/>
        <v>72541.154070000004</v>
      </c>
      <c r="O45" s="690"/>
      <c r="P45" s="690"/>
    </row>
    <row r="46" spans="1:22" x14ac:dyDescent="0.25">
      <c r="A46" s="716">
        <v>7</v>
      </c>
      <c r="B46" s="704" t="s">
        <v>924</v>
      </c>
      <c r="C46" s="689">
        <v>45996.3</v>
      </c>
      <c r="D46" s="689">
        <f t="shared" si="11"/>
        <v>6347.4894000000013</v>
      </c>
      <c r="E46" s="705">
        <f t="shared" si="1"/>
        <v>229.98150000000001</v>
      </c>
      <c r="F46" s="689">
        <f t="shared" si="2"/>
        <v>9512.0348400000003</v>
      </c>
      <c r="G46" s="706">
        <f t="shared" si="3"/>
        <v>62085.805740000003</v>
      </c>
      <c r="H46" s="721">
        <f t="shared" si="4"/>
        <v>45996.3</v>
      </c>
      <c r="I46" s="722">
        <v>7745.85</v>
      </c>
      <c r="J46" s="722">
        <f t="shared" si="5"/>
        <v>53742.15</v>
      </c>
      <c r="K46" s="722">
        <f t="shared" si="10"/>
        <v>7416.4167000000007</v>
      </c>
      <c r="L46" s="722">
        <f t="shared" si="6"/>
        <v>268.71075000000002</v>
      </c>
      <c r="M46" s="722">
        <f t="shared" si="7"/>
        <v>11113.876620000001</v>
      </c>
      <c r="N46" s="722">
        <f t="shared" si="8"/>
        <v>72541.154070000004</v>
      </c>
      <c r="O46" s="690"/>
      <c r="P46" s="690"/>
    </row>
    <row r="47" spans="1:22" x14ac:dyDescent="0.25">
      <c r="A47" s="716">
        <v>7</v>
      </c>
      <c r="B47" s="704" t="s">
        <v>926</v>
      </c>
      <c r="C47" s="689">
        <v>45996.3</v>
      </c>
      <c r="D47" s="689">
        <f t="shared" si="11"/>
        <v>6347.4894000000013</v>
      </c>
      <c r="E47" s="705">
        <f t="shared" si="1"/>
        <v>229.98150000000001</v>
      </c>
      <c r="F47" s="689">
        <f t="shared" si="2"/>
        <v>9512.0348400000003</v>
      </c>
      <c r="G47" s="706">
        <f t="shared" si="3"/>
        <v>62085.805740000003</v>
      </c>
      <c r="H47" s="721">
        <f t="shared" si="4"/>
        <v>45996.3</v>
      </c>
      <c r="I47" s="722">
        <v>7745.85</v>
      </c>
      <c r="J47" s="722">
        <f t="shared" si="5"/>
        <v>53742.15</v>
      </c>
      <c r="K47" s="722">
        <f t="shared" si="10"/>
        <v>7416.4167000000007</v>
      </c>
      <c r="L47" s="722">
        <f t="shared" si="6"/>
        <v>268.71075000000002</v>
      </c>
      <c r="M47" s="722">
        <f t="shared" si="7"/>
        <v>11113.876620000001</v>
      </c>
      <c r="N47" s="722">
        <f t="shared" si="8"/>
        <v>72541.154070000004</v>
      </c>
      <c r="O47" s="690"/>
      <c r="P47" s="690"/>
    </row>
    <row r="48" spans="1:22" x14ac:dyDescent="0.25">
      <c r="A48" s="716">
        <v>7</v>
      </c>
      <c r="B48" s="704" t="s">
        <v>927</v>
      </c>
      <c r="C48" s="689">
        <v>50055.6</v>
      </c>
      <c r="D48" s="689">
        <f t="shared" si="11"/>
        <v>6907.6728000000003</v>
      </c>
      <c r="E48" s="705">
        <f t="shared" si="1"/>
        <v>250.27799999999999</v>
      </c>
      <c r="F48" s="689">
        <f t="shared" si="2"/>
        <v>10351.498079999999</v>
      </c>
      <c r="G48" s="706">
        <f t="shared" si="3"/>
        <v>67565.048880000002</v>
      </c>
      <c r="H48" s="721">
        <f t="shared" si="4"/>
        <v>50055.6</v>
      </c>
      <c r="I48" s="722">
        <v>7745.85</v>
      </c>
      <c r="J48" s="722">
        <f t="shared" si="5"/>
        <v>57801.45</v>
      </c>
      <c r="K48" s="722">
        <f t="shared" si="10"/>
        <v>7976.6001000000006</v>
      </c>
      <c r="L48" s="722">
        <f t="shared" si="6"/>
        <v>289.00725</v>
      </c>
      <c r="M48" s="722">
        <f t="shared" si="7"/>
        <v>11953.33986</v>
      </c>
      <c r="N48" s="722">
        <f t="shared" si="8"/>
        <v>78020.397209999996</v>
      </c>
      <c r="O48" s="690"/>
      <c r="P48" s="690"/>
    </row>
    <row r="49" spans="1:16" x14ac:dyDescent="0.25">
      <c r="A49" s="716">
        <v>7</v>
      </c>
      <c r="B49" s="704" t="s">
        <v>928</v>
      </c>
      <c r="C49" s="689">
        <v>50055.6</v>
      </c>
      <c r="D49" s="689">
        <f t="shared" si="11"/>
        <v>6907.6728000000003</v>
      </c>
      <c r="E49" s="705">
        <f t="shared" si="1"/>
        <v>250.27799999999999</v>
      </c>
      <c r="F49" s="689">
        <f t="shared" si="2"/>
        <v>10351.498079999999</v>
      </c>
      <c r="G49" s="706">
        <f t="shared" si="3"/>
        <v>67565.048880000002</v>
      </c>
      <c r="H49" s="721">
        <f t="shared" si="4"/>
        <v>50055.6</v>
      </c>
      <c r="I49" s="722">
        <v>7745.85</v>
      </c>
      <c r="J49" s="722">
        <f t="shared" si="5"/>
        <v>57801.45</v>
      </c>
      <c r="K49" s="722">
        <f t="shared" si="10"/>
        <v>7976.6001000000006</v>
      </c>
      <c r="L49" s="722">
        <f t="shared" si="6"/>
        <v>289.00725</v>
      </c>
      <c r="M49" s="722">
        <f t="shared" si="7"/>
        <v>11953.33986</v>
      </c>
      <c r="N49" s="722">
        <f t="shared" si="8"/>
        <v>78020.397209999996</v>
      </c>
      <c r="O49" s="690"/>
      <c r="P49" s="690"/>
    </row>
    <row r="50" spans="1:16" x14ac:dyDescent="0.25">
      <c r="A50" s="716">
        <v>7</v>
      </c>
      <c r="B50" s="704" t="s">
        <v>929</v>
      </c>
      <c r="C50" s="689">
        <v>50055.6</v>
      </c>
      <c r="D50" s="689">
        <f t="shared" si="11"/>
        <v>6907.6728000000003</v>
      </c>
      <c r="E50" s="705">
        <f t="shared" si="1"/>
        <v>250.27799999999999</v>
      </c>
      <c r="F50" s="689">
        <f t="shared" si="2"/>
        <v>10351.498079999999</v>
      </c>
      <c r="G50" s="706">
        <f t="shared" si="3"/>
        <v>67565.048880000002</v>
      </c>
      <c r="H50" s="721">
        <f t="shared" si="4"/>
        <v>50055.6</v>
      </c>
      <c r="I50" s="722">
        <v>7745.85</v>
      </c>
      <c r="J50" s="722">
        <f t="shared" si="5"/>
        <v>57801.45</v>
      </c>
      <c r="K50" s="722">
        <f t="shared" si="10"/>
        <v>7976.6001000000006</v>
      </c>
      <c r="L50" s="722">
        <f t="shared" si="6"/>
        <v>289.00725</v>
      </c>
      <c r="M50" s="722">
        <f t="shared" si="7"/>
        <v>11953.33986</v>
      </c>
      <c r="N50" s="722">
        <f t="shared" si="8"/>
        <v>78020.397209999996</v>
      </c>
      <c r="O50" s="690"/>
      <c r="P50" s="690"/>
    </row>
    <row r="51" spans="1:16" x14ac:dyDescent="0.25">
      <c r="A51" s="716">
        <v>7</v>
      </c>
      <c r="B51" s="704" t="s">
        <v>930</v>
      </c>
      <c r="C51" s="689">
        <v>50055.6</v>
      </c>
      <c r="D51" s="689">
        <f t="shared" si="11"/>
        <v>6907.6728000000003</v>
      </c>
      <c r="E51" s="705">
        <f t="shared" si="1"/>
        <v>250.27799999999999</v>
      </c>
      <c r="F51" s="689">
        <f t="shared" si="2"/>
        <v>10351.498079999999</v>
      </c>
      <c r="G51" s="706">
        <f t="shared" si="3"/>
        <v>67565.048880000002</v>
      </c>
      <c r="H51" s="721">
        <f t="shared" si="4"/>
        <v>50055.6</v>
      </c>
      <c r="I51" s="722">
        <v>7745.85</v>
      </c>
      <c r="J51" s="722">
        <f t="shared" si="5"/>
        <v>57801.45</v>
      </c>
      <c r="K51" s="722">
        <f t="shared" si="10"/>
        <v>7976.6001000000006</v>
      </c>
      <c r="L51" s="722">
        <f t="shared" si="6"/>
        <v>289.00725</v>
      </c>
      <c r="M51" s="722">
        <f t="shared" si="7"/>
        <v>11953.33986</v>
      </c>
      <c r="N51" s="722">
        <f t="shared" si="8"/>
        <v>78020.397209999996</v>
      </c>
      <c r="O51" s="690"/>
      <c r="P51" s="690"/>
    </row>
    <row r="52" spans="1:16" x14ac:dyDescent="0.25">
      <c r="A52" s="716" t="s">
        <v>931</v>
      </c>
      <c r="B52" s="704" t="s">
        <v>932</v>
      </c>
      <c r="C52" s="689">
        <v>50952.3</v>
      </c>
      <c r="D52" s="689">
        <f t="shared" si="11"/>
        <v>7031.4174000000012</v>
      </c>
      <c r="E52" s="705">
        <f t="shared" si="1"/>
        <v>254.76150000000001</v>
      </c>
      <c r="F52" s="689">
        <f t="shared" si="2"/>
        <v>10536.935640000002</v>
      </c>
      <c r="G52" s="706">
        <f t="shared" si="3"/>
        <v>68775.414539999998</v>
      </c>
      <c r="H52" s="721">
        <f t="shared" si="4"/>
        <v>50952.3</v>
      </c>
      <c r="I52" s="722">
        <v>7745.85</v>
      </c>
      <c r="J52" s="722">
        <f t="shared" si="5"/>
        <v>58698.15</v>
      </c>
      <c r="K52" s="722">
        <f t="shared" si="10"/>
        <v>8100.3447000000006</v>
      </c>
      <c r="L52" s="722">
        <f t="shared" si="6"/>
        <v>293.49074999999999</v>
      </c>
      <c r="M52" s="722">
        <f t="shared" si="7"/>
        <v>12138.77742</v>
      </c>
      <c r="N52" s="722">
        <f t="shared" si="8"/>
        <v>79230.762869999991</v>
      </c>
      <c r="O52" s="690"/>
      <c r="P52" s="690"/>
    </row>
    <row r="53" spans="1:16" x14ac:dyDescent="0.25">
      <c r="A53" s="716" t="s">
        <v>931</v>
      </c>
      <c r="B53" s="704" t="s">
        <v>933</v>
      </c>
      <c r="C53" s="689">
        <v>50952.3</v>
      </c>
      <c r="D53" s="689">
        <f t="shared" si="11"/>
        <v>7031.4174000000012</v>
      </c>
      <c r="E53" s="705">
        <f t="shared" si="1"/>
        <v>254.76150000000001</v>
      </c>
      <c r="F53" s="689">
        <f t="shared" si="2"/>
        <v>10536.935640000002</v>
      </c>
      <c r="G53" s="706">
        <f t="shared" si="3"/>
        <v>68775.414539999998</v>
      </c>
      <c r="H53" s="721">
        <f t="shared" si="4"/>
        <v>50952.3</v>
      </c>
      <c r="I53" s="722">
        <v>7745.85</v>
      </c>
      <c r="J53" s="722">
        <f t="shared" si="5"/>
        <v>58698.15</v>
      </c>
      <c r="K53" s="722">
        <f t="shared" si="10"/>
        <v>8100.3447000000006</v>
      </c>
      <c r="L53" s="722">
        <f t="shared" si="6"/>
        <v>293.49074999999999</v>
      </c>
      <c r="M53" s="722">
        <f t="shared" si="7"/>
        <v>12138.77742</v>
      </c>
      <c r="N53" s="722">
        <f t="shared" si="8"/>
        <v>79230.762869999991</v>
      </c>
      <c r="O53" s="690"/>
      <c r="P53" s="690"/>
    </row>
    <row r="54" spans="1:16" x14ac:dyDescent="0.25">
      <c r="A54" s="716" t="s">
        <v>931</v>
      </c>
      <c r="B54" s="704" t="s">
        <v>934</v>
      </c>
      <c r="C54" s="689">
        <v>50952.3</v>
      </c>
      <c r="D54" s="689">
        <f t="shared" si="11"/>
        <v>7031.4174000000012</v>
      </c>
      <c r="E54" s="705">
        <f t="shared" si="1"/>
        <v>254.76150000000001</v>
      </c>
      <c r="F54" s="689">
        <f t="shared" si="2"/>
        <v>10536.935640000002</v>
      </c>
      <c r="G54" s="706">
        <f t="shared" si="3"/>
        <v>68775.414539999998</v>
      </c>
      <c r="H54" s="721">
        <f t="shared" si="4"/>
        <v>50952.3</v>
      </c>
      <c r="I54" s="722">
        <v>7745.85</v>
      </c>
      <c r="J54" s="722">
        <f t="shared" si="5"/>
        <v>58698.15</v>
      </c>
      <c r="K54" s="722">
        <f t="shared" si="10"/>
        <v>8100.3447000000006</v>
      </c>
      <c r="L54" s="722">
        <f t="shared" si="6"/>
        <v>293.49074999999999</v>
      </c>
      <c r="M54" s="722">
        <f t="shared" si="7"/>
        <v>12138.77742</v>
      </c>
      <c r="N54" s="722">
        <f t="shared" si="8"/>
        <v>79230.762869999991</v>
      </c>
      <c r="O54" s="690"/>
      <c r="P54" s="690"/>
    </row>
    <row r="55" spans="1:16" x14ac:dyDescent="0.25">
      <c r="A55" s="716" t="s">
        <v>931</v>
      </c>
      <c r="B55" s="704" t="s">
        <v>935</v>
      </c>
      <c r="C55" s="689">
        <v>50952.3</v>
      </c>
      <c r="D55" s="689">
        <f t="shared" si="11"/>
        <v>7031.4174000000012</v>
      </c>
      <c r="E55" s="705">
        <f t="shared" si="1"/>
        <v>254.76150000000001</v>
      </c>
      <c r="F55" s="689">
        <f t="shared" si="2"/>
        <v>10536.935640000002</v>
      </c>
      <c r="G55" s="706">
        <f t="shared" si="3"/>
        <v>68775.414539999998</v>
      </c>
      <c r="H55" s="721">
        <f t="shared" si="4"/>
        <v>50952.3</v>
      </c>
      <c r="I55" s="722">
        <v>7745.85</v>
      </c>
      <c r="J55" s="722">
        <f t="shared" si="5"/>
        <v>58698.15</v>
      </c>
      <c r="K55" s="722">
        <f t="shared" si="10"/>
        <v>8100.3447000000006</v>
      </c>
      <c r="L55" s="722">
        <f t="shared" si="6"/>
        <v>293.49074999999999</v>
      </c>
      <c r="M55" s="722">
        <f t="shared" si="7"/>
        <v>12138.77742</v>
      </c>
      <c r="N55" s="722">
        <f t="shared" si="8"/>
        <v>79230.762869999991</v>
      </c>
      <c r="O55" s="690"/>
      <c r="P55" s="690"/>
    </row>
    <row r="56" spans="1:16" x14ac:dyDescent="0.25">
      <c r="A56" s="716" t="s">
        <v>931</v>
      </c>
      <c r="B56" s="704" t="s">
        <v>936</v>
      </c>
      <c r="C56" s="689">
        <v>50952.3</v>
      </c>
      <c r="D56" s="689">
        <f t="shared" si="11"/>
        <v>7031.4174000000012</v>
      </c>
      <c r="E56" s="705">
        <f t="shared" si="1"/>
        <v>254.76150000000001</v>
      </c>
      <c r="F56" s="689">
        <f t="shared" si="2"/>
        <v>10536.935640000002</v>
      </c>
      <c r="G56" s="706">
        <f t="shared" si="3"/>
        <v>68775.414539999998</v>
      </c>
      <c r="H56" s="721">
        <f t="shared" si="4"/>
        <v>50952.3</v>
      </c>
      <c r="I56" s="722">
        <v>7745.85</v>
      </c>
      <c r="J56" s="722">
        <f t="shared" si="5"/>
        <v>58698.15</v>
      </c>
      <c r="K56" s="722">
        <f t="shared" si="10"/>
        <v>8100.3447000000006</v>
      </c>
      <c r="L56" s="722">
        <f t="shared" si="6"/>
        <v>293.49074999999999</v>
      </c>
      <c r="M56" s="722">
        <f t="shared" si="7"/>
        <v>12138.77742</v>
      </c>
      <c r="N56" s="722">
        <f t="shared" si="8"/>
        <v>79230.762869999991</v>
      </c>
      <c r="O56" s="690"/>
      <c r="P56" s="690"/>
    </row>
    <row r="57" spans="1:16" x14ac:dyDescent="0.25">
      <c r="A57" s="716" t="s">
        <v>931</v>
      </c>
      <c r="B57" s="704" t="s">
        <v>937</v>
      </c>
      <c r="C57" s="689">
        <v>57349.950000000004</v>
      </c>
      <c r="D57" s="689">
        <f t="shared" si="11"/>
        <v>7914.2931000000017</v>
      </c>
      <c r="E57" s="705">
        <f t="shared" si="1"/>
        <v>286.74975000000001</v>
      </c>
      <c r="F57" s="689">
        <f t="shared" si="2"/>
        <v>11859.969660000002</v>
      </c>
      <c r="G57" s="706">
        <f t="shared" si="3"/>
        <v>77410.962510000012</v>
      </c>
      <c r="H57" s="721">
        <f t="shared" si="4"/>
        <v>57349.950000000004</v>
      </c>
      <c r="I57" s="722">
        <v>7745.85</v>
      </c>
      <c r="J57" s="722">
        <f t="shared" si="5"/>
        <v>65095.8</v>
      </c>
      <c r="K57" s="722">
        <f t="shared" si="10"/>
        <v>8983.220400000002</v>
      </c>
      <c r="L57" s="722">
        <f t="shared" si="6"/>
        <v>325.47900000000004</v>
      </c>
      <c r="M57" s="722">
        <f t="shared" si="7"/>
        <v>13461.811440000001</v>
      </c>
      <c r="N57" s="722">
        <f t="shared" si="8"/>
        <v>87866.31084000002</v>
      </c>
      <c r="O57" s="690"/>
      <c r="P57" s="690"/>
    </row>
    <row r="58" spans="1:16" x14ac:dyDescent="0.25">
      <c r="A58" s="716" t="s">
        <v>938</v>
      </c>
      <c r="B58" s="704" t="s">
        <v>939</v>
      </c>
      <c r="C58" s="689">
        <v>58972.200000000004</v>
      </c>
      <c r="D58" s="689">
        <f t="shared" si="11"/>
        <v>8138.1636000000017</v>
      </c>
      <c r="E58" s="705">
        <f t="shared" si="1"/>
        <v>294.86100000000005</v>
      </c>
      <c r="F58" s="689">
        <f t="shared" si="2"/>
        <v>12195.450960000002</v>
      </c>
      <c r="G58" s="706">
        <f t="shared" si="3"/>
        <v>79600.675560000018</v>
      </c>
      <c r="H58" s="721">
        <f t="shared" si="4"/>
        <v>58972.200000000004</v>
      </c>
      <c r="I58" s="722">
        <v>7745.85</v>
      </c>
      <c r="J58" s="722">
        <f t="shared" si="5"/>
        <v>66718.05</v>
      </c>
      <c r="K58" s="722">
        <f t="shared" si="10"/>
        <v>9207.0909000000011</v>
      </c>
      <c r="L58" s="722">
        <f t="shared" si="6"/>
        <v>333.59025000000003</v>
      </c>
      <c r="M58" s="722">
        <f t="shared" si="7"/>
        <v>13797.292740000001</v>
      </c>
      <c r="N58" s="722">
        <f t="shared" si="8"/>
        <v>90056.023889999997</v>
      </c>
      <c r="O58" s="690"/>
      <c r="P58" s="690"/>
    </row>
    <row r="59" spans="1:16" x14ac:dyDescent="0.25">
      <c r="A59" s="716" t="s">
        <v>938</v>
      </c>
      <c r="B59" s="704" t="s">
        <v>940</v>
      </c>
      <c r="C59" s="689">
        <v>58972.200000000004</v>
      </c>
      <c r="D59" s="689">
        <f t="shared" si="11"/>
        <v>8138.1636000000017</v>
      </c>
      <c r="E59" s="705">
        <f t="shared" si="1"/>
        <v>294.86100000000005</v>
      </c>
      <c r="F59" s="689">
        <f t="shared" si="2"/>
        <v>12195.450960000002</v>
      </c>
      <c r="G59" s="706">
        <f t="shared" si="3"/>
        <v>79600.675560000018</v>
      </c>
      <c r="H59" s="721">
        <f t="shared" si="4"/>
        <v>58972.200000000004</v>
      </c>
      <c r="I59" s="722">
        <v>7745.85</v>
      </c>
      <c r="J59" s="722">
        <f t="shared" si="5"/>
        <v>66718.05</v>
      </c>
      <c r="K59" s="722">
        <f t="shared" si="10"/>
        <v>9207.0909000000011</v>
      </c>
      <c r="L59" s="722">
        <f t="shared" si="6"/>
        <v>333.59025000000003</v>
      </c>
      <c r="M59" s="722">
        <f t="shared" si="7"/>
        <v>13797.292740000001</v>
      </c>
      <c r="N59" s="722">
        <f t="shared" si="8"/>
        <v>90056.023889999997</v>
      </c>
      <c r="O59" s="690"/>
      <c r="P59" s="690"/>
    </row>
    <row r="60" spans="1:16" x14ac:dyDescent="0.25">
      <c r="A60" s="716" t="s">
        <v>938</v>
      </c>
      <c r="B60" s="704" t="s">
        <v>941</v>
      </c>
      <c r="C60" s="689">
        <v>58972.200000000004</v>
      </c>
      <c r="D60" s="689">
        <f t="shared" si="11"/>
        <v>8138.1636000000017</v>
      </c>
      <c r="E60" s="705">
        <f t="shared" si="1"/>
        <v>294.86100000000005</v>
      </c>
      <c r="F60" s="689">
        <f t="shared" si="2"/>
        <v>12195.450960000002</v>
      </c>
      <c r="G60" s="706">
        <f t="shared" si="3"/>
        <v>79600.675560000018</v>
      </c>
      <c r="H60" s="721">
        <f t="shared" si="4"/>
        <v>58972.200000000004</v>
      </c>
      <c r="I60" s="722">
        <v>7745.85</v>
      </c>
      <c r="J60" s="722">
        <f t="shared" si="5"/>
        <v>66718.05</v>
      </c>
      <c r="K60" s="722">
        <f t="shared" si="10"/>
        <v>9207.0909000000011</v>
      </c>
      <c r="L60" s="722">
        <f t="shared" si="6"/>
        <v>333.59025000000003</v>
      </c>
      <c r="M60" s="722">
        <f t="shared" si="7"/>
        <v>13797.292740000001</v>
      </c>
      <c r="N60" s="722">
        <f t="shared" si="8"/>
        <v>90056.023889999997</v>
      </c>
      <c r="O60" s="690"/>
      <c r="P60" s="690"/>
    </row>
    <row r="61" spans="1:16" x14ac:dyDescent="0.25">
      <c r="A61" s="716" t="s">
        <v>938</v>
      </c>
      <c r="B61" s="704" t="s">
        <v>942</v>
      </c>
      <c r="C61" s="689">
        <v>58972.200000000004</v>
      </c>
      <c r="D61" s="689">
        <f t="shared" si="11"/>
        <v>8138.1636000000017</v>
      </c>
      <c r="E61" s="705">
        <f t="shared" si="1"/>
        <v>294.86100000000005</v>
      </c>
      <c r="F61" s="689">
        <f t="shared" si="2"/>
        <v>12195.450960000002</v>
      </c>
      <c r="G61" s="706">
        <f t="shared" si="3"/>
        <v>79600.675560000018</v>
      </c>
      <c r="H61" s="721">
        <f t="shared" si="4"/>
        <v>58972.200000000004</v>
      </c>
      <c r="I61" s="722">
        <v>7745.85</v>
      </c>
      <c r="J61" s="722">
        <f t="shared" si="5"/>
        <v>66718.05</v>
      </c>
      <c r="K61" s="722">
        <f t="shared" si="10"/>
        <v>9207.0909000000011</v>
      </c>
      <c r="L61" s="722">
        <f t="shared" si="6"/>
        <v>333.59025000000003</v>
      </c>
      <c r="M61" s="722">
        <f t="shared" si="7"/>
        <v>13797.292740000001</v>
      </c>
      <c r="N61" s="722">
        <f t="shared" si="8"/>
        <v>90056.023889999997</v>
      </c>
      <c r="O61" s="690"/>
      <c r="P61" s="690"/>
    </row>
    <row r="62" spans="1:16" x14ac:dyDescent="0.25">
      <c r="A62" s="716" t="s">
        <v>938</v>
      </c>
      <c r="B62" s="704" t="s">
        <v>943</v>
      </c>
      <c r="C62" s="689">
        <v>58972.200000000004</v>
      </c>
      <c r="D62" s="689">
        <f t="shared" si="11"/>
        <v>8138.1636000000017</v>
      </c>
      <c r="E62" s="705">
        <f t="shared" si="1"/>
        <v>294.86100000000005</v>
      </c>
      <c r="F62" s="689">
        <f t="shared" si="2"/>
        <v>12195.450960000002</v>
      </c>
      <c r="G62" s="706">
        <f t="shared" si="3"/>
        <v>79600.675560000018</v>
      </c>
      <c r="H62" s="721">
        <f t="shared" si="4"/>
        <v>58972.200000000004</v>
      </c>
      <c r="I62" s="722">
        <v>7745.85</v>
      </c>
      <c r="J62" s="722">
        <f t="shared" si="5"/>
        <v>66718.05</v>
      </c>
      <c r="K62" s="722">
        <f t="shared" si="10"/>
        <v>9207.0909000000011</v>
      </c>
      <c r="L62" s="722">
        <f t="shared" si="6"/>
        <v>333.59025000000003</v>
      </c>
      <c r="M62" s="722">
        <f t="shared" si="7"/>
        <v>13797.292740000001</v>
      </c>
      <c r="N62" s="722">
        <f t="shared" si="8"/>
        <v>90056.023889999997</v>
      </c>
      <c r="O62" s="690"/>
      <c r="P62" s="690"/>
    </row>
    <row r="63" spans="1:16" x14ac:dyDescent="0.25">
      <c r="A63" s="716" t="s">
        <v>938</v>
      </c>
      <c r="B63" s="704" t="s">
        <v>944</v>
      </c>
      <c r="C63" s="689">
        <v>68525.100000000006</v>
      </c>
      <c r="D63" s="689">
        <f t="shared" si="11"/>
        <v>9456.4638000000014</v>
      </c>
      <c r="E63" s="705">
        <f t="shared" si="1"/>
        <v>342.62550000000005</v>
      </c>
      <c r="F63" s="689">
        <f t="shared" si="2"/>
        <v>14170.990680000003</v>
      </c>
      <c r="G63" s="706">
        <f t="shared" si="3"/>
        <v>92495.179980000001</v>
      </c>
      <c r="H63" s="721">
        <f t="shared" si="4"/>
        <v>68525.100000000006</v>
      </c>
      <c r="I63" s="722">
        <v>7745.85</v>
      </c>
      <c r="J63" s="722">
        <f t="shared" si="5"/>
        <v>76270.950000000012</v>
      </c>
      <c r="K63" s="722">
        <f t="shared" si="10"/>
        <v>10525.391100000003</v>
      </c>
      <c r="L63" s="722">
        <f t="shared" si="6"/>
        <v>381.35475000000008</v>
      </c>
      <c r="M63" s="722">
        <f t="shared" si="7"/>
        <v>15772.832460000003</v>
      </c>
      <c r="N63" s="722">
        <f t="shared" si="8"/>
        <v>102950.52831000002</v>
      </c>
      <c r="O63" s="690"/>
      <c r="P63" s="690"/>
    </row>
    <row r="64" spans="1:16" x14ac:dyDescent="0.25">
      <c r="A64" s="716" t="s">
        <v>945</v>
      </c>
      <c r="B64" s="704" t="s">
        <v>946</v>
      </c>
      <c r="C64" s="689">
        <v>70417.2</v>
      </c>
      <c r="D64" s="689">
        <f t="shared" si="11"/>
        <v>9717.5735999999997</v>
      </c>
      <c r="E64" s="705">
        <f t="shared" si="1"/>
        <v>352.08600000000001</v>
      </c>
      <c r="F64" s="689">
        <f t="shared" si="2"/>
        <v>14562.276960000001</v>
      </c>
      <c r="G64" s="706">
        <f t="shared" si="3"/>
        <v>95049.136559999999</v>
      </c>
      <c r="H64" s="721">
        <f t="shared" si="4"/>
        <v>70417.2</v>
      </c>
      <c r="I64" s="722">
        <v>7745.85</v>
      </c>
      <c r="J64" s="722">
        <f t="shared" si="5"/>
        <v>78163.05</v>
      </c>
      <c r="K64" s="722">
        <f t="shared" si="10"/>
        <v>10786.500900000001</v>
      </c>
      <c r="L64" s="722">
        <f t="shared" si="6"/>
        <v>390.81525000000005</v>
      </c>
      <c r="M64" s="722">
        <f t="shared" si="7"/>
        <v>16164.118740000002</v>
      </c>
      <c r="N64" s="722">
        <f t="shared" si="8"/>
        <v>105504.48489000001</v>
      </c>
      <c r="O64" s="690"/>
      <c r="P64" s="690"/>
    </row>
    <row r="65" spans="1:16" x14ac:dyDescent="0.25">
      <c r="A65" s="716" t="s">
        <v>945</v>
      </c>
      <c r="B65" s="704" t="s">
        <v>947</v>
      </c>
      <c r="C65" s="689">
        <v>70417.2</v>
      </c>
      <c r="D65" s="689">
        <f t="shared" si="11"/>
        <v>9717.5735999999997</v>
      </c>
      <c r="E65" s="705">
        <f t="shared" si="1"/>
        <v>352.08600000000001</v>
      </c>
      <c r="F65" s="689">
        <f t="shared" si="2"/>
        <v>14562.276960000001</v>
      </c>
      <c r="G65" s="706">
        <f t="shared" si="3"/>
        <v>95049.136559999999</v>
      </c>
      <c r="H65" s="721">
        <f t="shared" si="4"/>
        <v>70417.2</v>
      </c>
      <c r="I65" s="722">
        <v>7745.85</v>
      </c>
      <c r="J65" s="722">
        <f t="shared" si="5"/>
        <v>78163.05</v>
      </c>
      <c r="K65" s="722">
        <f t="shared" si="10"/>
        <v>10786.500900000001</v>
      </c>
      <c r="L65" s="722">
        <f t="shared" si="6"/>
        <v>390.81525000000005</v>
      </c>
      <c r="M65" s="722">
        <f t="shared" si="7"/>
        <v>16164.118740000002</v>
      </c>
      <c r="N65" s="722">
        <f t="shared" si="8"/>
        <v>105504.48489000001</v>
      </c>
      <c r="O65" s="690"/>
      <c r="P65" s="690"/>
    </row>
    <row r="66" spans="1:16" x14ac:dyDescent="0.25">
      <c r="A66" s="716" t="s">
        <v>945</v>
      </c>
      <c r="B66" s="704" t="s">
        <v>948</v>
      </c>
      <c r="C66" s="689">
        <v>70417.2</v>
      </c>
      <c r="D66" s="689">
        <f t="shared" si="11"/>
        <v>9717.5735999999997</v>
      </c>
      <c r="E66" s="705">
        <f t="shared" si="1"/>
        <v>352.08600000000001</v>
      </c>
      <c r="F66" s="689">
        <f t="shared" si="2"/>
        <v>14562.276960000001</v>
      </c>
      <c r="G66" s="706">
        <f t="shared" si="3"/>
        <v>95049.136559999999</v>
      </c>
      <c r="H66" s="721">
        <f t="shared" si="4"/>
        <v>70417.2</v>
      </c>
      <c r="I66" s="722">
        <v>7745.85</v>
      </c>
      <c r="J66" s="722">
        <f t="shared" si="5"/>
        <v>78163.05</v>
      </c>
      <c r="K66" s="722">
        <f t="shared" si="10"/>
        <v>10786.500900000001</v>
      </c>
      <c r="L66" s="722">
        <f t="shared" si="6"/>
        <v>390.81525000000005</v>
      </c>
      <c r="M66" s="722">
        <f t="shared" si="7"/>
        <v>16164.118740000002</v>
      </c>
      <c r="N66" s="722">
        <f t="shared" si="8"/>
        <v>105504.48489000001</v>
      </c>
      <c r="O66" s="690"/>
      <c r="P66" s="690"/>
    </row>
    <row r="67" spans="1:16" x14ac:dyDescent="0.25">
      <c r="A67" s="716" t="s">
        <v>945</v>
      </c>
      <c r="B67" s="704" t="s">
        <v>949</v>
      </c>
      <c r="C67" s="689">
        <v>70417.2</v>
      </c>
      <c r="D67" s="689">
        <f t="shared" si="11"/>
        <v>9717.5735999999997</v>
      </c>
      <c r="E67" s="705">
        <f t="shared" si="1"/>
        <v>352.08600000000001</v>
      </c>
      <c r="F67" s="689">
        <f t="shared" si="2"/>
        <v>14562.276960000001</v>
      </c>
      <c r="G67" s="706">
        <f t="shared" si="3"/>
        <v>95049.136559999999</v>
      </c>
      <c r="H67" s="721">
        <f t="shared" si="4"/>
        <v>70417.2</v>
      </c>
      <c r="I67" s="722">
        <v>7745.85</v>
      </c>
      <c r="J67" s="722">
        <f t="shared" si="5"/>
        <v>78163.05</v>
      </c>
      <c r="K67" s="722">
        <f t="shared" si="10"/>
        <v>10786.500900000001</v>
      </c>
      <c r="L67" s="722">
        <f t="shared" si="6"/>
        <v>390.81525000000005</v>
      </c>
      <c r="M67" s="722">
        <f t="shared" si="7"/>
        <v>16164.118740000002</v>
      </c>
      <c r="N67" s="722">
        <f t="shared" si="8"/>
        <v>105504.48489000001</v>
      </c>
      <c r="O67" s="690"/>
      <c r="P67" s="690"/>
    </row>
    <row r="68" spans="1:16" x14ac:dyDescent="0.25">
      <c r="A68" s="716" t="s">
        <v>945</v>
      </c>
      <c r="B68" s="704" t="s">
        <v>950</v>
      </c>
      <c r="C68" s="689">
        <v>70417.2</v>
      </c>
      <c r="D68" s="689">
        <f t="shared" si="11"/>
        <v>9717.5735999999997</v>
      </c>
      <c r="E68" s="705">
        <f t="shared" si="1"/>
        <v>352.08600000000001</v>
      </c>
      <c r="F68" s="689">
        <f t="shared" si="2"/>
        <v>14562.276960000001</v>
      </c>
      <c r="G68" s="706">
        <f t="shared" si="3"/>
        <v>95049.136559999999</v>
      </c>
      <c r="H68" s="721">
        <f t="shared" si="4"/>
        <v>70417.2</v>
      </c>
      <c r="I68" s="722">
        <v>7745.85</v>
      </c>
      <c r="J68" s="722">
        <f t="shared" si="5"/>
        <v>78163.05</v>
      </c>
      <c r="K68" s="722">
        <f t="shared" si="10"/>
        <v>10786.500900000001</v>
      </c>
      <c r="L68" s="722">
        <f t="shared" si="6"/>
        <v>390.81525000000005</v>
      </c>
      <c r="M68" s="722">
        <f t="shared" si="7"/>
        <v>16164.118740000002</v>
      </c>
      <c r="N68" s="722">
        <f t="shared" si="8"/>
        <v>105504.48489000001</v>
      </c>
      <c r="O68" s="690"/>
      <c r="P68" s="690"/>
    </row>
    <row r="69" spans="1:16" x14ac:dyDescent="0.25">
      <c r="A69" s="716" t="s">
        <v>945</v>
      </c>
      <c r="B69" s="704" t="s">
        <v>951</v>
      </c>
      <c r="C69" s="689">
        <v>81137.7</v>
      </c>
      <c r="D69" s="689">
        <f t="shared" ref="D69:D100" si="12">(C69-$B$109)*0.138</f>
        <v>11197.0026</v>
      </c>
      <c r="E69" s="705">
        <f t="shared" ref="E69:E100" si="13">C69*0.005</f>
        <v>405.68849999999998</v>
      </c>
      <c r="F69" s="689">
        <f t="shared" ref="F69:F100" si="14">C69*0.2068</f>
        <v>16779.27636</v>
      </c>
      <c r="G69" s="706">
        <f t="shared" ref="G69:G100" si="15">SUM(C69:F69)</f>
        <v>109519.66746</v>
      </c>
      <c r="H69" s="721">
        <f t="shared" ref="H69:H81" si="16">C69</f>
        <v>81137.7</v>
      </c>
      <c r="I69" s="722">
        <v>7745.85</v>
      </c>
      <c r="J69" s="722">
        <f t="shared" ref="J69:J81" si="17">C69+I69</f>
        <v>88883.55</v>
      </c>
      <c r="K69" s="722">
        <f t="shared" si="10"/>
        <v>12265.929900000001</v>
      </c>
      <c r="L69" s="722">
        <f t="shared" ref="L69:L81" si="18">J69*0.005</f>
        <v>444.41775000000001</v>
      </c>
      <c r="M69" s="722">
        <f t="shared" ref="M69:M81" si="19">J69*0.2068</f>
        <v>18381.118140000002</v>
      </c>
      <c r="N69" s="722">
        <f t="shared" ref="N69:N81" si="20">SUM(J69:M69)</f>
        <v>119975.01579</v>
      </c>
      <c r="O69" s="690"/>
      <c r="P69" s="690"/>
    </row>
    <row r="70" spans="1:16" x14ac:dyDescent="0.25">
      <c r="A70" s="716" t="s">
        <v>952</v>
      </c>
      <c r="B70" s="704" t="s">
        <v>953</v>
      </c>
      <c r="C70" s="689">
        <v>83571.600000000006</v>
      </c>
      <c r="D70" s="689">
        <f t="shared" si="12"/>
        <v>11532.880800000003</v>
      </c>
      <c r="E70" s="705">
        <f t="shared" si="13"/>
        <v>417.85800000000006</v>
      </c>
      <c r="F70" s="689">
        <f t="shared" si="14"/>
        <v>17282.606880000003</v>
      </c>
      <c r="G70" s="706">
        <f t="shared" si="15"/>
        <v>112804.94568</v>
      </c>
      <c r="H70" s="721">
        <f t="shared" si="16"/>
        <v>83571.600000000006</v>
      </c>
      <c r="I70" s="722">
        <v>7745.85</v>
      </c>
      <c r="J70" s="722">
        <f t="shared" si="17"/>
        <v>91317.450000000012</v>
      </c>
      <c r="K70" s="722">
        <f t="shared" ref="K70:K81" si="21">(J70-$B$109)*0.138</f>
        <v>12601.808100000002</v>
      </c>
      <c r="L70" s="722">
        <f t="shared" si="18"/>
        <v>456.58725000000004</v>
      </c>
      <c r="M70" s="722">
        <f t="shared" si="19"/>
        <v>18884.448660000002</v>
      </c>
      <c r="N70" s="722">
        <f t="shared" si="20"/>
        <v>123260.29401000001</v>
      </c>
      <c r="O70" s="690"/>
      <c r="P70" s="690"/>
    </row>
    <row r="71" spans="1:16" x14ac:dyDescent="0.25">
      <c r="A71" s="716" t="s">
        <v>952</v>
      </c>
      <c r="B71" s="704" t="s">
        <v>954</v>
      </c>
      <c r="C71" s="689">
        <v>83571.600000000006</v>
      </c>
      <c r="D71" s="689">
        <f t="shared" si="12"/>
        <v>11532.880800000003</v>
      </c>
      <c r="E71" s="705">
        <f t="shared" si="13"/>
        <v>417.85800000000006</v>
      </c>
      <c r="F71" s="689">
        <f t="shared" si="14"/>
        <v>17282.606880000003</v>
      </c>
      <c r="G71" s="706">
        <f t="shared" si="15"/>
        <v>112804.94568</v>
      </c>
      <c r="H71" s="721">
        <f t="shared" si="16"/>
        <v>83571.600000000006</v>
      </c>
      <c r="I71" s="722">
        <v>7745.85</v>
      </c>
      <c r="J71" s="722">
        <f t="shared" si="17"/>
        <v>91317.450000000012</v>
      </c>
      <c r="K71" s="722">
        <f t="shared" si="21"/>
        <v>12601.808100000002</v>
      </c>
      <c r="L71" s="722">
        <f t="shared" si="18"/>
        <v>456.58725000000004</v>
      </c>
      <c r="M71" s="722">
        <f t="shared" si="19"/>
        <v>18884.448660000002</v>
      </c>
      <c r="N71" s="722">
        <f t="shared" si="20"/>
        <v>123260.29401000001</v>
      </c>
      <c r="O71" s="690"/>
      <c r="P71" s="690"/>
    </row>
    <row r="72" spans="1:16" x14ac:dyDescent="0.25">
      <c r="A72" s="716" t="s">
        <v>952</v>
      </c>
      <c r="B72" s="704" t="s">
        <v>955</v>
      </c>
      <c r="C72" s="689">
        <v>83571.600000000006</v>
      </c>
      <c r="D72" s="689">
        <f t="shared" si="12"/>
        <v>11532.880800000003</v>
      </c>
      <c r="E72" s="705">
        <f t="shared" si="13"/>
        <v>417.85800000000006</v>
      </c>
      <c r="F72" s="689">
        <f t="shared" si="14"/>
        <v>17282.606880000003</v>
      </c>
      <c r="G72" s="706">
        <f t="shared" si="15"/>
        <v>112804.94568</v>
      </c>
      <c r="H72" s="721">
        <f t="shared" si="16"/>
        <v>83571.600000000006</v>
      </c>
      <c r="I72" s="722">
        <v>7745.85</v>
      </c>
      <c r="J72" s="722">
        <f t="shared" si="17"/>
        <v>91317.450000000012</v>
      </c>
      <c r="K72" s="722">
        <f t="shared" si="21"/>
        <v>12601.808100000002</v>
      </c>
      <c r="L72" s="722">
        <f t="shared" si="18"/>
        <v>456.58725000000004</v>
      </c>
      <c r="M72" s="722">
        <f t="shared" si="19"/>
        <v>18884.448660000002</v>
      </c>
      <c r="N72" s="722">
        <f t="shared" si="20"/>
        <v>123260.29401000001</v>
      </c>
      <c r="O72" s="690"/>
      <c r="P72" s="690"/>
    </row>
    <row r="73" spans="1:16" x14ac:dyDescent="0.25">
      <c r="A73" s="716" t="s">
        <v>952</v>
      </c>
      <c r="B73" s="704" t="s">
        <v>956</v>
      </c>
      <c r="C73" s="689">
        <v>83571.600000000006</v>
      </c>
      <c r="D73" s="689">
        <f t="shared" si="12"/>
        <v>11532.880800000003</v>
      </c>
      <c r="E73" s="705">
        <f t="shared" si="13"/>
        <v>417.85800000000006</v>
      </c>
      <c r="F73" s="689">
        <f t="shared" si="14"/>
        <v>17282.606880000003</v>
      </c>
      <c r="G73" s="706">
        <f t="shared" si="15"/>
        <v>112804.94568</v>
      </c>
      <c r="H73" s="721">
        <f t="shared" si="16"/>
        <v>83571.600000000006</v>
      </c>
      <c r="I73" s="722">
        <v>7745.85</v>
      </c>
      <c r="J73" s="722">
        <f t="shared" si="17"/>
        <v>91317.450000000012</v>
      </c>
      <c r="K73" s="722">
        <f t="shared" si="21"/>
        <v>12601.808100000002</v>
      </c>
      <c r="L73" s="722">
        <f t="shared" si="18"/>
        <v>456.58725000000004</v>
      </c>
      <c r="M73" s="722">
        <f t="shared" si="19"/>
        <v>18884.448660000002</v>
      </c>
      <c r="N73" s="722">
        <f t="shared" si="20"/>
        <v>123260.29401000001</v>
      </c>
      <c r="O73" s="690"/>
      <c r="P73" s="690"/>
    </row>
    <row r="74" spans="1:16" x14ac:dyDescent="0.25">
      <c r="A74" s="716" t="s">
        <v>952</v>
      </c>
      <c r="B74" s="704" t="s">
        <v>957</v>
      </c>
      <c r="C74" s="689">
        <v>83571.600000000006</v>
      </c>
      <c r="D74" s="689">
        <f t="shared" si="12"/>
        <v>11532.880800000003</v>
      </c>
      <c r="E74" s="705">
        <f t="shared" si="13"/>
        <v>417.85800000000006</v>
      </c>
      <c r="F74" s="689">
        <f t="shared" si="14"/>
        <v>17282.606880000003</v>
      </c>
      <c r="G74" s="706">
        <f t="shared" si="15"/>
        <v>112804.94568</v>
      </c>
      <c r="H74" s="721">
        <f t="shared" si="16"/>
        <v>83571.600000000006</v>
      </c>
      <c r="I74" s="722">
        <v>7745.85</v>
      </c>
      <c r="J74" s="722">
        <f t="shared" si="17"/>
        <v>91317.450000000012</v>
      </c>
      <c r="K74" s="722">
        <f t="shared" si="21"/>
        <v>12601.808100000002</v>
      </c>
      <c r="L74" s="722">
        <f t="shared" si="18"/>
        <v>456.58725000000004</v>
      </c>
      <c r="M74" s="722">
        <f t="shared" si="19"/>
        <v>18884.448660000002</v>
      </c>
      <c r="N74" s="722">
        <f t="shared" si="20"/>
        <v>123260.29401000001</v>
      </c>
      <c r="O74" s="690"/>
      <c r="P74" s="690"/>
    </row>
    <row r="75" spans="1:16" x14ac:dyDescent="0.25">
      <c r="A75" s="716" t="s">
        <v>952</v>
      </c>
      <c r="B75" s="704" t="s">
        <v>958</v>
      </c>
      <c r="C75" s="689">
        <v>96376.35</v>
      </c>
      <c r="D75" s="689">
        <f t="shared" si="12"/>
        <v>13299.936300000001</v>
      </c>
      <c r="E75" s="705">
        <f t="shared" si="13"/>
        <v>481.88175000000001</v>
      </c>
      <c r="F75" s="689">
        <f t="shared" si="14"/>
        <v>19930.629180000004</v>
      </c>
      <c r="G75" s="706">
        <f t="shared" si="15"/>
        <v>130088.79723000001</v>
      </c>
      <c r="H75" s="721">
        <f t="shared" si="16"/>
        <v>96376.35</v>
      </c>
      <c r="I75" s="722">
        <v>7745.85</v>
      </c>
      <c r="J75" s="722">
        <f t="shared" si="17"/>
        <v>104122.20000000001</v>
      </c>
      <c r="K75" s="722">
        <f t="shared" si="21"/>
        <v>14368.863600000002</v>
      </c>
      <c r="L75" s="722">
        <f t="shared" si="18"/>
        <v>520.6110000000001</v>
      </c>
      <c r="M75" s="722">
        <f t="shared" si="19"/>
        <v>21532.470960000002</v>
      </c>
      <c r="N75" s="722">
        <f t="shared" si="20"/>
        <v>140544.14556</v>
      </c>
      <c r="O75" s="690"/>
      <c r="P75" s="690"/>
    </row>
    <row r="76" spans="1:16" x14ac:dyDescent="0.25">
      <c r="A76" s="716">
        <v>9</v>
      </c>
      <c r="B76" s="704" t="s">
        <v>959</v>
      </c>
      <c r="C76" s="689">
        <v>99891.75</v>
      </c>
      <c r="D76" s="689">
        <f t="shared" si="12"/>
        <v>13785.061500000002</v>
      </c>
      <c r="E76" s="705">
        <f t="shared" si="13"/>
        <v>499.45875000000001</v>
      </c>
      <c r="F76" s="689">
        <f t="shared" si="14"/>
        <v>20657.6139</v>
      </c>
      <c r="G76" s="706">
        <f t="shared" si="15"/>
        <v>134833.88415</v>
      </c>
      <c r="H76" s="721">
        <f t="shared" si="16"/>
        <v>99891.75</v>
      </c>
      <c r="I76" s="722">
        <v>7745.85</v>
      </c>
      <c r="J76" s="722">
        <f t="shared" si="17"/>
        <v>107637.6</v>
      </c>
      <c r="K76" s="722">
        <f t="shared" si="21"/>
        <v>14853.988800000003</v>
      </c>
      <c r="L76" s="722">
        <f t="shared" si="18"/>
        <v>538.18799999999999</v>
      </c>
      <c r="M76" s="722">
        <f t="shared" si="19"/>
        <v>22259.455680000003</v>
      </c>
      <c r="N76" s="722">
        <f t="shared" si="20"/>
        <v>145289.23248000001</v>
      </c>
      <c r="O76" s="690"/>
      <c r="P76" s="690"/>
    </row>
    <row r="77" spans="1:16" x14ac:dyDescent="0.25">
      <c r="A77" s="716">
        <v>9</v>
      </c>
      <c r="B77" s="704" t="s">
        <v>960</v>
      </c>
      <c r="C77" s="689">
        <v>99891.75</v>
      </c>
      <c r="D77" s="689">
        <f t="shared" si="12"/>
        <v>13785.061500000002</v>
      </c>
      <c r="E77" s="705">
        <f t="shared" si="13"/>
        <v>499.45875000000001</v>
      </c>
      <c r="F77" s="689">
        <f t="shared" si="14"/>
        <v>20657.6139</v>
      </c>
      <c r="G77" s="706">
        <f t="shared" si="15"/>
        <v>134833.88415</v>
      </c>
      <c r="H77" s="721">
        <f t="shared" si="16"/>
        <v>99891.75</v>
      </c>
      <c r="I77" s="722">
        <v>7745.85</v>
      </c>
      <c r="J77" s="722">
        <f t="shared" si="17"/>
        <v>107637.6</v>
      </c>
      <c r="K77" s="722">
        <f t="shared" si="21"/>
        <v>14853.988800000003</v>
      </c>
      <c r="L77" s="722">
        <f t="shared" si="18"/>
        <v>538.18799999999999</v>
      </c>
      <c r="M77" s="722">
        <f t="shared" si="19"/>
        <v>22259.455680000003</v>
      </c>
      <c r="N77" s="722">
        <f t="shared" si="20"/>
        <v>145289.23248000001</v>
      </c>
      <c r="O77" s="690"/>
      <c r="P77" s="690"/>
    </row>
    <row r="78" spans="1:16" x14ac:dyDescent="0.25">
      <c r="A78" s="716">
        <v>9</v>
      </c>
      <c r="B78" s="704" t="s">
        <v>961</v>
      </c>
      <c r="C78" s="689">
        <v>99891.75</v>
      </c>
      <c r="D78" s="689">
        <f t="shared" si="12"/>
        <v>13785.061500000002</v>
      </c>
      <c r="E78" s="705">
        <f t="shared" si="13"/>
        <v>499.45875000000001</v>
      </c>
      <c r="F78" s="689">
        <f t="shared" si="14"/>
        <v>20657.6139</v>
      </c>
      <c r="G78" s="706">
        <f t="shared" si="15"/>
        <v>134833.88415</v>
      </c>
      <c r="H78" s="721">
        <f t="shared" si="16"/>
        <v>99891.75</v>
      </c>
      <c r="I78" s="722">
        <v>7745.85</v>
      </c>
      <c r="J78" s="722">
        <f t="shared" si="17"/>
        <v>107637.6</v>
      </c>
      <c r="K78" s="722">
        <f t="shared" si="21"/>
        <v>14853.988800000003</v>
      </c>
      <c r="L78" s="722">
        <f t="shared" si="18"/>
        <v>538.18799999999999</v>
      </c>
      <c r="M78" s="722">
        <f t="shared" si="19"/>
        <v>22259.455680000003</v>
      </c>
      <c r="N78" s="722">
        <f t="shared" si="20"/>
        <v>145289.23248000001</v>
      </c>
      <c r="O78" s="690"/>
      <c r="P78" s="690"/>
    </row>
    <row r="79" spans="1:16" x14ac:dyDescent="0.25">
      <c r="A79" s="716">
        <v>9</v>
      </c>
      <c r="B79" s="704" t="s">
        <v>962</v>
      </c>
      <c r="C79" s="689">
        <v>99891.75</v>
      </c>
      <c r="D79" s="689">
        <f t="shared" si="12"/>
        <v>13785.061500000002</v>
      </c>
      <c r="E79" s="705">
        <f t="shared" si="13"/>
        <v>499.45875000000001</v>
      </c>
      <c r="F79" s="689">
        <f t="shared" si="14"/>
        <v>20657.6139</v>
      </c>
      <c r="G79" s="706">
        <f t="shared" si="15"/>
        <v>134833.88415</v>
      </c>
      <c r="H79" s="721">
        <f t="shared" si="16"/>
        <v>99891.75</v>
      </c>
      <c r="I79" s="722">
        <v>7745.85</v>
      </c>
      <c r="J79" s="722">
        <f t="shared" si="17"/>
        <v>107637.6</v>
      </c>
      <c r="K79" s="722">
        <f t="shared" si="21"/>
        <v>14853.988800000003</v>
      </c>
      <c r="L79" s="722">
        <f t="shared" si="18"/>
        <v>538.18799999999999</v>
      </c>
      <c r="M79" s="722">
        <f t="shared" si="19"/>
        <v>22259.455680000003</v>
      </c>
      <c r="N79" s="722">
        <f t="shared" si="20"/>
        <v>145289.23248000001</v>
      </c>
      <c r="O79" s="690"/>
    </row>
    <row r="80" spans="1:16" x14ac:dyDescent="0.25">
      <c r="A80" s="716">
        <v>9</v>
      </c>
      <c r="B80" s="704" t="s">
        <v>963</v>
      </c>
      <c r="C80" s="689">
        <v>99891.75</v>
      </c>
      <c r="D80" s="689">
        <f t="shared" si="12"/>
        <v>13785.061500000002</v>
      </c>
      <c r="E80" s="705">
        <f t="shared" si="13"/>
        <v>499.45875000000001</v>
      </c>
      <c r="F80" s="689">
        <f t="shared" si="14"/>
        <v>20657.6139</v>
      </c>
      <c r="G80" s="706">
        <f t="shared" si="15"/>
        <v>134833.88415</v>
      </c>
      <c r="H80" s="721">
        <f t="shared" si="16"/>
        <v>99891.75</v>
      </c>
      <c r="I80" s="722">
        <v>7745.85</v>
      </c>
      <c r="J80" s="722">
        <f t="shared" si="17"/>
        <v>107637.6</v>
      </c>
      <c r="K80" s="722">
        <f t="shared" si="21"/>
        <v>14853.988800000003</v>
      </c>
      <c r="L80" s="722">
        <f t="shared" si="18"/>
        <v>538.18799999999999</v>
      </c>
      <c r="M80" s="722">
        <f t="shared" si="19"/>
        <v>22259.455680000003</v>
      </c>
      <c r="N80" s="722">
        <f t="shared" si="20"/>
        <v>145289.23248000001</v>
      </c>
      <c r="O80" s="690"/>
    </row>
    <row r="81" spans="1:15" x14ac:dyDescent="0.25">
      <c r="A81" s="716">
        <v>9</v>
      </c>
      <c r="B81" s="704" t="s">
        <v>964</v>
      </c>
      <c r="C81" s="689">
        <v>114948.75</v>
      </c>
      <c r="D81" s="689">
        <f t="shared" si="12"/>
        <v>15862.927500000002</v>
      </c>
      <c r="E81" s="705">
        <f t="shared" si="13"/>
        <v>574.74374999999998</v>
      </c>
      <c r="F81" s="689">
        <f t="shared" si="14"/>
        <v>23771.4015</v>
      </c>
      <c r="G81" s="706">
        <f t="shared" si="15"/>
        <v>155157.82275000002</v>
      </c>
      <c r="H81" s="721">
        <f t="shared" si="16"/>
        <v>114948.75</v>
      </c>
      <c r="I81" s="722">
        <v>7745.85</v>
      </c>
      <c r="J81" s="722">
        <f t="shared" si="17"/>
        <v>122694.6</v>
      </c>
      <c r="K81" s="722">
        <f t="shared" si="21"/>
        <v>16931.854800000001</v>
      </c>
      <c r="L81" s="722">
        <f t="shared" si="18"/>
        <v>613.47300000000007</v>
      </c>
      <c r="M81" s="722">
        <f t="shared" si="19"/>
        <v>25373.243280000002</v>
      </c>
      <c r="N81" s="722">
        <f t="shared" si="20"/>
        <v>165613.17108</v>
      </c>
      <c r="O81" s="690"/>
    </row>
    <row r="82" spans="1:15" x14ac:dyDescent="0.25">
      <c r="A82" s="716" t="s">
        <v>911</v>
      </c>
      <c r="B82" s="276">
        <v>1</v>
      </c>
      <c r="C82" s="689">
        <v>88364</v>
      </c>
      <c r="D82" s="689">
        <f t="shared" si="12"/>
        <v>12194.232000000002</v>
      </c>
      <c r="E82" s="503">
        <f t="shared" si="13"/>
        <v>441.82</v>
      </c>
      <c r="F82" s="689">
        <f t="shared" si="14"/>
        <v>18273.675200000001</v>
      </c>
      <c r="G82" s="706">
        <f t="shared" si="15"/>
        <v>119273.72720000001</v>
      </c>
      <c r="H82" s="691"/>
    </row>
    <row r="83" spans="1:15" x14ac:dyDescent="0.25">
      <c r="A83" s="716" t="s">
        <v>911</v>
      </c>
      <c r="B83" s="276">
        <v>2</v>
      </c>
      <c r="C83" s="689">
        <v>91131</v>
      </c>
      <c r="D83" s="689">
        <f t="shared" si="12"/>
        <v>12576.078000000001</v>
      </c>
      <c r="E83" s="503">
        <f t="shared" si="13"/>
        <v>455.65500000000003</v>
      </c>
      <c r="F83" s="689">
        <f t="shared" si="14"/>
        <v>18845.890800000001</v>
      </c>
      <c r="G83" s="706">
        <f t="shared" si="15"/>
        <v>123008.6238</v>
      </c>
    </row>
    <row r="84" spans="1:15" x14ac:dyDescent="0.25">
      <c r="A84" s="716" t="s">
        <v>911</v>
      </c>
      <c r="B84" s="276">
        <v>3</v>
      </c>
      <c r="C84" s="689">
        <v>93898</v>
      </c>
      <c r="D84" s="689">
        <f t="shared" si="12"/>
        <v>12957.924000000001</v>
      </c>
      <c r="E84" s="503">
        <f t="shared" si="13"/>
        <v>469.49</v>
      </c>
      <c r="F84" s="689">
        <f t="shared" si="14"/>
        <v>19418.106400000001</v>
      </c>
      <c r="G84" s="706">
        <f t="shared" si="15"/>
        <v>126743.52040000001</v>
      </c>
    </row>
    <row r="85" spans="1:15" x14ac:dyDescent="0.25">
      <c r="A85" s="716" t="s">
        <v>911</v>
      </c>
      <c r="B85" s="276">
        <v>4</v>
      </c>
      <c r="C85" s="689">
        <v>96665</v>
      </c>
      <c r="D85" s="689">
        <f t="shared" si="12"/>
        <v>13339.77</v>
      </c>
      <c r="E85" s="503">
        <f t="shared" si="13"/>
        <v>483.32499999999999</v>
      </c>
      <c r="F85" s="689">
        <f t="shared" si="14"/>
        <v>19990.322</v>
      </c>
      <c r="G85" s="706">
        <f t="shared" si="15"/>
        <v>130478.417</v>
      </c>
    </row>
    <row r="86" spans="1:15" x14ac:dyDescent="0.25">
      <c r="A86" s="716" t="s">
        <v>911</v>
      </c>
      <c r="B86" s="276">
        <v>5</v>
      </c>
      <c r="C86" s="689">
        <v>99425</v>
      </c>
      <c r="D86" s="689">
        <f t="shared" si="12"/>
        <v>13720.650000000001</v>
      </c>
      <c r="E86" s="503">
        <f t="shared" si="13"/>
        <v>497.125</v>
      </c>
      <c r="F86" s="689">
        <f t="shared" si="14"/>
        <v>20561.09</v>
      </c>
      <c r="G86" s="706">
        <f t="shared" si="15"/>
        <v>134203.86499999999</v>
      </c>
    </row>
    <row r="87" spans="1:15" x14ac:dyDescent="0.25">
      <c r="A87" s="716" t="s">
        <v>911</v>
      </c>
      <c r="B87" s="276">
        <v>6</v>
      </c>
      <c r="C87" s="689">
        <v>99425</v>
      </c>
      <c r="D87" s="689">
        <f t="shared" si="12"/>
        <v>13720.650000000001</v>
      </c>
      <c r="E87" s="503">
        <f t="shared" si="13"/>
        <v>497.125</v>
      </c>
      <c r="F87" s="689">
        <f t="shared" si="14"/>
        <v>20561.09</v>
      </c>
      <c r="G87" s="706">
        <f t="shared" si="15"/>
        <v>134203.86499999999</v>
      </c>
    </row>
    <row r="88" spans="1:15" x14ac:dyDescent="0.25">
      <c r="A88" s="716" t="s">
        <v>911</v>
      </c>
      <c r="B88" s="276">
        <v>7</v>
      </c>
      <c r="C88" s="689">
        <v>99425</v>
      </c>
      <c r="D88" s="689">
        <f t="shared" si="12"/>
        <v>13720.650000000001</v>
      </c>
      <c r="E88" s="503">
        <f t="shared" si="13"/>
        <v>497.125</v>
      </c>
      <c r="F88" s="689">
        <f t="shared" si="14"/>
        <v>20561.09</v>
      </c>
      <c r="G88" s="706">
        <f t="shared" si="15"/>
        <v>134203.86499999999</v>
      </c>
    </row>
    <row r="89" spans="1:15" x14ac:dyDescent="0.25">
      <c r="A89" s="716" t="s">
        <v>911</v>
      </c>
      <c r="B89" s="276">
        <v>8</v>
      </c>
      <c r="C89" s="689">
        <v>99425</v>
      </c>
      <c r="D89" s="689">
        <f t="shared" si="12"/>
        <v>13720.650000000001</v>
      </c>
      <c r="E89" s="503">
        <f t="shared" si="13"/>
        <v>497.125</v>
      </c>
      <c r="F89" s="689">
        <f t="shared" si="14"/>
        <v>20561.09</v>
      </c>
      <c r="G89" s="706">
        <f t="shared" si="15"/>
        <v>134203.86499999999</v>
      </c>
    </row>
    <row r="90" spans="1:15" x14ac:dyDescent="0.25">
      <c r="A90" s="716" t="s">
        <v>911</v>
      </c>
      <c r="B90" s="276">
        <v>9</v>
      </c>
      <c r="C90" s="689">
        <v>105996</v>
      </c>
      <c r="D90" s="689">
        <f t="shared" si="12"/>
        <v>14627.448</v>
      </c>
      <c r="E90" s="503">
        <f t="shared" si="13"/>
        <v>529.98</v>
      </c>
      <c r="F90" s="689">
        <f t="shared" si="14"/>
        <v>21919.9728</v>
      </c>
      <c r="G90" s="706">
        <f t="shared" si="15"/>
        <v>143073.4008</v>
      </c>
    </row>
    <row r="91" spans="1:15" x14ac:dyDescent="0.25">
      <c r="A91" s="716" t="s">
        <v>911</v>
      </c>
      <c r="B91" s="276">
        <v>10</v>
      </c>
      <c r="C91" s="689">
        <v>105996</v>
      </c>
      <c r="D91" s="689">
        <f t="shared" si="12"/>
        <v>14627.448</v>
      </c>
      <c r="E91" s="503">
        <f t="shared" si="13"/>
        <v>529.98</v>
      </c>
      <c r="F91" s="689">
        <f t="shared" si="14"/>
        <v>21919.9728</v>
      </c>
      <c r="G91" s="706">
        <f t="shared" si="15"/>
        <v>143073.4008</v>
      </c>
    </row>
    <row r="92" spans="1:15" x14ac:dyDescent="0.25">
      <c r="A92" s="716" t="s">
        <v>911</v>
      </c>
      <c r="B92" s="276">
        <v>11</v>
      </c>
      <c r="C92" s="689">
        <v>105996</v>
      </c>
      <c r="D92" s="689">
        <f t="shared" si="12"/>
        <v>14627.448</v>
      </c>
      <c r="E92" s="503">
        <f t="shared" si="13"/>
        <v>529.98</v>
      </c>
      <c r="F92" s="689">
        <f t="shared" si="14"/>
        <v>21919.9728</v>
      </c>
      <c r="G92" s="706">
        <f t="shared" si="15"/>
        <v>143073.4008</v>
      </c>
    </row>
    <row r="93" spans="1:15" x14ac:dyDescent="0.25">
      <c r="A93" s="716" t="s">
        <v>911</v>
      </c>
      <c r="B93" s="276">
        <v>12</v>
      </c>
      <c r="C93" s="689">
        <v>105996</v>
      </c>
      <c r="D93" s="689">
        <f t="shared" si="12"/>
        <v>14627.448</v>
      </c>
      <c r="E93" s="503">
        <f t="shared" si="13"/>
        <v>529.98</v>
      </c>
      <c r="F93" s="689">
        <f t="shared" si="14"/>
        <v>21919.9728</v>
      </c>
      <c r="G93" s="706">
        <f t="shared" si="15"/>
        <v>143073.4008</v>
      </c>
    </row>
    <row r="94" spans="1:15" x14ac:dyDescent="0.25">
      <c r="A94" s="716" t="s">
        <v>911</v>
      </c>
      <c r="B94" s="276">
        <v>13</v>
      </c>
      <c r="C94" s="689">
        <v>105996</v>
      </c>
      <c r="D94" s="689">
        <f t="shared" si="12"/>
        <v>14627.448</v>
      </c>
      <c r="E94" s="503">
        <f t="shared" si="13"/>
        <v>529.98</v>
      </c>
      <c r="F94" s="689">
        <f t="shared" si="14"/>
        <v>21919.9728</v>
      </c>
      <c r="G94" s="706">
        <f t="shared" si="15"/>
        <v>143073.4008</v>
      </c>
    </row>
    <row r="95" spans="1:15" x14ac:dyDescent="0.25">
      <c r="A95" s="716" t="s">
        <v>911</v>
      </c>
      <c r="B95" s="276">
        <v>14</v>
      </c>
      <c r="C95" s="689">
        <v>112569</v>
      </c>
      <c r="D95" s="689">
        <f t="shared" si="12"/>
        <v>15534.522000000001</v>
      </c>
      <c r="E95" s="503">
        <f t="shared" si="13"/>
        <v>562.84500000000003</v>
      </c>
      <c r="F95" s="689">
        <f t="shared" si="14"/>
        <v>23279.269200000002</v>
      </c>
      <c r="G95" s="706">
        <f t="shared" si="15"/>
        <v>151945.63620000001</v>
      </c>
    </row>
    <row r="96" spans="1:15" x14ac:dyDescent="0.25">
      <c r="A96" s="716" t="s">
        <v>911</v>
      </c>
      <c r="B96" s="276">
        <v>15</v>
      </c>
      <c r="C96" s="689">
        <v>112569</v>
      </c>
      <c r="D96" s="689">
        <f t="shared" si="12"/>
        <v>15534.522000000001</v>
      </c>
      <c r="E96" s="503">
        <f t="shared" si="13"/>
        <v>562.84500000000003</v>
      </c>
      <c r="F96" s="689">
        <f t="shared" si="14"/>
        <v>23279.269200000002</v>
      </c>
      <c r="G96" s="706">
        <f t="shared" si="15"/>
        <v>151945.63620000001</v>
      </c>
    </row>
    <row r="97" spans="1:229" x14ac:dyDescent="0.25">
      <c r="A97" s="716" t="s">
        <v>911</v>
      </c>
      <c r="B97" s="276">
        <v>16</v>
      </c>
      <c r="C97" s="689">
        <v>112569</v>
      </c>
      <c r="D97" s="689">
        <f t="shared" si="12"/>
        <v>15534.522000000001</v>
      </c>
      <c r="E97" s="503">
        <f t="shared" si="13"/>
        <v>562.84500000000003</v>
      </c>
      <c r="F97" s="689">
        <f t="shared" si="14"/>
        <v>23279.269200000002</v>
      </c>
      <c r="G97" s="706">
        <f t="shared" si="15"/>
        <v>151945.63620000001</v>
      </c>
    </row>
    <row r="98" spans="1:229" x14ac:dyDescent="0.25">
      <c r="A98" s="716" t="s">
        <v>911</v>
      </c>
      <c r="B98" s="276">
        <v>17</v>
      </c>
      <c r="C98" s="689">
        <v>112569</v>
      </c>
      <c r="D98" s="689">
        <f t="shared" si="12"/>
        <v>15534.522000000001</v>
      </c>
      <c r="E98" s="503">
        <f t="shared" si="13"/>
        <v>562.84500000000003</v>
      </c>
      <c r="F98" s="689">
        <f t="shared" si="14"/>
        <v>23279.269200000002</v>
      </c>
      <c r="G98" s="706">
        <f t="shared" si="15"/>
        <v>151945.63620000001</v>
      </c>
    </row>
    <row r="99" spans="1:229" x14ac:dyDescent="0.25">
      <c r="A99" s="716" t="s">
        <v>911</v>
      </c>
      <c r="B99" s="276">
        <v>18</v>
      </c>
      <c r="C99" s="689">
        <v>112569</v>
      </c>
      <c r="D99" s="689">
        <f t="shared" si="12"/>
        <v>15534.522000000001</v>
      </c>
      <c r="E99" s="503">
        <f t="shared" si="13"/>
        <v>562.84500000000003</v>
      </c>
      <c r="F99" s="689">
        <f t="shared" si="14"/>
        <v>23279.269200000002</v>
      </c>
      <c r="G99" s="706">
        <f t="shared" si="15"/>
        <v>151945.63620000001</v>
      </c>
    </row>
    <row r="100" spans="1:229" ht="15.75" thickBot="1" x14ac:dyDescent="0.3">
      <c r="A100" s="717" t="s">
        <v>911</v>
      </c>
      <c r="B100" s="707">
        <v>19</v>
      </c>
      <c r="C100" s="708">
        <v>119133</v>
      </c>
      <c r="D100" s="708">
        <f t="shared" si="12"/>
        <v>16440.354000000003</v>
      </c>
      <c r="E100" s="709">
        <f t="shared" si="13"/>
        <v>595.66499999999996</v>
      </c>
      <c r="F100" s="708">
        <f t="shared" si="14"/>
        <v>24636.704400000002</v>
      </c>
      <c r="G100" s="710">
        <f t="shared" si="15"/>
        <v>160805.72340000002</v>
      </c>
      <c r="P100" s="4"/>
    </row>
    <row r="101" spans="1:229" ht="23.45" customHeight="1" x14ac:dyDescent="0.25">
      <c r="A101" s="692"/>
      <c r="B101" s="692"/>
      <c r="C101" s="693"/>
      <c r="D101" s="693"/>
      <c r="E101" s="694"/>
      <c r="F101" s="693"/>
      <c r="G101" s="693"/>
      <c r="R101"/>
    </row>
    <row r="102" spans="1:229" x14ac:dyDescent="0.25">
      <c r="R102"/>
    </row>
    <row r="103" spans="1:229" s="3" customFormat="1" x14ac:dyDescent="0.25">
      <c r="A103" s="695" t="s">
        <v>965</v>
      </c>
      <c r="B103" s="368"/>
      <c r="C103" s="368"/>
      <c r="D103" s="368"/>
      <c r="E103" s="368"/>
      <c r="F103" s="368"/>
      <c r="G103" s="368"/>
      <c r="H103" s="4"/>
      <c r="I103" s="4"/>
      <c r="J103" s="4"/>
      <c r="K103" s="4"/>
      <c r="L103"/>
      <c r="M103" s="4"/>
      <c r="N103" s="4"/>
      <c r="O103" s="4"/>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3" customFormat="1" ht="105" x14ac:dyDescent="0.25">
      <c r="A104" s="711" t="s">
        <v>966</v>
      </c>
      <c r="B104" s="711" t="s">
        <v>832</v>
      </c>
      <c r="C104" s="712" t="s">
        <v>833</v>
      </c>
      <c r="D104" s="711" t="s">
        <v>834</v>
      </c>
      <c r="E104" s="713" t="s">
        <v>1287</v>
      </c>
      <c r="F104" s="4"/>
      <c r="G104" s="4"/>
      <c r="H104" s="4"/>
      <c r="I104" s="4"/>
      <c r="J104" s="4"/>
      <c r="K104" s="4"/>
      <c r="L104"/>
      <c r="M104" s="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3" customFormat="1" x14ac:dyDescent="0.25">
      <c r="A105" s="1179">
        <v>153400</v>
      </c>
      <c r="B105" s="1212">
        <f>(A105-B110)*0.138</f>
        <v>19913.400000000001</v>
      </c>
      <c r="C105" s="1213">
        <f t="shared" ref="C105" si="22">A105*0.005</f>
        <v>767</v>
      </c>
      <c r="D105" s="1213">
        <f t="shared" ref="D105" si="23">A105*0.2068</f>
        <v>31723.120000000003</v>
      </c>
      <c r="E105" s="1213">
        <f t="shared" ref="E105" si="24">SUM(A105:D105)</f>
        <v>205803.51999999999</v>
      </c>
      <c r="F105" s="4"/>
      <c r="G105" s="4"/>
      <c r="H105" s="4"/>
      <c r="I105" s="4"/>
      <c r="J105" s="4"/>
      <c r="K105" s="4"/>
      <c r="L105"/>
      <c r="M105" s="4"/>
      <c r="N105"/>
      <c r="O105"/>
      <c r="P105" s="4"/>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25">
      <c r="A106" t="s">
        <v>967</v>
      </c>
      <c r="F106" s="505" t="s">
        <v>968</v>
      </c>
      <c r="R106"/>
    </row>
    <row r="107" spans="1:229" x14ac:dyDescent="0.25">
      <c r="R107"/>
    </row>
    <row r="108" spans="1:229" s="3" customFormat="1" x14ac:dyDescent="0.25">
      <c r="A108" s="4"/>
      <c r="B108" s="4"/>
      <c r="C108" s="696"/>
      <c r="D108" s="696"/>
      <c r="E108" s="4"/>
      <c r="F108" s="4"/>
      <c r="G108" s="4"/>
      <c r="H108" s="4"/>
      <c r="I108" s="4"/>
      <c r="J108" s="4"/>
      <c r="K108" s="4"/>
      <c r="L108" s="4"/>
      <c r="M108" s="4"/>
      <c r="N108" s="4"/>
      <c r="O108" s="4"/>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25">
      <c r="A109" s="698" t="s">
        <v>969</v>
      </c>
      <c r="B109" s="698"/>
      <c r="C109" s="698"/>
    </row>
    <row r="110" spans="1:229" ht="45" x14ac:dyDescent="0.25">
      <c r="A110" s="697" t="s">
        <v>970</v>
      </c>
      <c r="B110" s="1214">
        <v>9100</v>
      </c>
      <c r="C110" s="1215">
        <v>0</v>
      </c>
    </row>
    <row r="111" spans="1:229" ht="45" x14ac:dyDescent="0.25">
      <c r="A111" s="697" t="s">
        <v>971</v>
      </c>
      <c r="B111" s="1216" t="s">
        <v>972</v>
      </c>
      <c r="C111" s="1217">
        <v>0.13800000000000001</v>
      </c>
    </row>
  </sheetData>
  <sheetProtection algorithmName="SHA-512" hashValue="12lp/UpzyNV5VSktAG2Gws70shxkSIwsdExq3mbEideIHKkI5TKx0GdCsn3uuHd+dtcP5wcxxXkPE5sVDtBv4g==" saltValue="NJxSdKWSISVpJVdw3ijidg=="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topLeftCell="A2" zoomScale="55" zoomScaleNormal="55" zoomScaleSheetLayoutView="80" workbookViewId="0">
      <selection activeCell="B11" sqref="B11:B12"/>
    </sheetView>
  </sheetViews>
  <sheetFormatPr defaultColWidth="8.85546875" defaultRowHeight="15" x14ac:dyDescent="0.25"/>
  <cols>
    <col min="1" max="1" width="3.5703125" customWidth="1"/>
    <col min="2" max="2" width="67" style="1" customWidth="1"/>
    <col min="3" max="9" width="12.5703125" customWidth="1"/>
    <col min="10" max="10" width="3.85546875" customWidth="1"/>
    <col min="11" max="11" width="1.5703125" customWidth="1"/>
    <col min="14" max="14" width="10" customWidth="1"/>
  </cols>
  <sheetData>
    <row r="1" spans="2:18" ht="78.599999999999994" customHeight="1" x14ac:dyDescent="0.25">
      <c r="B1" s="274" t="str">
        <f>'Unit costs'!B1</f>
        <v>Tumour profiling tests to guide adjuvant chemotherapy decisions in lymph node positive early breast cancer</v>
      </c>
      <c r="C1" s="271"/>
      <c r="D1" s="271"/>
      <c r="E1" s="271"/>
      <c r="F1" s="271"/>
      <c r="G1" s="271"/>
      <c r="H1" s="271"/>
      <c r="I1" s="271"/>
    </row>
    <row r="2" spans="2:18" x14ac:dyDescent="0.25">
      <c r="B2" s="271"/>
      <c r="C2" s="271"/>
      <c r="D2" s="271"/>
      <c r="E2" s="271"/>
      <c r="I2" s="271"/>
    </row>
    <row r="3" spans="2:18" ht="30" customHeight="1" x14ac:dyDescent="0.25">
      <c r="B3" s="543" t="s">
        <v>973</v>
      </c>
      <c r="C3" s="130" t="s">
        <v>104</v>
      </c>
      <c r="D3" s="130" t="s">
        <v>104</v>
      </c>
      <c r="E3" s="130" t="s">
        <v>104</v>
      </c>
      <c r="F3" s="130" t="s">
        <v>104</v>
      </c>
      <c r="G3" s="130" t="s">
        <v>104</v>
      </c>
      <c r="H3" s="130" t="s">
        <v>104</v>
      </c>
      <c r="I3" s="130" t="s">
        <v>104</v>
      </c>
    </row>
    <row r="4" spans="2:18" ht="14.45" customHeight="1" x14ac:dyDescent="0.25">
      <c r="B4"/>
      <c r="C4" s="130"/>
      <c r="D4" s="130"/>
      <c r="E4" s="130"/>
      <c r="F4" s="130"/>
      <c r="G4" s="130"/>
      <c r="H4" s="130"/>
      <c r="I4" s="130"/>
    </row>
    <row r="5" spans="2:18" ht="14.45" customHeight="1" x14ac:dyDescent="0.25">
      <c r="B5" s="368" t="s">
        <v>974</v>
      </c>
      <c r="C5" s="130"/>
      <c r="D5" s="130"/>
      <c r="E5" s="130"/>
      <c r="F5" s="130"/>
      <c r="G5" s="130"/>
      <c r="H5" s="130"/>
      <c r="I5" s="130"/>
    </row>
    <row r="6" spans="2:18" ht="14.45" customHeight="1" x14ac:dyDescent="0.25">
      <c r="B6" s="368" t="s">
        <v>975</v>
      </c>
      <c r="C6" s="402"/>
      <c r="D6" s="402"/>
      <c r="E6" s="402"/>
      <c r="F6" s="402"/>
      <c r="G6" s="402"/>
      <c r="H6" s="402"/>
      <c r="I6" s="402"/>
    </row>
    <row r="7" spans="2:18" ht="14.45" customHeight="1" x14ac:dyDescent="0.25">
      <c r="B7" t="s">
        <v>976</v>
      </c>
      <c r="C7" s="402"/>
      <c r="D7" s="402"/>
      <c r="E7" s="402"/>
      <c r="F7" s="402"/>
      <c r="G7" s="402"/>
      <c r="H7" s="402"/>
      <c r="I7" s="402"/>
    </row>
    <row r="8" spans="2:18" ht="14.45" customHeight="1" x14ac:dyDescent="0.25">
      <c r="B8" s="278"/>
      <c r="C8" s="294"/>
      <c r="D8" s="402"/>
      <c r="E8" s="402"/>
      <c r="F8" s="402"/>
      <c r="G8" s="402"/>
      <c r="H8" s="402"/>
    </row>
    <row r="9" spans="2:18" ht="14.45" customHeight="1" x14ac:dyDescent="0.25">
      <c r="B9" s="390" t="s">
        <v>110</v>
      </c>
      <c r="C9" s="385"/>
      <c r="D9" s="311"/>
      <c r="E9" s="311"/>
      <c r="F9" s="311"/>
      <c r="G9" s="311"/>
      <c r="H9" s="311"/>
      <c r="I9" s="311"/>
      <c r="J9" s="311"/>
      <c r="K9" s="311"/>
      <c r="L9" s="311"/>
      <c r="M9" s="311"/>
      <c r="N9" s="312"/>
    </row>
    <row r="10" spans="2:18" ht="14.45" customHeight="1" x14ac:dyDescent="0.25">
      <c r="B10" s="522"/>
      <c r="C10" s="523"/>
      <c r="D10" s="573"/>
      <c r="E10" s="573"/>
      <c r="F10" s="573"/>
      <c r="G10" s="573"/>
      <c r="H10" s="573"/>
      <c r="I10" s="573"/>
    </row>
    <row r="11" spans="2:18" ht="14.45" customHeight="1" x14ac:dyDescent="0.25">
      <c r="B11" t="s">
        <v>977</v>
      </c>
      <c r="C11" s="523"/>
      <c r="D11" s="260"/>
      <c r="E11" s="260"/>
      <c r="F11" s="260"/>
      <c r="G11" s="260"/>
      <c r="H11" s="260"/>
      <c r="I11" s="260"/>
    </row>
    <row r="12" spans="2:18" ht="14.45" customHeight="1" x14ac:dyDescent="0.25">
      <c r="B12" s="546" t="s">
        <v>134</v>
      </c>
      <c r="C12" s="523"/>
      <c r="D12" s="260"/>
      <c r="E12" s="260"/>
      <c r="F12" s="260"/>
      <c r="G12" s="260"/>
      <c r="H12" s="260"/>
      <c r="I12" s="260"/>
    </row>
    <row r="13" spans="2:18" ht="14.45" customHeight="1" x14ac:dyDescent="0.25">
      <c r="B13" s="522"/>
      <c r="C13" s="523"/>
      <c r="D13" s="260"/>
      <c r="E13" s="260"/>
      <c r="F13" s="260"/>
      <c r="G13" s="260"/>
      <c r="H13" s="260"/>
      <c r="I13" s="260"/>
    </row>
    <row r="14" spans="2:18" ht="14.45" customHeight="1" x14ac:dyDescent="0.25">
      <c r="B14" s="365" t="s">
        <v>978</v>
      </c>
      <c r="C14" s="368"/>
      <c r="D14" s="368"/>
      <c r="E14" s="368"/>
      <c r="F14" s="368"/>
      <c r="G14" s="368"/>
      <c r="H14" s="368"/>
      <c r="I14" s="368"/>
      <c r="J14" s="368"/>
      <c r="K14" s="368"/>
      <c r="L14" s="368"/>
      <c r="M14" s="368"/>
      <c r="N14" s="368"/>
      <c r="O14" s="368"/>
      <c r="Q14" s="368"/>
      <c r="R14" s="368"/>
    </row>
    <row r="15" spans="2:18" ht="14.45" customHeight="1" x14ac:dyDescent="0.25">
      <c r="B15" s="367" t="s">
        <v>107</v>
      </c>
      <c r="C15" s="367" t="s">
        <v>979</v>
      </c>
      <c r="D15" s="372" t="s">
        <v>980</v>
      </c>
      <c r="E15" s="373"/>
      <c r="F15" s="373"/>
      <c r="G15" s="373"/>
      <c r="H15" s="373"/>
      <c r="I15" s="373"/>
      <c r="J15" s="373"/>
      <c r="K15" s="373"/>
      <c r="L15" s="367" t="s">
        <v>108</v>
      </c>
      <c r="M15" s="367" t="s">
        <v>981</v>
      </c>
      <c r="N15" s="367" t="s">
        <v>109</v>
      </c>
      <c r="O15" s="368"/>
    </row>
    <row r="16" spans="2:18" ht="14.45" customHeight="1" x14ac:dyDescent="0.25">
      <c r="B16" s="371" t="s">
        <v>75</v>
      </c>
      <c r="C16" s="515" t="s">
        <v>115</v>
      </c>
      <c r="D16" s="516" t="s">
        <v>116</v>
      </c>
      <c r="E16" s="517"/>
      <c r="F16" s="517"/>
      <c r="G16" s="518"/>
      <c r="H16" s="519"/>
      <c r="I16" s="519"/>
      <c r="J16" s="520"/>
      <c r="K16" s="518"/>
      <c r="L16" s="514">
        <f>'Inputs and eligible population'!F64</f>
        <v>0</v>
      </c>
      <c r="M16" s="463">
        <v>335</v>
      </c>
      <c r="N16" s="506">
        <f>M16*L16</f>
        <v>0</v>
      </c>
      <c r="O16" s="368"/>
    </row>
    <row r="17" spans="2:15" ht="14.45" customHeight="1" x14ac:dyDescent="0.25">
      <c r="B17" s="371" t="s">
        <v>76</v>
      </c>
      <c r="C17" s="515" t="s">
        <v>115</v>
      </c>
      <c r="D17" s="516" t="s">
        <v>116</v>
      </c>
      <c r="E17" s="517"/>
      <c r="F17" s="517"/>
      <c r="G17" s="518"/>
      <c r="H17" s="519"/>
      <c r="I17" s="519"/>
      <c r="J17" s="520"/>
      <c r="K17" s="518"/>
      <c r="L17" s="514">
        <f>'Inputs and eligible population'!F66</f>
        <v>0</v>
      </c>
      <c r="M17" s="463">
        <v>335</v>
      </c>
      <c r="N17" s="506">
        <f>M17*L17</f>
        <v>0</v>
      </c>
      <c r="O17" s="368"/>
    </row>
    <row r="18" spans="2:15" ht="14.45" customHeight="1" x14ac:dyDescent="0.25">
      <c r="B18" s="371" t="s">
        <v>77</v>
      </c>
      <c r="C18" s="515" t="s">
        <v>115</v>
      </c>
      <c r="D18" s="516" t="s">
        <v>116</v>
      </c>
      <c r="E18" s="517"/>
      <c r="F18" s="517"/>
      <c r="G18" s="518"/>
      <c r="H18" s="519"/>
      <c r="I18" s="519"/>
      <c r="J18" s="520"/>
      <c r="K18" s="518"/>
      <c r="L18" s="514">
        <f>'Inputs and eligible population'!F67</f>
        <v>0</v>
      </c>
      <c r="M18" s="463">
        <v>335</v>
      </c>
      <c r="N18" s="506">
        <f>M18*L18</f>
        <v>0</v>
      </c>
      <c r="O18" s="368"/>
    </row>
    <row r="19" spans="2:15" x14ac:dyDescent="0.25">
      <c r="B19" s="317" t="s">
        <v>982</v>
      </c>
    </row>
    <row r="20" spans="2:15" x14ac:dyDescent="0.25">
      <c r="B20" s="317"/>
    </row>
    <row r="21" spans="2:15" ht="14.45" customHeight="1" x14ac:dyDescent="0.25">
      <c r="B21" s="522" t="s">
        <v>983</v>
      </c>
      <c r="C21" s="523"/>
      <c r="D21" s="260"/>
      <c r="E21" s="260"/>
      <c r="F21" s="260"/>
      <c r="G21" s="260"/>
      <c r="H21" s="260"/>
      <c r="I21" s="260"/>
      <c r="O21" s="368"/>
    </row>
    <row r="22" spans="2:15" ht="14.45" customHeight="1" x14ac:dyDescent="0.25">
      <c r="B22" s="380" t="s">
        <v>984</v>
      </c>
      <c r="C22" s="403" t="s">
        <v>985</v>
      </c>
      <c r="D22" s="294" t="str">
        <f>IF(AND(B1="own local cost estimate",C23=0)," enter local values","")</f>
        <v/>
      </c>
      <c r="E22" s="390" t="s">
        <v>986</v>
      </c>
      <c r="F22" s="425"/>
      <c r="G22" s="311"/>
      <c r="H22" s="311"/>
      <c r="I22" s="311"/>
      <c r="J22" s="377"/>
      <c r="K22" s="377"/>
      <c r="L22" s="377"/>
      <c r="M22" s="328"/>
      <c r="N22" s="386" t="s">
        <v>796</v>
      </c>
      <c r="O22" s="368"/>
    </row>
    <row r="23" spans="2:15" ht="14.45" customHeight="1" x14ac:dyDescent="0.25">
      <c r="B23" s="302" t="s">
        <v>987</v>
      </c>
      <c r="C23" s="404">
        <v>50</v>
      </c>
      <c r="D23" s="294" t="str">
        <f>IF(AND(B1="national prices",C23&gt;0)," error, leave cell blank","")</f>
        <v/>
      </c>
      <c r="E23" s="501" t="s">
        <v>67</v>
      </c>
      <c r="F23" s="363"/>
      <c r="G23" s="575"/>
      <c r="H23" s="575"/>
      <c r="I23" s="575"/>
      <c r="J23" s="318"/>
      <c r="K23" s="318"/>
      <c r="L23" s="318"/>
      <c r="M23" s="292"/>
      <c r="N23" s="389">
        <f>$C$23*('Capacity (local prices) '!C71/60)</f>
        <v>0.69444444444444453</v>
      </c>
      <c r="O23" s="368"/>
    </row>
    <row r="24" spans="2:15" ht="14.45" customHeight="1" x14ac:dyDescent="0.25">
      <c r="B24" s="577" t="s">
        <v>988</v>
      </c>
      <c r="D24" s="294" t="str">
        <f>IF(AND(B1="national prices",C24&gt;0)," error, leave cell blank","")</f>
        <v/>
      </c>
      <c r="E24" s="501" t="s">
        <v>68</v>
      </c>
      <c r="F24" s="363"/>
      <c r="G24" s="575"/>
      <c r="H24" s="575"/>
      <c r="I24" s="575"/>
      <c r="J24" s="318"/>
      <c r="K24" s="318"/>
      <c r="L24" s="318"/>
      <c r="M24" s="292"/>
      <c r="N24" s="389">
        <f>$C$23*('Capacity (local prices) '!C77/60)</f>
        <v>0.83333333333333337</v>
      </c>
      <c r="O24" s="368"/>
    </row>
    <row r="25" spans="2:15" ht="14.45" customHeight="1" x14ac:dyDescent="0.25">
      <c r="E25" s="501" t="s">
        <v>69</v>
      </c>
      <c r="F25" s="363"/>
      <c r="G25" s="575"/>
      <c r="H25" s="575"/>
      <c r="I25" s="575"/>
      <c r="J25" s="318"/>
      <c r="K25" s="318"/>
      <c r="L25" s="318"/>
      <c r="M25" s="292"/>
      <c r="N25" s="389">
        <f>$C$23*('Capacity (local prices) '!C78/60)</f>
        <v>2.6395833333333334</v>
      </c>
      <c r="O25" s="368"/>
    </row>
    <row r="26" spans="2:15" ht="14.45" customHeight="1" x14ac:dyDescent="0.25">
      <c r="F26" s="260"/>
      <c r="G26" s="260"/>
      <c r="H26" s="260"/>
      <c r="I26" s="260"/>
      <c r="O26" s="368"/>
    </row>
    <row r="27" spans="2:15" ht="14.45" customHeight="1" x14ac:dyDescent="0.25">
      <c r="B27" s="522"/>
      <c r="C27" s="523"/>
      <c r="D27" s="260"/>
      <c r="E27" s="260"/>
      <c r="F27" s="260"/>
      <c r="G27" s="260"/>
      <c r="H27" s="260"/>
      <c r="I27" s="260"/>
    </row>
    <row r="28" spans="2:15" ht="44.45" customHeight="1" x14ac:dyDescent="0.25">
      <c r="B28"/>
      <c r="C28" s="402"/>
      <c r="D28" s="574" t="s">
        <v>792</v>
      </c>
      <c r="E28" s="376" t="s">
        <v>56</v>
      </c>
      <c r="F28" s="376" t="s">
        <v>57</v>
      </c>
      <c r="G28" s="290" t="s">
        <v>793</v>
      </c>
      <c r="H28" s="290" t="s">
        <v>794</v>
      </c>
      <c r="I28" s="376" t="s">
        <v>795</v>
      </c>
    </row>
    <row r="29" spans="2:15" ht="14.45" customHeight="1" x14ac:dyDescent="0.25">
      <c r="B29" s="393" t="s">
        <v>110</v>
      </c>
      <c r="C29" s="386" t="s">
        <v>796</v>
      </c>
      <c r="D29" s="387" t="s">
        <v>149</v>
      </c>
      <c r="E29" s="387" t="s">
        <v>149</v>
      </c>
      <c r="F29" s="387" t="s">
        <v>149</v>
      </c>
      <c r="G29" s="387" t="s">
        <v>149</v>
      </c>
      <c r="H29" s="387" t="s">
        <v>149</v>
      </c>
      <c r="I29" s="387" t="s">
        <v>149</v>
      </c>
    </row>
    <row r="30" spans="2:15" ht="14.45" customHeight="1" x14ac:dyDescent="0.25">
      <c r="B30" s="501" t="s">
        <v>67</v>
      </c>
      <c r="C30" s="576">
        <f>IF($B$12="national prices",N16,N23)</f>
        <v>0</v>
      </c>
      <c r="D30" s="389">
        <f>('Capacity (local prices) '!D57*C30)/1000</f>
        <v>0</v>
      </c>
      <c r="E30" s="389">
        <f>('Capacity (local prices) '!E57*D30)/1000</f>
        <v>0</v>
      </c>
      <c r="F30" s="389">
        <f>('Capacity (local prices) '!F57*E30)/1000</f>
        <v>0</v>
      </c>
      <c r="G30" s="389">
        <f>('Capacity (local prices) '!G57*F30)/1000</f>
        <v>0</v>
      </c>
      <c r="H30" s="389">
        <f>('Capacity (local prices) '!H57*G30)/1000</f>
        <v>0</v>
      </c>
      <c r="I30" s="389">
        <f>('Capacity (local prices) '!I57*H30)/1000</f>
        <v>0</v>
      </c>
    </row>
    <row r="31" spans="2:15" ht="14.45" customHeight="1" x14ac:dyDescent="0.25">
      <c r="B31" s="501" t="s">
        <v>68</v>
      </c>
      <c r="C31" s="576">
        <f>IF($B$12="national prices",N17,N24)</f>
        <v>0</v>
      </c>
      <c r="D31" s="389">
        <f>('Capacity (local prices) '!D64*C31)/1000</f>
        <v>0</v>
      </c>
      <c r="E31" s="389">
        <f>('Capacity (local prices) '!E64*D31)/1000</f>
        <v>0</v>
      </c>
      <c r="F31" s="389">
        <f>('Capacity (local prices) '!F64*E31)/1000</f>
        <v>0</v>
      </c>
      <c r="G31" s="389">
        <f>('Capacity (local prices) '!G64*F31)/1000</f>
        <v>0</v>
      </c>
      <c r="H31" s="389">
        <f>('Capacity (local prices) '!H64*G31)/1000</f>
        <v>0</v>
      </c>
      <c r="I31" s="389">
        <f>('Capacity (local prices) '!I64*H31)/1000</f>
        <v>0</v>
      </c>
    </row>
    <row r="32" spans="2:15" ht="14.45" customHeight="1" x14ac:dyDescent="0.25">
      <c r="B32" s="501" t="s">
        <v>69</v>
      </c>
      <c r="C32" s="576">
        <f>IF($B$12="national prices",N18,N25)</f>
        <v>0</v>
      </c>
      <c r="D32" s="389" t="e">
        <f>('Capacity (local prices) '!#REF!*C32)/1000</f>
        <v>#REF!</v>
      </c>
      <c r="E32" s="389" t="e">
        <f>('Capacity (local prices) '!#REF!*D32)/1000</f>
        <v>#REF!</v>
      </c>
      <c r="F32" s="389" t="e">
        <f>('Capacity (local prices) '!#REF!*E32)/1000</f>
        <v>#REF!</v>
      </c>
      <c r="G32" s="389" t="e">
        <f>('Capacity (local prices) '!#REF!*F32)/1000</f>
        <v>#REF!</v>
      </c>
      <c r="H32" s="389" t="e">
        <f>('Capacity (local prices) '!#REF!*G32)/1000</f>
        <v>#REF!</v>
      </c>
      <c r="I32" s="389" t="e">
        <f>('Capacity (local prices) '!#REF!*H32)/1000</f>
        <v>#REF!</v>
      </c>
    </row>
    <row r="33" spans="2:15" ht="14.45" customHeight="1" x14ac:dyDescent="0.25">
      <c r="B33" s="492"/>
      <c r="C33" s="493"/>
      <c r="D33" s="407" t="e">
        <f t="shared" ref="D33:I33" si="0">SUM(D30:D32)</f>
        <v>#REF!</v>
      </c>
      <c r="E33" s="407" t="e">
        <f t="shared" si="0"/>
        <v>#REF!</v>
      </c>
      <c r="F33" s="407" t="e">
        <f t="shared" si="0"/>
        <v>#REF!</v>
      </c>
      <c r="G33" s="407" t="e">
        <f t="shared" si="0"/>
        <v>#REF!</v>
      </c>
      <c r="H33" s="494" t="e">
        <f t="shared" si="0"/>
        <v>#REF!</v>
      </c>
      <c r="I33" s="407" t="e">
        <f t="shared" si="0"/>
        <v>#REF!</v>
      </c>
    </row>
    <row r="34" spans="2:15" ht="14.45" customHeight="1" x14ac:dyDescent="0.25">
      <c r="B34" s="495"/>
      <c r="C34" s="496"/>
      <c r="D34" s="497" t="s">
        <v>989</v>
      </c>
      <c r="E34" s="407" t="e">
        <f>E33-$D$33</f>
        <v>#REF!</v>
      </c>
      <c r="F34" s="407" t="e">
        <f t="shared" ref="F34:I34" si="1">F33-$D$33</f>
        <v>#REF!</v>
      </c>
      <c r="G34" s="407" t="e">
        <f t="shared" si="1"/>
        <v>#REF!</v>
      </c>
      <c r="H34" s="407" t="e">
        <f t="shared" si="1"/>
        <v>#REF!</v>
      </c>
      <c r="I34" s="407" t="e">
        <f t="shared" si="1"/>
        <v>#REF!</v>
      </c>
    </row>
    <row r="35" spans="2:15" ht="14.45" customHeight="1" x14ac:dyDescent="0.25">
      <c r="B35"/>
    </row>
    <row r="36" spans="2:15" ht="14.45" customHeight="1" x14ac:dyDescent="0.25">
      <c r="B36"/>
    </row>
    <row r="37" spans="2:15" ht="14.45" customHeight="1" x14ac:dyDescent="0.25">
      <c r="B37" s="390" t="s">
        <v>990</v>
      </c>
      <c r="C37" s="385"/>
      <c r="D37" s="311"/>
      <c r="E37" s="311"/>
      <c r="F37" s="311"/>
      <c r="G37" s="311"/>
      <c r="H37" s="311"/>
      <c r="I37" s="311"/>
      <c r="J37" s="312"/>
    </row>
    <row r="38" spans="2:15" ht="14.45" customHeight="1" x14ac:dyDescent="0.25">
      <c r="B38"/>
    </row>
    <row r="39" spans="2:15" ht="14.45" customHeight="1" x14ac:dyDescent="0.25">
      <c r="B39" t="s">
        <v>977</v>
      </c>
    </row>
    <row r="40" spans="2:15" ht="14.45" customHeight="1" x14ac:dyDescent="0.25">
      <c r="B40" s="578" t="s">
        <v>991</v>
      </c>
    </row>
    <row r="41" spans="2:15" ht="14.45" customHeight="1" x14ac:dyDescent="0.25">
      <c r="B41"/>
    </row>
    <row r="42" spans="2:15" ht="14.45" customHeight="1" x14ac:dyDescent="0.25">
      <c r="B42" s="317" t="s">
        <v>992</v>
      </c>
    </row>
    <row r="43" spans="2:15" ht="14.45" customHeight="1" x14ac:dyDescent="0.25">
      <c r="B43"/>
    </row>
    <row r="44" spans="2:15" x14ac:dyDescent="0.25">
      <c r="B44" s="367" t="s">
        <v>107</v>
      </c>
      <c r="C44" s="369" t="s">
        <v>980</v>
      </c>
      <c r="D44" s="377"/>
      <c r="E44" s="377"/>
      <c r="F44" s="377"/>
      <c r="G44" s="367" t="s">
        <v>108</v>
      </c>
      <c r="H44" s="367" t="s">
        <v>981</v>
      </c>
      <c r="I44" s="367" t="s">
        <v>109</v>
      </c>
    </row>
    <row r="45" spans="2:15" ht="14.45" customHeight="1" x14ac:dyDescent="0.25">
      <c r="B45" s="371" t="s">
        <v>75</v>
      </c>
      <c r="C45" s="516" t="s">
        <v>993</v>
      </c>
      <c r="D45" s="517"/>
      <c r="E45" s="517"/>
      <c r="F45" s="517"/>
      <c r="G45" s="521" t="e">
        <f>ROUNDUP(('Unit costs'!#REF!*'Unit costs'!#REF!)/28,0)</f>
        <v>#REF!</v>
      </c>
      <c r="H45" s="463">
        <v>50</v>
      </c>
      <c r="I45" s="506" t="e">
        <f>H45*G45</f>
        <v>#REF!</v>
      </c>
      <c r="O45" s="368"/>
    </row>
    <row r="46" spans="2:15" ht="14.45" customHeight="1" x14ac:dyDescent="0.25">
      <c r="B46" s="371" t="s">
        <v>76</v>
      </c>
      <c r="C46" s="516" t="s">
        <v>993</v>
      </c>
      <c r="D46" s="517"/>
      <c r="E46" s="517"/>
      <c r="F46" s="517"/>
      <c r="G46" s="521" t="e">
        <f>ROUNDUP(('Unit costs'!#REF!*'Unit costs'!#REF!)/28,0)</f>
        <v>#REF!</v>
      </c>
      <c r="H46" s="463">
        <v>50</v>
      </c>
      <c r="I46" s="506" t="e">
        <f>H46*G46</f>
        <v>#REF!</v>
      </c>
      <c r="O46" s="368"/>
    </row>
    <row r="47" spans="2:15" ht="14.45" customHeight="1" x14ac:dyDescent="0.25">
      <c r="B47" s="371" t="s">
        <v>77</v>
      </c>
      <c r="C47" s="516" t="s">
        <v>993</v>
      </c>
      <c r="D47" s="517"/>
      <c r="E47" s="517"/>
      <c r="F47" s="517"/>
      <c r="G47" s="521" t="e">
        <f>ROUNDUP(('Unit costs'!#REF!*'Unit costs'!#REF!)/28,0)</f>
        <v>#REF!</v>
      </c>
      <c r="H47" s="463">
        <v>50</v>
      </c>
      <c r="I47" s="506" t="e">
        <f>H47*G47</f>
        <v>#REF!</v>
      </c>
      <c r="O47" s="368"/>
    </row>
    <row r="48" spans="2:15" ht="14.45" customHeight="1" x14ac:dyDescent="0.25">
      <c r="B48" s="522"/>
      <c r="C48" s="523"/>
      <c r="D48" s="260"/>
      <c r="E48" s="260"/>
      <c r="F48" s="260"/>
      <c r="G48" s="260"/>
      <c r="H48" s="260"/>
      <c r="I48" s="260"/>
      <c r="O48" s="368"/>
    </row>
    <row r="49" spans="1:15" x14ac:dyDescent="0.25">
      <c r="B49"/>
      <c r="G49" s="260"/>
      <c r="H49" s="260"/>
      <c r="I49" s="526"/>
    </row>
    <row r="50" spans="1:15" x14ac:dyDescent="0.25">
      <c r="B50" s="393" t="s">
        <v>994</v>
      </c>
      <c r="C50" s="386" t="s">
        <v>796</v>
      </c>
      <c r="D50" s="387" t="s">
        <v>149</v>
      </c>
      <c r="E50" s="387" t="s">
        <v>149</v>
      </c>
      <c r="F50" s="387" t="s">
        <v>149</v>
      </c>
      <c r="G50" s="387" t="s">
        <v>149</v>
      </c>
      <c r="H50" s="387" t="s">
        <v>149</v>
      </c>
      <c r="I50" s="387" t="s">
        <v>149</v>
      </c>
    </row>
    <row r="51" spans="1:15" x14ac:dyDescent="0.25">
      <c r="B51" s="320" t="s">
        <v>995</v>
      </c>
      <c r="C51" s="485" t="s">
        <v>996</v>
      </c>
      <c r="D51" s="389" t="e">
        <f>($I$45/1000*'Capacity (local prices) '!D57)+($I$46/1000*'Capacity (local prices) '!D64)+($I$47/1000*'Capacity (local prices) '!#REF!)</f>
        <v>#REF!</v>
      </c>
      <c r="E51" s="389" t="e">
        <f>($I$45/1000*'Capacity (local prices) '!E57)+($I$46/1000*'Capacity (local prices) '!E64)+($I$47/1000*'Capacity (local prices) '!#REF!)</f>
        <v>#REF!</v>
      </c>
      <c r="F51" s="389" t="e">
        <f>($I$45/1000*'Capacity (local prices) '!F57)+($I$46/1000*'Capacity (local prices) '!F64)+($I$47/1000*'Capacity (local prices) '!#REF!)</f>
        <v>#REF!</v>
      </c>
      <c r="G51" s="389" t="e">
        <f>($I$45/1000*'Capacity (local prices) '!G57)+($I$46/1000*'Capacity (local prices) '!G64)+($I$47/1000*'Capacity (local prices) '!#REF!)</f>
        <v>#REF!</v>
      </c>
      <c r="H51" s="389" t="e">
        <f>($I$45/1000*'Capacity (local prices) '!H57)+($I$46/1000*'Capacity (local prices) '!H64)+($I$47/1000*'Capacity (local prices) '!#REF!)</f>
        <v>#REF!</v>
      </c>
      <c r="I51" s="389" t="e">
        <f>($I$45/1000*'Capacity (local prices) '!I57)+($I$46/1000*'Capacity (local prices) '!I64)+($I$47/1000*'Capacity (local prices) '!#REF!)</f>
        <v>#REF!</v>
      </c>
    </row>
    <row r="52" spans="1:15" x14ac:dyDescent="0.25">
      <c r="B52" s="498"/>
      <c r="C52" s="493"/>
      <c r="D52" s="407" t="e">
        <f>D51</f>
        <v>#REF!</v>
      </c>
      <c r="E52" s="407" t="e">
        <f t="shared" ref="E52:I52" si="2">E51</f>
        <v>#REF!</v>
      </c>
      <c r="F52" s="407" t="e">
        <f t="shared" si="2"/>
        <v>#REF!</v>
      </c>
      <c r="G52" s="407" t="e">
        <f t="shared" si="2"/>
        <v>#REF!</v>
      </c>
      <c r="H52" s="407" t="e">
        <f t="shared" si="2"/>
        <v>#REF!</v>
      </c>
      <c r="I52" s="407" t="e">
        <f t="shared" si="2"/>
        <v>#REF!</v>
      </c>
    </row>
    <row r="53" spans="1:15" x14ac:dyDescent="0.25">
      <c r="B53" s="495"/>
      <c r="C53" s="496"/>
      <c r="D53" s="497" t="s">
        <v>997</v>
      </c>
      <c r="E53" s="407" t="e">
        <f>E52-$D$52</f>
        <v>#REF!</v>
      </c>
      <c r="F53" s="407" t="e">
        <f t="shared" ref="F53:I53" si="3">F52-$D$52</f>
        <v>#REF!</v>
      </c>
      <c r="G53" s="407" t="e">
        <f t="shared" si="3"/>
        <v>#REF!</v>
      </c>
      <c r="H53" s="407" t="e">
        <f t="shared" si="3"/>
        <v>#REF!</v>
      </c>
      <c r="I53" s="407" t="e">
        <f t="shared" si="3"/>
        <v>#REF!</v>
      </c>
    </row>
    <row r="54" spans="1:15" x14ac:dyDescent="0.25">
      <c r="B54"/>
      <c r="G54" s="260"/>
      <c r="H54" s="260"/>
      <c r="I54" s="260"/>
    </row>
    <row r="55" spans="1:15" ht="14.45" customHeight="1" x14ac:dyDescent="0.25">
      <c r="A55" s="397"/>
      <c r="B55" s="613"/>
      <c r="C55" s="397"/>
      <c r="D55" s="397"/>
      <c r="E55" s="397"/>
      <c r="F55" s="397"/>
      <c r="G55" s="397"/>
      <c r="H55" s="397"/>
      <c r="I55" s="397"/>
      <c r="J55" s="397"/>
    </row>
    <row r="56" spans="1:15" ht="14.45" customHeight="1" x14ac:dyDescent="0.25">
      <c r="A56" s="397"/>
      <c r="B56" s="390" t="s">
        <v>806</v>
      </c>
      <c r="C56" s="385"/>
      <c r="D56" s="311"/>
      <c r="E56" s="311"/>
      <c r="F56" s="311"/>
      <c r="G56" s="311"/>
      <c r="H56" s="311"/>
      <c r="I56" s="311"/>
      <c r="J56" s="312"/>
      <c r="K56" s="260" t="s">
        <v>104</v>
      </c>
      <c r="O56" s="260" t="s">
        <v>104</v>
      </c>
    </row>
    <row r="57" spans="1:15" ht="14.45" customHeight="1" x14ac:dyDescent="0.25">
      <c r="A57" s="397"/>
      <c r="B57" s="397" t="s">
        <v>977</v>
      </c>
      <c r="C57" s="334"/>
      <c r="D57" s="334"/>
      <c r="E57" s="334"/>
      <c r="F57" s="334"/>
      <c r="G57" s="334"/>
      <c r="H57" s="334"/>
      <c r="I57" s="334"/>
      <c r="J57" s="334"/>
      <c r="K57" s="260"/>
      <c r="M57" s="260"/>
      <c r="O57" s="260"/>
    </row>
    <row r="58" spans="1:15" ht="14.45" customHeight="1" x14ac:dyDescent="0.25">
      <c r="A58" s="397"/>
      <c r="B58" s="578" t="s">
        <v>991</v>
      </c>
      <c r="C58" s="334"/>
      <c r="D58" s="334"/>
      <c r="E58" s="334"/>
      <c r="F58" s="334"/>
      <c r="G58" s="334"/>
      <c r="H58" s="334"/>
      <c r="I58" s="334"/>
      <c r="J58" s="334"/>
      <c r="K58" s="260"/>
      <c r="M58" s="260"/>
      <c r="O58" s="260"/>
    </row>
    <row r="59" spans="1:15" ht="14.45" customHeight="1" x14ac:dyDescent="0.25">
      <c r="A59" s="397"/>
      <c r="B59" s="397"/>
      <c r="C59" s="334"/>
      <c r="D59" s="334"/>
      <c r="E59" s="334"/>
      <c r="F59" s="334"/>
      <c r="G59" s="334"/>
      <c r="H59" s="334"/>
      <c r="I59" s="334"/>
      <c r="J59" s="334"/>
      <c r="K59" s="260"/>
      <c r="M59" s="260"/>
      <c r="O59" s="260"/>
    </row>
    <row r="60" spans="1:15" ht="14.45" customHeight="1" x14ac:dyDescent="0.25">
      <c r="A60" s="397"/>
      <c r="B60" s="302" t="s">
        <v>998</v>
      </c>
      <c r="C60" s="404">
        <v>45</v>
      </c>
      <c r="D60" s="397" t="s">
        <v>999</v>
      </c>
      <c r="E60" s="397"/>
      <c r="F60" s="397"/>
      <c r="G60" s="397"/>
      <c r="H60" s="397"/>
      <c r="I60" s="397"/>
      <c r="J60" s="397"/>
      <c r="K60" s="260"/>
      <c r="M60" s="260"/>
      <c r="O60" s="260"/>
    </row>
    <row r="61" spans="1:15" ht="14.45" customHeight="1" x14ac:dyDescent="0.25">
      <c r="A61" s="397"/>
      <c r="B61" s="302" t="s">
        <v>1000</v>
      </c>
      <c r="C61" s="404">
        <v>25</v>
      </c>
      <c r="D61" s="397" t="s">
        <v>999</v>
      </c>
      <c r="E61" s="334"/>
      <c r="F61" s="334"/>
      <c r="G61" s="334"/>
      <c r="H61" s="334"/>
      <c r="I61" s="334"/>
      <c r="J61" s="334"/>
      <c r="K61" s="260"/>
      <c r="M61" s="260"/>
      <c r="O61" s="260"/>
    </row>
    <row r="62" spans="1:15" x14ac:dyDescent="0.25">
      <c r="A62" s="397"/>
      <c r="B62" s="524"/>
      <c r="C62" s="525"/>
      <c r="D62" s="525"/>
      <c r="E62" s="525"/>
      <c r="F62" s="525"/>
      <c r="G62" s="525"/>
      <c r="H62" s="334"/>
      <c r="I62" s="334"/>
      <c r="J62" s="397"/>
    </row>
    <row r="63" spans="1:15" ht="45" x14ac:dyDescent="0.25">
      <c r="A63" s="397"/>
      <c r="B63" s="408" t="s">
        <v>1001</v>
      </c>
      <c r="C63" s="292"/>
      <c r="D63" s="362" t="s">
        <v>792</v>
      </c>
      <c r="E63" s="290" t="s">
        <v>56</v>
      </c>
      <c r="F63" s="376" t="s">
        <v>57</v>
      </c>
      <c r="G63" s="290" t="s">
        <v>793</v>
      </c>
      <c r="H63" s="290" t="s">
        <v>794</v>
      </c>
      <c r="I63" s="376" t="s">
        <v>795</v>
      </c>
      <c r="J63" s="397"/>
    </row>
    <row r="64" spans="1:15" x14ac:dyDescent="0.25">
      <c r="A64" s="397"/>
      <c r="B64" s="379" t="s">
        <v>809</v>
      </c>
      <c r="C64" s="292"/>
      <c r="D64" s="406" t="e">
        <f>('Capacity (local prices) '!#REF!*$C$60)/1000</f>
        <v>#REF!</v>
      </c>
      <c r="E64" s="406" t="e">
        <f>('Capacity (local prices) '!#REF!*$C$60)/1000</f>
        <v>#REF!</v>
      </c>
      <c r="F64" s="406" t="e">
        <f>('Capacity (local prices) '!#REF!*$C$60)/1000</f>
        <v>#REF!</v>
      </c>
      <c r="G64" s="406" t="e">
        <f>('Capacity (local prices) '!#REF!*$C$60)/1000</f>
        <v>#REF!</v>
      </c>
      <c r="H64" s="406" t="e">
        <f>('Capacity (local prices) '!#REF!*$C$60)/1000</f>
        <v>#REF!</v>
      </c>
      <c r="I64" s="406" t="e">
        <f>('Capacity (local prices) '!#REF!*$C$60)/1000</f>
        <v>#REF!</v>
      </c>
      <c r="J64" s="397"/>
    </row>
    <row r="65" spans="1:39" x14ac:dyDescent="0.25">
      <c r="A65" s="397"/>
      <c r="B65" s="379" t="s">
        <v>166</v>
      </c>
      <c r="C65" s="292"/>
      <c r="D65" s="406">
        <f>('Capacity (local prices) '!D105*$C$61)/1000</f>
        <v>0</v>
      </c>
      <c r="E65" s="406">
        <f>('Capacity (local prices) '!E105*$C$61)/1000</f>
        <v>0</v>
      </c>
      <c r="F65" s="406">
        <f>('Capacity (local prices) '!F105*$C$61)/1000</f>
        <v>0</v>
      </c>
      <c r="G65" s="406">
        <f>('Capacity (local prices) '!G105*$C$61)/1000</f>
        <v>0</v>
      </c>
      <c r="H65" s="406">
        <f>('Capacity (local prices) '!H105*$C$61)/1000</f>
        <v>0</v>
      </c>
      <c r="I65" s="406">
        <f>('Capacity (local prices) '!I105*$C$61)/1000</f>
        <v>0</v>
      </c>
      <c r="J65" s="397"/>
    </row>
    <row r="66" spans="1:39" x14ac:dyDescent="0.25">
      <c r="A66" s="397"/>
      <c r="B66" s="408"/>
      <c r="C66" s="292"/>
      <c r="D66" s="407" t="e">
        <f t="shared" ref="D66:I66" si="4">SUM(D64:D65)</f>
        <v>#REF!</v>
      </c>
      <c r="E66" s="407" t="e">
        <f t="shared" si="4"/>
        <v>#REF!</v>
      </c>
      <c r="F66" s="407" t="e">
        <f t="shared" si="4"/>
        <v>#REF!</v>
      </c>
      <c r="G66" s="407" t="e">
        <f t="shared" si="4"/>
        <v>#REF!</v>
      </c>
      <c r="H66" s="407" t="e">
        <f t="shared" si="4"/>
        <v>#REF!</v>
      </c>
      <c r="I66" s="407" t="e">
        <f t="shared" si="4"/>
        <v>#REF!</v>
      </c>
      <c r="J66" s="397"/>
    </row>
    <row r="67" spans="1:39" x14ac:dyDescent="0.25">
      <c r="A67" s="397"/>
      <c r="B67" s="408"/>
      <c r="C67" s="292"/>
      <c r="D67" s="496" t="s">
        <v>1002</v>
      </c>
      <c r="E67" s="407" t="e">
        <f>E66-$D66</f>
        <v>#REF!</v>
      </c>
      <c r="F67" s="407" t="e">
        <f t="shared" ref="F67:I67" si="5">F66-$D66</f>
        <v>#REF!</v>
      </c>
      <c r="G67" s="407" t="e">
        <f t="shared" si="5"/>
        <v>#REF!</v>
      </c>
      <c r="H67" s="407" t="e">
        <f t="shared" si="5"/>
        <v>#REF!</v>
      </c>
      <c r="I67" s="407" t="e">
        <f t="shared" si="5"/>
        <v>#REF!</v>
      </c>
      <c r="J67" s="397"/>
    </row>
    <row r="68" spans="1:39" x14ac:dyDescent="0.25">
      <c r="A68" s="397"/>
      <c r="B68" s="524"/>
      <c r="C68" s="525"/>
      <c r="D68" s="525"/>
      <c r="E68" s="525"/>
      <c r="F68" s="525"/>
      <c r="G68" s="525"/>
      <c r="H68" s="334"/>
      <c r="I68" s="334"/>
      <c r="J68" s="397"/>
    </row>
    <row r="69" spans="1:39" ht="14.45" customHeight="1" x14ac:dyDescent="0.25">
      <c r="A69" s="399"/>
      <c r="B69" s="614"/>
      <c r="C69" s="399"/>
      <c r="D69" s="399"/>
      <c r="E69" s="399"/>
      <c r="F69" s="399"/>
      <c r="G69" s="399"/>
      <c r="H69" s="399"/>
      <c r="I69" s="399"/>
      <c r="J69" s="399"/>
    </row>
    <row r="70" spans="1:39" x14ac:dyDescent="0.25">
      <c r="A70" s="399"/>
      <c r="B70" s="390" t="s">
        <v>1003</v>
      </c>
      <c r="C70" s="385"/>
      <c r="D70" s="311"/>
      <c r="E70" s="311"/>
      <c r="F70" s="311"/>
      <c r="G70" s="311"/>
      <c r="H70" s="311"/>
      <c r="I70" s="311"/>
      <c r="J70" s="312"/>
    </row>
    <row r="71" spans="1:39" x14ac:dyDescent="0.25">
      <c r="A71" s="399"/>
      <c r="B71" s="399" t="s">
        <v>977</v>
      </c>
      <c r="C71" s="471"/>
      <c r="D71" s="471"/>
      <c r="E71" s="471"/>
      <c r="F71" s="471"/>
      <c r="G71" s="471"/>
      <c r="H71" s="338"/>
      <c r="I71" s="338"/>
      <c r="J71" s="399"/>
    </row>
    <row r="72" spans="1:39" x14ac:dyDescent="0.25">
      <c r="A72" s="399"/>
      <c r="B72" s="578" t="s">
        <v>991</v>
      </c>
      <c r="C72" s="471"/>
      <c r="D72" s="471"/>
      <c r="E72" s="471"/>
      <c r="F72" s="471"/>
      <c r="G72" s="471"/>
      <c r="H72" s="338"/>
      <c r="I72" s="338"/>
      <c r="J72" s="399"/>
    </row>
    <row r="73" spans="1:39" x14ac:dyDescent="0.25">
      <c r="A73" s="399"/>
      <c r="B73" s="399"/>
      <c r="C73" s="471"/>
      <c r="D73" s="471"/>
      <c r="E73" s="471"/>
      <c r="F73" s="471"/>
      <c r="G73" s="471"/>
      <c r="H73" s="338"/>
      <c r="I73" s="338"/>
      <c r="J73" s="399"/>
    </row>
    <row r="74" spans="1:39" x14ac:dyDescent="0.25">
      <c r="A74" s="399"/>
      <c r="B74" s="302" t="s">
        <v>1004</v>
      </c>
      <c r="C74" s="404">
        <v>50</v>
      </c>
      <c r="D74" s="399" t="s">
        <v>1005</v>
      </c>
      <c r="E74" s="471"/>
      <c r="F74" s="338"/>
      <c r="G74" s="338"/>
      <c r="H74" s="338"/>
      <c r="I74" s="338"/>
      <c r="J74" s="399"/>
    </row>
    <row r="75" spans="1:39" x14ac:dyDescent="0.25">
      <c r="A75" s="399"/>
      <c r="B75" s="302" t="s">
        <v>1006</v>
      </c>
      <c r="C75" s="404">
        <v>45</v>
      </c>
      <c r="D75" s="399" t="s">
        <v>1005</v>
      </c>
      <c r="E75" s="471"/>
      <c r="F75" s="338"/>
      <c r="G75" s="338"/>
      <c r="H75" s="338"/>
      <c r="I75" s="338"/>
      <c r="J75" s="399"/>
    </row>
    <row r="76" spans="1:39" x14ac:dyDescent="0.25">
      <c r="A76" s="399"/>
      <c r="B76" s="302" t="s">
        <v>1007</v>
      </c>
      <c r="C76" s="404">
        <v>35</v>
      </c>
      <c r="D76" s="399" t="s">
        <v>1005</v>
      </c>
      <c r="E76" s="471"/>
      <c r="F76" s="338"/>
      <c r="G76" s="338"/>
      <c r="H76" s="338"/>
      <c r="I76" s="338"/>
      <c r="J76" s="399"/>
    </row>
    <row r="77" spans="1:39" x14ac:dyDescent="0.25">
      <c r="A77" s="399"/>
      <c r="B77" s="470"/>
      <c r="C77" s="471"/>
      <c r="D77" s="471"/>
      <c r="E77" s="471"/>
      <c r="F77" s="471"/>
      <c r="G77" s="471"/>
      <c r="H77" s="471"/>
      <c r="I77" s="471"/>
      <c r="J77" s="471"/>
      <c r="K77" s="260"/>
    </row>
    <row r="78" spans="1:39" ht="45" x14ac:dyDescent="0.25">
      <c r="A78" s="399"/>
      <c r="B78" s="550" t="s">
        <v>1008</v>
      </c>
      <c r="C78" s="529"/>
      <c r="D78" s="362" t="s">
        <v>792</v>
      </c>
      <c r="E78" s="290" t="s">
        <v>56</v>
      </c>
      <c r="F78" s="376" t="s">
        <v>57</v>
      </c>
      <c r="G78" s="290" t="s">
        <v>793</v>
      </c>
      <c r="H78" s="290" t="s">
        <v>794</v>
      </c>
      <c r="I78" s="376" t="s">
        <v>795</v>
      </c>
      <c r="J78" s="338"/>
      <c r="K78" s="260"/>
      <c r="O78" s="260"/>
      <c r="Q78" s="260"/>
      <c r="R78" s="260"/>
      <c r="S78" s="260"/>
      <c r="T78" s="260"/>
      <c r="U78" s="260"/>
      <c r="V78" s="260"/>
      <c r="W78" s="260"/>
      <c r="X78" s="260"/>
      <c r="Y78" s="260"/>
      <c r="AI78" s="396"/>
      <c r="AJ78" s="396"/>
      <c r="AK78" s="396"/>
      <c r="AL78" s="396"/>
      <c r="AM78" s="396"/>
    </row>
    <row r="79" spans="1:39" x14ac:dyDescent="0.25">
      <c r="A79" s="399"/>
      <c r="B79" s="379" t="s">
        <v>1009</v>
      </c>
      <c r="C79" s="292"/>
      <c r="D79" s="406">
        <f>('Capacity (local prices) '!D145*$C$74)/1000</f>
        <v>0</v>
      </c>
      <c r="E79" s="406">
        <f>('Capacity (local prices) '!E145*$C$74)/1000</f>
        <v>0</v>
      </c>
      <c r="F79" s="406">
        <f>('Capacity (local prices) '!F145*$C$74)/1000</f>
        <v>0</v>
      </c>
      <c r="G79" s="406">
        <f>('Capacity (local prices) '!G145*$C$74)/1000</f>
        <v>0</v>
      </c>
      <c r="H79" s="406">
        <f>('Capacity (local prices) '!H145*$C$74)/1000</f>
        <v>0</v>
      </c>
      <c r="I79" s="406">
        <f>('Capacity (local prices) '!I145*$C$74)/1000</f>
        <v>0</v>
      </c>
      <c r="J79" s="338"/>
      <c r="K79" s="260"/>
      <c r="O79" s="260"/>
      <c r="Q79" s="260"/>
      <c r="R79" s="260"/>
      <c r="S79" s="260"/>
      <c r="T79" s="260"/>
      <c r="U79" s="260"/>
      <c r="V79" s="260"/>
      <c r="W79" s="260"/>
      <c r="X79" s="260"/>
      <c r="Y79" s="260"/>
      <c r="AI79" s="396"/>
      <c r="AJ79" s="396"/>
      <c r="AK79" s="396"/>
      <c r="AL79" s="396"/>
      <c r="AM79" s="396"/>
    </row>
    <row r="80" spans="1:39" x14ac:dyDescent="0.25">
      <c r="A80" s="399"/>
      <c r="B80" s="379" t="s">
        <v>1010</v>
      </c>
      <c r="C80" s="292"/>
      <c r="D80" s="406">
        <f>('Capacity (local prices) '!D158*$C$75)/1000</f>
        <v>0</v>
      </c>
      <c r="E80" s="406">
        <f>('Capacity (local prices) '!E158*$C$75)/1000</f>
        <v>0</v>
      </c>
      <c r="F80" s="406">
        <f>('Capacity (local prices) '!F158*$C$75)/1000</f>
        <v>0</v>
      </c>
      <c r="G80" s="406">
        <f>('Capacity (local prices) '!G158*$C$75)/1000</f>
        <v>0</v>
      </c>
      <c r="H80" s="406">
        <f>('Capacity (local prices) '!H158*$C$75)/1000</f>
        <v>0</v>
      </c>
      <c r="I80" s="406">
        <f>('Capacity (local prices) '!I158*$C$75)/1000</f>
        <v>0</v>
      </c>
      <c r="J80" s="338"/>
      <c r="K80" s="260"/>
      <c r="O80" s="260"/>
      <c r="Q80" s="260"/>
      <c r="R80" s="260"/>
      <c r="S80" s="260"/>
      <c r="T80" s="260"/>
      <c r="U80" s="260"/>
      <c r="V80" s="260"/>
      <c r="W80" s="260"/>
      <c r="X80" s="260"/>
      <c r="Y80" s="260"/>
      <c r="AI80" s="396"/>
      <c r="AJ80" s="396"/>
      <c r="AK80" s="396"/>
      <c r="AL80" s="396"/>
      <c r="AM80" s="396"/>
    </row>
    <row r="81" spans="1:39" x14ac:dyDescent="0.25">
      <c r="A81" s="399"/>
      <c r="B81" s="484" t="s">
        <v>1011</v>
      </c>
      <c r="C81" s="292"/>
      <c r="D81" s="406">
        <f>('Capacity (local prices) '!D171*$C$76)/1000</f>
        <v>0</v>
      </c>
      <c r="E81" s="406">
        <f>('Capacity (local prices) '!E171*$C$76)/1000</f>
        <v>0</v>
      </c>
      <c r="F81" s="406">
        <f>('Capacity (local prices) '!F171*$C$76)/1000</f>
        <v>0</v>
      </c>
      <c r="G81" s="406">
        <f>('Capacity (local prices) '!G171*$C$76)/1000</f>
        <v>0</v>
      </c>
      <c r="H81" s="406">
        <f>('Capacity (local prices) '!H171*$C$76)/1000</f>
        <v>0</v>
      </c>
      <c r="I81" s="406">
        <f>('Capacity (local prices) '!I171*$C$76)/1000</f>
        <v>0</v>
      </c>
      <c r="J81" s="338"/>
      <c r="K81" s="260"/>
      <c r="O81" s="260"/>
      <c r="Q81" s="260"/>
      <c r="R81" s="260"/>
      <c r="S81" s="260"/>
      <c r="T81" s="260"/>
      <c r="U81" s="260"/>
      <c r="V81" s="260"/>
      <c r="W81" s="260"/>
      <c r="X81" s="260"/>
      <c r="Y81" s="260"/>
      <c r="AI81" s="396"/>
      <c r="AJ81" s="396"/>
      <c r="AK81" s="396"/>
      <c r="AL81" s="396"/>
      <c r="AM81" s="396"/>
    </row>
    <row r="82" spans="1:39" x14ac:dyDescent="0.25">
      <c r="A82" s="399"/>
      <c r="B82" s="408"/>
      <c r="C82" s="292"/>
      <c r="D82" s="407">
        <f>SUM(D79:D81)</f>
        <v>0</v>
      </c>
      <c r="E82" s="407">
        <f t="shared" ref="E82:I82" si="6">SUM(E79:E81)</f>
        <v>0</v>
      </c>
      <c r="F82" s="407">
        <f t="shared" si="6"/>
        <v>0</v>
      </c>
      <c r="G82" s="407">
        <f t="shared" si="6"/>
        <v>0</v>
      </c>
      <c r="H82" s="407">
        <f t="shared" si="6"/>
        <v>0</v>
      </c>
      <c r="I82" s="407">
        <f t="shared" si="6"/>
        <v>0</v>
      </c>
      <c r="J82" s="338"/>
      <c r="K82" s="260"/>
      <c r="O82" s="260"/>
      <c r="Q82" s="260"/>
      <c r="R82" s="260"/>
      <c r="S82" s="260"/>
      <c r="T82" s="260"/>
      <c r="U82" s="260"/>
      <c r="V82" s="260"/>
      <c r="W82" s="260"/>
      <c r="X82" s="260"/>
      <c r="Y82" s="260"/>
      <c r="AI82" s="396"/>
      <c r="AJ82" s="396"/>
      <c r="AK82" s="396"/>
      <c r="AL82" s="396"/>
      <c r="AM82" s="396"/>
    </row>
    <row r="83" spans="1:39" x14ac:dyDescent="0.25">
      <c r="A83" s="399"/>
      <c r="B83" s="408"/>
      <c r="C83" s="292"/>
      <c r="D83" s="496" t="s">
        <v>1012</v>
      </c>
      <c r="E83" s="407">
        <f>E82-$D82</f>
        <v>0</v>
      </c>
      <c r="F83" s="407">
        <f t="shared" ref="F83:I83" si="7">F82-$D82</f>
        <v>0</v>
      </c>
      <c r="G83" s="407">
        <f t="shared" si="7"/>
        <v>0</v>
      </c>
      <c r="H83" s="407">
        <f t="shared" si="7"/>
        <v>0</v>
      </c>
      <c r="I83" s="407">
        <f t="shared" si="7"/>
        <v>0</v>
      </c>
      <c r="J83" s="338"/>
      <c r="K83" s="260"/>
      <c r="O83" s="260"/>
      <c r="Q83" s="260"/>
      <c r="R83" s="260"/>
      <c r="S83" s="260"/>
      <c r="T83" s="260"/>
      <c r="U83" s="260"/>
      <c r="V83" s="260"/>
      <c r="W83" s="260"/>
      <c r="X83" s="260"/>
      <c r="Y83" s="260"/>
      <c r="AI83" s="396"/>
      <c r="AJ83" s="396"/>
      <c r="AK83" s="396"/>
      <c r="AL83" s="396"/>
      <c r="AM83" s="396"/>
    </row>
    <row r="84" spans="1:39" x14ac:dyDescent="0.25">
      <c r="A84" s="399"/>
      <c r="B84" s="470"/>
      <c r="C84" s="470"/>
      <c r="D84" s="470"/>
      <c r="E84" s="471"/>
      <c r="F84" s="471"/>
      <c r="G84" s="471"/>
      <c r="H84" s="471"/>
      <c r="I84" s="471"/>
      <c r="J84" s="338"/>
      <c r="K84" s="260"/>
    </row>
    <row r="85" spans="1:39" ht="14.45" customHeight="1" x14ac:dyDescent="0.25">
      <c r="A85" s="398"/>
      <c r="B85" s="615"/>
      <c r="C85" s="398"/>
      <c r="D85" s="398"/>
      <c r="E85" s="398"/>
      <c r="F85" s="398"/>
      <c r="G85" s="398"/>
      <c r="H85" s="398"/>
      <c r="I85" s="398"/>
      <c r="J85" s="398"/>
      <c r="K85" s="260"/>
    </row>
    <row r="86" spans="1:39" x14ac:dyDescent="0.25">
      <c r="A86" s="398"/>
      <c r="B86" s="390" t="s">
        <v>1013</v>
      </c>
      <c r="C86" s="385"/>
      <c r="D86" s="311"/>
      <c r="E86" s="311"/>
      <c r="F86" s="311"/>
      <c r="G86" s="311"/>
      <c r="H86" s="311"/>
      <c r="I86" s="311"/>
      <c r="J86" s="312"/>
    </row>
    <row r="87" spans="1:39" x14ac:dyDescent="0.25">
      <c r="A87" s="398"/>
      <c r="B87" s="398" t="s">
        <v>977</v>
      </c>
      <c r="C87" s="473"/>
      <c r="D87" s="473"/>
      <c r="E87" s="473"/>
      <c r="F87" s="473"/>
      <c r="G87" s="473"/>
      <c r="H87" s="336"/>
      <c r="I87" s="336"/>
      <c r="J87" s="398"/>
    </row>
    <row r="88" spans="1:39" x14ac:dyDescent="0.25">
      <c r="A88" s="398"/>
      <c r="B88" s="578" t="s">
        <v>991</v>
      </c>
      <c r="C88" s="473"/>
      <c r="D88" s="473"/>
      <c r="E88" s="473"/>
      <c r="F88" s="473"/>
      <c r="G88" s="473"/>
      <c r="H88" s="336"/>
      <c r="I88" s="336"/>
      <c r="J88" s="398"/>
    </row>
    <row r="89" spans="1:39" x14ac:dyDescent="0.25">
      <c r="A89" s="398"/>
      <c r="B89" s="472"/>
      <c r="C89" s="472"/>
      <c r="D89" s="472"/>
      <c r="E89" s="473"/>
      <c r="F89" s="473"/>
      <c r="G89" s="473"/>
      <c r="H89" s="473"/>
      <c r="I89" s="473"/>
      <c r="J89" s="336"/>
      <c r="K89" s="260"/>
    </row>
    <row r="90" spans="1:39" x14ac:dyDescent="0.25">
      <c r="A90" s="398"/>
      <c r="B90" s="302" t="s">
        <v>1014</v>
      </c>
      <c r="C90" s="404">
        <v>85</v>
      </c>
      <c r="D90" s="472"/>
      <c r="E90" s="473"/>
      <c r="F90" s="473"/>
      <c r="G90" s="473"/>
      <c r="H90" s="473"/>
      <c r="I90" s="473"/>
      <c r="J90" s="336"/>
      <c r="K90" s="260"/>
    </row>
    <row r="91" spans="1:39" x14ac:dyDescent="0.25">
      <c r="A91" s="398"/>
      <c r="B91" s="472"/>
      <c r="C91" s="472"/>
      <c r="D91" s="472"/>
      <c r="E91" s="473"/>
      <c r="F91" s="473"/>
      <c r="G91" s="473"/>
      <c r="H91" s="473"/>
      <c r="I91" s="473"/>
      <c r="J91" s="336"/>
      <c r="K91" s="260"/>
    </row>
    <row r="92" spans="1:39" ht="45" x14ac:dyDescent="0.25">
      <c r="A92" s="398"/>
      <c r="B92" s="551" t="s">
        <v>173</v>
      </c>
      <c r="C92" s="552"/>
      <c r="D92" s="362" t="s">
        <v>792</v>
      </c>
      <c r="E92" s="376" t="s">
        <v>56</v>
      </c>
      <c r="F92" s="376" t="s">
        <v>57</v>
      </c>
      <c r="G92" s="290" t="s">
        <v>793</v>
      </c>
      <c r="H92" s="290" t="s">
        <v>794</v>
      </c>
      <c r="I92" s="376" t="s">
        <v>795</v>
      </c>
      <c r="J92" s="398"/>
      <c r="O92" s="260"/>
      <c r="Q92" s="260"/>
      <c r="R92" s="260"/>
      <c r="S92" s="260"/>
      <c r="T92" s="260"/>
      <c r="U92" s="260"/>
      <c r="V92" s="260"/>
      <c r="W92" s="260"/>
      <c r="X92" s="260"/>
      <c r="Y92" s="260"/>
      <c r="AI92" s="396"/>
      <c r="AJ92" s="396"/>
      <c r="AK92" s="396"/>
      <c r="AL92" s="396"/>
      <c r="AM92" s="396"/>
    </row>
    <row r="93" spans="1:39" x14ac:dyDescent="0.25">
      <c r="A93" s="398"/>
      <c r="B93" s="484" t="s">
        <v>85</v>
      </c>
      <c r="C93" s="292"/>
      <c r="D93" s="405">
        <f>('Capacity (local prices) '!D185*'Financial impact (capacity)'!$C$90)/1000</f>
        <v>0</v>
      </c>
      <c r="E93" s="405">
        <f>('Capacity (local prices) '!E185*'Financial impact (capacity)'!$C$90)/1000</f>
        <v>0</v>
      </c>
      <c r="F93" s="405">
        <f>('Capacity (local prices) '!F185*'Financial impact (capacity)'!$C$90)/1000</f>
        <v>0</v>
      </c>
      <c r="G93" s="405">
        <f>('Capacity (local prices) '!G185*'Financial impact (capacity)'!$C$90)/1000</f>
        <v>0</v>
      </c>
      <c r="H93" s="405">
        <f>('Capacity (local prices) '!H185*'Financial impact (capacity)'!$C$90)/1000</f>
        <v>0</v>
      </c>
      <c r="I93" s="405">
        <f>('Capacity (local prices) '!I185*'Financial impact (capacity)'!$C$90)/1000</f>
        <v>0</v>
      </c>
      <c r="J93" s="398"/>
      <c r="O93" s="260"/>
      <c r="Q93" s="260"/>
      <c r="R93" s="260"/>
      <c r="S93" s="260"/>
      <c r="T93" s="260"/>
      <c r="U93" s="260"/>
      <c r="V93" s="260"/>
      <c r="W93" s="260"/>
      <c r="X93" s="260"/>
      <c r="Y93" s="260"/>
      <c r="AI93" s="396"/>
      <c r="AJ93" s="396"/>
      <c r="AK93" s="396"/>
      <c r="AL93" s="396"/>
      <c r="AM93" s="396"/>
    </row>
    <row r="94" spans="1:39" x14ac:dyDescent="0.25">
      <c r="A94" s="398"/>
      <c r="B94" s="408" t="s">
        <v>1015</v>
      </c>
      <c r="C94" s="292"/>
      <c r="D94" s="407">
        <f>SUM(D93)</f>
        <v>0</v>
      </c>
      <c r="E94" s="407">
        <f t="shared" ref="E94:I94" si="8">SUM(E93)</f>
        <v>0</v>
      </c>
      <c r="F94" s="407">
        <f t="shared" si="8"/>
        <v>0</v>
      </c>
      <c r="G94" s="407">
        <f t="shared" si="8"/>
        <v>0</v>
      </c>
      <c r="H94" s="407">
        <f t="shared" si="8"/>
        <v>0</v>
      </c>
      <c r="I94" s="407">
        <f t="shared" si="8"/>
        <v>0</v>
      </c>
      <c r="J94" s="398"/>
      <c r="O94" s="260"/>
      <c r="Q94" s="260"/>
      <c r="R94" s="260"/>
      <c r="S94" s="260"/>
      <c r="T94" s="260"/>
      <c r="U94" s="260"/>
      <c r="V94" s="260"/>
      <c r="W94" s="260"/>
      <c r="X94" s="260"/>
      <c r="Y94" s="260"/>
      <c r="AI94" s="396"/>
      <c r="AJ94" s="396"/>
      <c r="AK94" s="396"/>
      <c r="AL94" s="396"/>
      <c r="AM94" s="396"/>
    </row>
    <row r="95" spans="1:39" x14ac:dyDescent="0.25">
      <c r="A95" s="398"/>
      <c r="B95" s="408"/>
      <c r="C95" s="292"/>
      <c r="D95" s="496" t="s">
        <v>1016</v>
      </c>
      <c r="E95" s="407">
        <f>E94-$D94</f>
        <v>0</v>
      </c>
      <c r="F95" s="407">
        <f>F94-$D94</f>
        <v>0</v>
      </c>
      <c r="G95" s="407">
        <f>G94-$D94</f>
        <v>0</v>
      </c>
      <c r="H95" s="407">
        <f>H94-$D94</f>
        <v>0</v>
      </c>
      <c r="I95" s="407">
        <f>I94-$D94</f>
        <v>0</v>
      </c>
      <c r="J95" s="398"/>
      <c r="O95" s="260"/>
      <c r="Q95" s="260"/>
      <c r="R95" s="260"/>
      <c r="S95" s="260"/>
      <c r="T95" s="260"/>
      <c r="U95" s="260"/>
      <c r="V95" s="260"/>
      <c r="W95" s="260"/>
      <c r="X95" s="260"/>
      <c r="Y95" s="260"/>
      <c r="AI95" s="396"/>
      <c r="AJ95" s="396"/>
      <c r="AK95" s="396"/>
      <c r="AL95" s="396"/>
      <c r="AM95" s="396"/>
    </row>
    <row r="96" spans="1:39" x14ac:dyDescent="0.25">
      <c r="A96" s="398"/>
      <c r="B96" s="489"/>
      <c r="C96" s="489"/>
      <c r="D96" s="474"/>
      <c r="E96" s="486"/>
      <c r="F96" s="486"/>
      <c r="G96" s="486"/>
      <c r="H96" s="486"/>
      <c r="I96" s="486"/>
      <c r="J96" s="398"/>
      <c r="O96" s="260"/>
      <c r="Q96" s="260"/>
      <c r="R96" s="260"/>
      <c r="S96" s="260"/>
      <c r="T96" s="260"/>
      <c r="U96" s="260"/>
      <c r="V96" s="260"/>
      <c r="W96" s="260"/>
      <c r="X96" s="260"/>
      <c r="Y96" s="260"/>
      <c r="AI96" s="396"/>
      <c r="AJ96" s="396"/>
      <c r="AK96" s="396"/>
      <c r="AL96" s="396"/>
      <c r="AM96" s="396"/>
    </row>
    <row r="97" spans="1:39" ht="14.45" customHeight="1" x14ac:dyDescent="0.25">
      <c r="A97" s="456"/>
      <c r="B97" s="616"/>
      <c r="C97" s="456"/>
      <c r="D97" s="456"/>
      <c r="E97" s="456"/>
      <c r="F97" s="456"/>
      <c r="G97" s="456"/>
      <c r="H97" s="456"/>
      <c r="I97" s="456"/>
      <c r="J97" s="456"/>
      <c r="K97" s="260"/>
    </row>
    <row r="98" spans="1:39" x14ac:dyDescent="0.25">
      <c r="A98" s="456"/>
      <c r="B98" s="390" t="s">
        <v>1017</v>
      </c>
      <c r="C98" s="385"/>
      <c r="D98" s="311"/>
      <c r="E98" s="311"/>
      <c r="F98" s="311"/>
      <c r="G98" s="311"/>
      <c r="H98" s="311"/>
      <c r="I98" s="311"/>
      <c r="J98" s="312"/>
    </row>
    <row r="99" spans="1:39" x14ac:dyDescent="0.25">
      <c r="A99" s="456"/>
      <c r="B99" s="456" t="s">
        <v>977</v>
      </c>
      <c r="C99" s="592"/>
      <c r="D99" s="592"/>
      <c r="E99" s="592"/>
      <c r="F99" s="592"/>
      <c r="G99" s="592"/>
      <c r="H99" s="593"/>
      <c r="I99" s="593"/>
      <c r="J99" s="456"/>
    </row>
    <row r="100" spans="1:39" x14ac:dyDescent="0.25">
      <c r="A100" s="456"/>
      <c r="B100" s="578" t="s">
        <v>991</v>
      </c>
      <c r="C100" s="592"/>
      <c r="D100" s="592"/>
      <c r="E100" s="592"/>
      <c r="F100" s="592"/>
      <c r="G100" s="592"/>
      <c r="H100" s="593"/>
      <c r="I100" s="593"/>
      <c r="J100" s="456"/>
    </row>
    <row r="101" spans="1:39" x14ac:dyDescent="0.25">
      <c r="A101" s="456"/>
      <c r="B101" s="456"/>
      <c r="C101" s="456"/>
      <c r="D101" s="591"/>
      <c r="E101" s="592"/>
      <c r="F101" s="592"/>
      <c r="G101" s="592"/>
      <c r="H101" s="592"/>
      <c r="I101" s="592"/>
      <c r="J101" s="593"/>
    </row>
    <row r="102" spans="1:39" x14ac:dyDescent="0.25">
      <c r="A102" s="456"/>
      <c r="B102" s="302" t="s">
        <v>1018</v>
      </c>
      <c r="C102" s="404">
        <v>85</v>
      </c>
      <c r="D102" s="591"/>
      <c r="E102" s="592"/>
      <c r="F102" s="592"/>
      <c r="G102" s="592"/>
      <c r="H102" s="592"/>
      <c r="I102" s="592"/>
      <c r="J102" s="593"/>
      <c r="K102" s="260"/>
    </row>
    <row r="103" spans="1:39" x14ac:dyDescent="0.25">
      <c r="A103" s="456"/>
      <c r="B103" s="475"/>
      <c r="C103" s="475"/>
      <c r="D103" s="475"/>
      <c r="E103" s="476"/>
      <c r="F103" s="476"/>
      <c r="G103" s="476"/>
      <c r="H103" s="476"/>
      <c r="I103" s="476"/>
      <c r="J103" s="456"/>
      <c r="O103" s="260"/>
      <c r="Q103" s="260"/>
      <c r="R103" s="260"/>
      <c r="S103" s="260"/>
      <c r="T103" s="260"/>
      <c r="U103" s="260"/>
      <c r="V103" s="260"/>
      <c r="W103" s="260"/>
      <c r="X103" s="260"/>
      <c r="Y103" s="260"/>
      <c r="AI103" s="396"/>
      <c r="AJ103" s="396"/>
      <c r="AK103" s="396"/>
      <c r="AL103" s="396"/>
      <c r="AM103" s="396"/>
    </row>
    <row r="104" spans="1:39" ht="45" x14ac:dyDescent="0.25">
      <c r="A104" s="456"/>
      <c r="B104" s="553" t="s">
        <v>175</v>
      </c>
      <c r="C104" s="554"/>
      <c r="D104" s="362" t="s">
        <v>792</v>
      </c>
      <c r="E104" s="376" t="s">
        <v>56</v>
      </c>
      <c r="F104" s="376" t="s">
        <v>57</v>
      </c>
      <c r="G104" s="290" t="s">
        <v>793</v>
      </c>
      <c r="H104" s="290" t="s">
        <v>794</v>
      </c>
      <c r="I104" s="376" t="s">
        <v>795</v>
      </c>
      <c r="J104" s="456"/>
      <c r="O104" s="260"/>
      <c r="Q104" s="260"/>
      <c r="R104" s="260"/>
      <c r="S104" s="260"/>
      <c r="T104" s="260"/>
      <c r="U104" s="260"/>
      <c r="V104" s="260"/>
      <c r="W104" s="260"/>
      <c r="X104" s="260"/>
      <c r="Y104" s="260"/>
      <c r="AI104" s="396"/>
      <c r="AJ104" s="396"/>
      <c r="AK104" s="396"/>
      <c r="AL104" s="396"/>
      <c r="AM104" s="396"/>
    </row>
    <row r="105" spans="1:39" x14ac:dyDescent="0.25">
      <c r="A105" s="456"/>
      <c r="B105" s="484" t="s">
        <v>1019</v>
      </c>
      <c r="C105" s="292"/>
      <c r="D105" s="405" t="e">
        <f>('Capacity (local prices) '!D194*'Financial impact (capacity)'!$C$102)/1000</f>
        <v>#REF!</v>
      </c>
      <c r="E105" s="405" t="e">
        <f>('Capacity (local prices) '!E194*'Financial impact (capacity)'!$C$102)/1000</f>
        <v>#REF!</v>
      </c>
      <c r="F105" s="405" t="e">
        <f>('Capacity (local prices) '!F194*'Financial impact (capacity)'!$C$102)/1000</f>
        <v>#REF!</v>
      </c>
      <c r="G105" s="405" t="e">
        <f>('Capacity (local prices) '!G194*'Financial impact (capacity)'!$C$102)/1000</f>
        <v>#REF!</v>
      </c>
      <c r="H105" s="405" t="e">
        <f>('Capacity (local prices) '!H194*'Financial impact (capacity)'!$C$102)/1000</f>
        <v>#REF!</v>
      </c>
      <c r="I105" s="405" t="e">
        <f>('Capacity (local prices) '!I194*'Financial impact (capacity)'!$C$102)/1000</f>
        <v>#REF!</v>
      </c>
      <c r="J105" s="456"/>
      <c r="O105" s="260"/>
      <c r="Q105" s="260"/>
      <c r="R105" s="260"/>
      <c r="S105" s="260"/>
      <c r="T105" s="260"/>
      <c r="U105" s="260"/>
      <c r="V105" s="260"/>
      <c r="W105" s="260"/>
      <c r="X105" s="260"/>
      <c r="Y105" s="260"/>
      <c r="AI105" s="396"/>
      <c r="AJ105" s="396"/>
      <c r="AK105" s="396"/>
      <c r="AL105" s="396"/>
      <c r="AM105" s="396"/>
    </row>
    <row r="106" spans="1:39" x14ac:dyDescent="0.25">
      <c r="A106" s="456"/>
      <c r="B106" s="408" t="s">
        <v>1015</v>
      </c>
      <c r="C106" s="292"/>
      <c r="D106" s="407" t="e">
        <f>SUM(D105)</f>
        <v>#REF!</v>
      </c>
      <c r="E106" s="407" t="e">
        <f t="shared" ref="E106:I106" si="9">SUM(E105)</f>
        <v>#REF!</v>
      </c>
      <c r="F106" s="407" t="e">
        <f t="shared" si="9"/>
        <v>#REF!</v>
      </c>
      <c r="G106" s="407" t="e">
        <f t="shared" si="9"/>
        <v>#REF!</v>
      </c>
      <c r="H106" s="407" t="e">
        <f t="shared" si="9"/>
        <v>#REF!</v>
      </c>
      <c r="I106" s="407" t="e">
        <f t="shared" si="9"/>
        <v>#REF!</v>
      </c>
      <c r="J106" s="456"/>
      <c r="O106" s="260"/>
      <c r="Q106" s="260"/>
      <c r="R106" s="260"/>
      <c r="S106" s="260"/>
      <c r="T106" s="260"/>
      <c r="U106" s="260"/>
      <c r="V106" s="260"/>
      <c r="W106" s="260"/>
      <c r="X106" s="260"/>
      <c r="Y106" s="260"/>
      <c r="AI106" s="396"/>
      <c r="AJ106" s="396"/>
      <c r="AK106" s="396"/>
      <c r="AL106" s="396"/>
      <c r="AM106" s="396"/>
    </row>
    <row r="107" spans="1:39" x14ac:dyDescent="0.25">
      <c r="A107" s="456"/>
      <c r="B107" s="408"/>
      <c r="C107" s="292"/>
      <c r="D107" s="496" t="s">
        <v>1020</v>
      </c>
      <c r="E107" s="407" t="e">
        <f>E106-$D106</f>
        <v>#REF!</v>
      </c>
      <c r="F107" s="407" t="e">
        <f>F106-$D106</f>
        <v>#REF!</v>
      </c>
      <c r="G107" s="407" t="e">
        <f>G106-$D106</f>
        <v>#REF!</v>
      </c>
      <c r="H107" s="407" t="e">
        <f>H106-$D106</f>
        <v>#REF!</v>
      </c>
      <c r="I107" s="407" t="e">
        <f>I106-$D106</f>
        <v>#REF!</v>
      </c>
      <c r="J107" s="456"/>
      <c r="O107" s="260"/>
      <c r="Q107" s="260"/>
      <c r="R107" s="260"/>
      <c r="S107" s="260"/>
      <c r="T107" s="260"/>
      <c r="U107" s="260"/>
      <c r="V107" s="260"/>
      <c r="W107" s="260"/>
      <c r="X107" s="260"/>
      <c r="Y107" s="260"/>
      <c r="AI107" s="396"/>
      <c r="AJ107" s="396"/>
      <c r="AK107" s="396"/>
      <c r="AL107" s="396"/>
      <c r="AM107" s="396"/>
    </row>
    <row r="108" spans="1:39" x14ac:dyDescent="0.25">
      <c r="A108" s="456"/>
      <c r="B108" s="490"/>
      <c r="C108" s="490"/>
      <c r="D108" s="479"/>
      <c r="E108" s="487"/>
      <c r="F108" s="487"/>
      <c r="G108" s="487"/>
      <c r="H108" s="487"/>
      <c r="I108" s="487"/>
      <c r="J108" s="456"/>
      <c r="O108" s="260"/>
      <c r="Q108" s="260"/>
      <c r="R108" s="260"/>
      <c r="S108" s="260"/>
      <c r="T108" s="260"/>
      <c r="U108" s="260"/>
      <c r="V108" s="260"/>
      <c r="W108" s="260"/>
      <c r="X108" s="260"/>
      <c r="Y108" s="260"/>
      <c r="AI108" s="396"/>
      <c r="AJ108" s="396"/>
      <c r="AK108" s="396"/>
      <c r="AL108" s="396"/>
      <c r="AM108" s="396"/>
    </row>
    <row r="109" spans="1:39" ht="14.45" customHeight="1" x14ac:dyDescent="0.25">
      <c r="A109" s="400"/>
      <c r="B109" s="594"/>
      <c r="C109" s="400"/>
      <c r="D109" s="400"/>
      <c r="E109" s="400"/>
      <c r="F109" s="400"/>
      <c r="G109" s="400"/>
      <c r="H109" s="400"/>
      <c r="I109" s="400"/>
      <c r="J109" s="400"/>
      <c r="O109" s="260"/>
    </row>
    <row r="110" spans="1:39" x14ac:dyDescent="0.25">
      <c r="A110" s="400"/>
      <c r="B110" s="390" t="s">
        <v>1021</v>
      </c>
      <c r="C110" s="385"/>
      <c r="D110" s="311"/>
      <c r="E110" s="311"/>
      <c r="F110" s="311"/>
      <c r="G110" s="311"/>
      <c r="H110" s="311"/>
      <c r="I110" s="311"/>
      <c r="J110" s="312"/>
      <c r="O110" s="260"/>
    </row>
    <row r="111" spans="1:39" x14ac:dyDescent="0.25">
      <c r="A111" s="400"/>
      <c r="B111" s="400" t="s">
        <v>977</v>
      </c>
      <c r="C111" s="595"/>
      <c r="D111" s="400"/>
      <c r="E111" s="400"/>
      <c r="F111" s="400"/>
      <c r="G111" s="400"/>
      <c r="H111" s="400"/>
      <c r="I111" s="400"/>
      <c r="J111" s="400"/>
      <c r="O111" s="260"/>
    </row>
    <row r="112" spans="1:39" x14ac:dyDescent="0.25">
      <c r="A112" s="400"/>
      <c r="B112" s="546" t="s">
        <v>134</v>
      </c>
      <c r="C112" s="595"/>
      <c r="D112" s="400"/>
      <c r="E112" s="400"/>
      <c r="F112" s="400"/>
      <c r="G112" s="400"/>
      <c r="H112" s="400"/>
      <c r="I112" s="400"/>
      <c r="J112" s="400"/>
      <c r="O112" s="260"/>
    </row>
    <row r="113" spans="1:39" x14ac:dyDescent="0.25">
      <c r="A113" s="400"/>
      <c r="B113" s="596"/>
      <c r="C113" s="595"/>
      <c r="D113" s="400"/>
      <c r="E113" s="400"/>
      <c r="F113" s="400"/>
      <c r="G113" s="400"/>
      <c r="H113" s="400"/>
      <c r="I113" s="400"/>
      <c r="J113" s="400"/>
      <c r="O113" s="260"/>
    </row>
    <row r="114" spans="1:39" x14ac:dyDescent="0.25">
      <c r="A114" s="400"/>
      <c r="B114" s="597" t="s">
        <v>1022</v>
      </c>
      <c r="C114" s="598"/>
      <c r="D114" s="598"/>
      <c r="E114" s="598"/>
      <c r="F114" s="598"/>
      <c r="G114" s="598"/>
      <c r="H114" s="598"/>
      <c r="I114" s="598"/>
      <c r="J114" s="400"/>
      <c r="O114" s="260"/>
    </row>
    <row r="115" spans="1:39" x14ac:dyDescent="0.25">
      <c r="A115" s="400"/>
      <c r="B115" s="367" t="s">
        <v>1023</v>
      </c>
      <c r="C115" s="367" t="s">
        <v>979</v>
      </c>
      <c r="D115" s="372" t="s">
        <v>980</v>
      </c>
      <c r="E115" s="373"/>
      <c r="F115" s="373"/>
      <c r="G115" s="373"/>
      <c r="H115" s="373"/>
      <c r="I115" s="367" t="s">
        <v>981</v>
      </c>
      <c r="J115" s="400"/>
      <c r="M115" s="368"/>
    </row>
    <row r="116" spans="1:39" x14ac:dyDescent="0.25">
      <c r="A116" s="400"/>
      <c r="B116" s="302" t="s">
        <v>127</v>
      </c>
      <c r="C116" s="515" t="s">
        <v>130</v>
      </c>
      <c r="D116" s="579" t="s">
        <v>1024</v>
      </c>
      <c r="E116" s="517"/>
      <c r="F116" s="517"/>
      <c r="G116" s="518"/>
      <c r="H116" s="519"/>
      <c r="I116" s="506">
        <v>118</v>
      </c>
      <c r="J116" s="400"/>
      <c r="M116" s="368"/>
    </row>
    <row r="117" spans="1:39" x14ac:dyDescent="0.25">
      <c r="A117" s="400"/>
      <c r="B117" s="302" t="s">
        <v>1025</v>
      </c>
      <c r="C117" s="515" t="s">
        <v>1026</v>
      </c>
      <c r="D117" s="579" t="s">
        <v>1027</v>
      </c>
      <c r="E117" s="517"/>
      <c r="F117" s="517"/>
      <c r="G117" s="518"/>
      <c r="H117" s="519"/>
      <c r="I117" s="506">
        <v>335</v>
      </c>
      <c r="J117" s="400"/>
      <c r="M117" s="368"/>
    </row>
    <row r="118" spans="1:39" x14ac:dyDescent="0.25">
      <c r="A118" s="400"/>
      <c r="B118" s="599" t="s">
        <v>982</v>
      </c>
      <c r="C118" s="400"/>
      <c r="D118" s="400"/>
      <c r="E118" s="400"/>
      <c r="F118" s="400"/>
      <c r="G118" s="400"/>
      <c r="H118" s="400"/>
      <c r="I118" s="400"/>
      <c r="J118" s="400"/>
      <c r="M118" s="368"/>
    </row>
    <row r="119" spans="1:39" x14ac:dyDescent="0.25">
      <c r="A119" s="400"/>
      <c r="B119" s="600" t="s">
        <v>1028</v>
      </c>
      <c r="C119" s="400"/>
      <c r="D119" s="400"/>
      <c r="E119" s="400"/>
      <c r="F119" s="400"/>
      <c r="G119" s="400"/>
      <c r="H119" s="400"/>
      <c r="I119" s="400"/>
      <c r="J119" s="400"/>
      <c r="M119" s="368"/>
    </row>
    <row r="120" spans="1:39" x14ac:dyDescent="0.25">
      <c r="A120" s="400"/>
      <c r="B120" s="594"/>
      <c r="C120" s="400"/>
      <c r="D120" s="400"/>
      <c r="E120" s="400"/>
      <c r="F120" s="400"/>
      <c r="G120" s="400"/>
      <c r="H120" s="400"/>
      <c r="I120" s="400"/>
      <c r="J120" s="400"/>
      <c r="M120" s="368"/>
    </row>
    <row r="121" spans="1:39" x14ac:dyDescent="0.25">
      <c r="A121" s="400"/>
      <c r="B121" s="597" t="s">
        <v>1029</v>
      </c>
      <c r="C121" s="598"/>
      <c r="D121" s="598"/>
      <c r="E121" s="598"/>
      <c r="F121" s="598"/>
      <c r="G121" s="598"/>
      <c r="H121" s="598"/>
      <c r="I121" s="598"/>
      <c r="J121" s="400"/>
      <c r="L121" s="368"/>
      <c r="M121" s="368"/>
    </row>
    <row r="122" spans="1:39" x14ac:dyDescent="0.25">
      <c r="A122" s="400"/>
      <c r="B122" s="369" t="s">
        <v>1023</v>
      </c>
      <c r="C122" s="580"/>
      <c r="D122" s="372" t="s">
        <v>980</v>
      </c>
      <c r="E122" s="373"/>
      <c r="F122" s="373"/>
      <c r="G122" s="373"/>
      <c r="H122" s="373"/>
      <c r="I122" s="367" t="s">
        <v>981</v>
      </c>
      <c r="J122" s="400"/>
      <c r="M122" s="368"/>
    </row>
    <row r="123" spans="1:39" x14ac:dyDescent="0.25">
      <c r="A123" s="400"/>
      <c r="B123" s="579" t="s">
        <v>127</v>
      </c>
      <c r="C123" s="581"/>
      <c r="D123" s="579" t="s">
        <v>1030</v>
      </c>
      <c r="E123" s="517"/>
      <c r="F123" s="517"/>
      <c r="G123" s="518"/>
      <c r="H123" s="519"/>
      <c r="I123" s="506">
        <v>100</v>
      </c>
      <c r="J123" s="400"/>
      <c r="M123" s="368"/>
    </row>
    <row r="124" spans="1:39" x14ac:dyDescent="0.25">
      <c r="A124" s="400"/>
      <c r="B124" s="579" t="s">
        <v>1031</v>
      </c>
      <c r="C124" s="581"/>
      <c r="D124" s="579" t="s">
        <v>1032</v>
      </c>
      <c r="E124" s="517"/>
      <c r="F124" s="517"/>
      <c r="G124" s="518"/>
      <c r="H124" s="519"/>
      <c r="I124" s="506">
        <v>32.5</v>
      </c>
      <c r="J124" s="400"/>
      <c r="M124" s="368"/>
    </row>
    <row r="125" spans="1:39" x14ac:dyDescent="0.25">
      <c r="A125" s="400"/>
      <c r="B125" s="579" t="s">
        <v>1025</v>
      </c>
      <c r="C125" s="581"/>
      <c r="D125" s="579" t="s">
        <v>1027</v>
      </c>
      <c r="E125" s="517"/>
      <c r="F125" s="517"/>
      <c r="G125" s="518"/>
      <c r="H125" s="519"/>
      <c r="I125" s="506">
        <v>200</v>
      </c>
      <c r="J125" s="400"/>
      <c r="M125" s="368"/>
    </row>
    <row r="126" spans="1:39" x14ac:dyDescent="0.25">
      <c r="A126" s="400"/>
      <c r="B126" s="579" t="s">
        <v>1033</v>
      </c>
      <c r="C126" s="581"/>
      <c r="D126" s="582" t="s">
        <v>1034</v>
      </c>
      <c r="E126" s="517"/>
      <c r="F126" s="517"/>
      <c r="G126" s="518"/>
      <c r="H126" s="519"/>
      <c r="I126" s="506">
        <v>45</v>
      </c>
      <c r="J126" s="400"/>
    </row>
    <row r="127" spans="1:39" x14ac:dyDescent="0.25">
      <c r="A127" s="400"/>
      <c r="B127" s="477"/>
      <c r="C127" s="477"/>
      <c r="D127" s="477"/>
      <c r="E127" s="478"/>
      <c r="F127" s="478"/>
      <c r="G127" s="478"/>
      <c r="H127" s="478"/>
      <c r="I127" s="478"/>
      <c r="J127" s="400"/>
      <c r="O127" s="260"/>
      <c r="R127" s="260"/>
      <c r="S127" s="260"/>
      <c r="T127" s="260"/>
      <c r="U127" s="260"/>
      <c r="V127" s="260"/>
      <c r="W127" s="260"/>
      <c r="X127" s="260"/>
      <c r="Y127" s="260"/>
      <c r="AI127" s="396"/>
      <c r="AJ127" s="396"/>
      <c r="AK127" s="396"/>
      <c r="AL127" s="396"/>
      <c r="AM127" s="396"/>
    </row>
    <row r="128" spans="1:39" ht="45" x14ac:dyDescent="0.25">
      <c r="A128" s="400"/>
      <c r="B128" s="393" t="s">
        <v>824</v>
      </c>
      <c r="C128" s="386" t="s">
        <v>796</v>
      </c>
      <c r="D128" s="362" t="s">
        <v>792</v>
      </c>
      <c r="E128" s="376" t="s">
        <v>56</v>
      </c>
      <c r="F128" s="376" t="s">
        <v>57</v>
      </c>
      <c r="G128" s="290" t="s">
        <v>793</v>
      </c>
      <c r="H128" s="290" t="s">
        <v>794</v>
      </c>
      <c r="I128" s="376" t="s">
        <v>795</v>
      </c>
      <c r="J128" s="400"/>
      <c r="O128" s="260"/>
      <c r="R128" s="260"/>
      <c r="S128" s="260"/>
      <c r="T128" s="260"/>
      <c r="U128" s="260"/>
      <c r="V128" s="260"/>
      <c r="W128" s="260"/>
      <c r="X128" s="260"/>
      <c r="Y128" s="260"/>
      <c r="AI128" s="396"/>
      <c r="AJ128" s="396"/>
      <c r="AK128" s="396"/>
      <c r="AL128" s="396"/>
      <c r="AM128" s="396"/>
    </row>
    <row r="129" spans="1:39" x14ac:dyDescent="0.25">
      <c r="A129" s="400"/>
      <c r="B129" s="379" t="s">
        <v>1035</v>
      </c>
      <c r="C129" s="576">
        <f>IF($B$112="national prices",I116,I123)</f>
        <v>118</v>
      </c>
      <c r="D129" s="405">
        <f>('Capacity (local prices) '!D222*'Financial impact (capacity)'!$C$129)/1000</f>
        <v>0</v>
      </c>
      <c r="E129" s="405">
        <f>('Capacity (local prices) '!E222*'Financial impact (capacity)'!$C$129)/1000</f>
        <v>0</v>
      </c>
      <c r="F129" s="405">
        <f>('Capacity (local prices) '!F222*'Financial impact (capacity)'!$C$129)/1000</f>
        <v>0</v>
      </c>
      <c r="G129" s="405">
        <f>('Capacity (local prices) '!G222*'Financial impact (capacity)'!$C$129)/1000</f>
        <v>0</v>
      </c>
      <c r="H129" s="405">
        <f>('Capacity (local prices) '!H222*'Financial impact (capacity)'!$C$129)/1000</f>
        <v>0</v>
      </c>
      <c r="I129" s="405">
        <f>('Capacity (local prices) '!I222*'Financial impact (capacity)'!$C$129)/1000</f>
        <v>0</v>
      </c>
      <c r="J129" s="400"/>
      <c r="O129" s="260"/>
      <c r="R129" s="260"/>
      <c r="S129" s="260"/>
      <c r="T129" s="260"/>
      <c r="U129" s="260"/>
      <c r="V129" s="260"/>
      <c r="W129" s="260"/>
      <c r="X129" s="260"/>
      <c r="Y129" s="260"/>
      <c r="AI129" s="396"/>
      <c r="AJ129" s="396"/>
      <c r="AK129" s="396"/>
      <c r="AL129" s="396"/>
      <c r="AM129" s="396"/>
    </row>
    <row r="130" spans="1:39" x14ac:dyDescent="0.25">
      <c r="A130" s="400"/>
      <c r="B130" s="379" t="s">
        <v>1036</v>
      </c>
      <c r="C130" s="576">
        <f>I124</f>
        <v>32.5</v>
      </c>
      <c r="D130" s="405">
        <f>('Capacity (local prices) '!D235*'Financial impact (capacity)'!$C$130)/1000</f>
        <v>0</v>
      </c>
      <c r="E130" s="405">
        <f>('Capacity (local prices) '!E235*'Financial impact (capacity)'!$C$130)/1000</f>
        <v>0</v>
      </c>
      <c r="F130" s="405">
        <f>('Capacity (local prices) '!F235*'Financial impact (capacity)'!$C$130)/1000</f>
        <v>0</v>
      </c>
      <c r="G130" s="405">
        <f>('Capacity (local prices) '!G235*'Financial impact (capacity)'!$C$130)/1000</f>
        <v>0</v>
      </c>
      <c r="H130" s="405">
        <f>('Capacity (local prices) '!H235*'Financial impact (capacity)'!$C$130)/1000</f>
        <v>0</v>
      </c>
      <c r="I130" s="405">
        <f>('Capacity (local prices) '!I235*'Financial impact (capacity)'!$C$130)/1000</f>
        <v>0</v>
      </c>
      <c r="J130" s="400"/>
      <c r="O130" s="260"/>
      <c r="Q130" s="260"/>
      <c r="R130" s="260"/>
      <c r="S130" s="260"/>
      <c r="T130" s="260"/>
      <c r="U130" s="260"/>
      <c r="V130" s="260"/>
      <c r="W130" s="260"/>
      <c r="X130" s="260"/>
      <c r="Y130" s="260"/>
      <c r="AI130" s="396"/>
      <c r="AJ130" s="396"/>
      <c r="AK130" s="396"/>
      <c r="AL130" s="396"/>
      <c r="AM130" s="396"/>
    </row>
    <row r="131" spans="1:39" x14ac:dyDescent="0.25">
      <c r="A131" s="400"/>
      <c r="B131" s="379" t="s">
        <v>1037</v>
      </c>
      <c r="C131" s="576">
        <f>IF($B$112="national prices",I117,I125)</f>
        <v>335</v>
      </c>
      <c r="D131" s="405">
        <f>('Capacity (local prices) '!D248*'Financial impact (capacity)'!$C$131)/1000</f>
        <v>0</v>
      </c>
      <c r="E131" s="405">
        <f>('Capacity (local prices) '!E248*'Financial impact (capacity)'!$C$131)/1000</f>
        <v>0</v>
      </c>
      <c r="F131" s="405">
        <f>('Capacity (local prices) '!F248*'Financial impact (capacity)'!$C$131)/1000</f>
        <v>0</v>
      </c>
      <c r="G131" s="405">
        <f>('Capacity (local prices) '!G248*'Financial impact (capacity)'!$C$131)/1000</f>
        <v>0</v>
      </c>
      <c r="H131" s="405">
        <f>('Capacity (local prices) '!H248*'Financial impact (capacity)'!$C$131)/1000</f>
        <v>0</v>
      </c>
      <c r="I131" s="405">
        <f>('Capacity (local prices) '!I248*'Financial impact (capacity)'!$C$131)/1000</f>
        <v>0</v>
      </c>
      <c r="J131" s="400"/>
      <c r="O131" s="260"/>
      <c r="Q131" s="260"/>
      <c r="R131" s="260"/>
      <c r="S131" s="260"/>
      <c r="T131" s="260"/>
      <c r="U131" s="260"/>
      <c r="V131" s="260"/>
      <c r="W131" s="260"/>
      <c r="X131" s="260"/>
      <c r="Y131" s="260"/>
      <c r="AI131" s="396"/>
      <c r="AJ131" s="396"/>
      <c r="AK131" s="396"/>
      <c r="AL131" s="396"/>
      <c r="AM131" s="396"/>
    </row>
    <row r="132" spans="1:39" x14ac:dyDescent="0.25">
      <c r="A132" s="400"/>
      <c r="B132" s="379" t="s">
        <v>1038</v>
      </c>
      <c r="C132" s="576">
        <f>I126</f>
        <v>45</v>
      </c>
      <c r="D132" s="405" t="e">
        <f>('Capacity (local prices) '!#REF!*'Financial impact (capacity)'!$C$132)/1000</f>
        <v>#REF!</v>
      </c>
      <c r="E132" s="405" t="e">
        <f>('Capacity (local prices) '!#REF!*'Financial impact (capacity)'!$C$132)/1000</f>
        <v>#REF!</v>
      </c>
      <c r="F132" s="405" t="e">
        <f>('Capacity (local prices) '!#REF!*'Financial impact (capacity)'!$C$132)/1000</f>
        <v>#REF!</v>
      </c>
      <c r="G132" s="405" t="e">
        <f>('Capacity (local prices) '!#REF!*'Financial impact (capacity)'!$C$132)/1000</f>
        <v>#REF!</v>
      </c>
      <c r="H132" s="405" t="e">
        <f>('Capacity (local prices) '!#REF!*'Financial impact (capacity)'!$C$132)/1000</f>
        <v>#REF!</v>
      </c>
      <c r="I132" s="405" t="e">
        <f>('Capacity (local prices) '!#REF!*'Financial impact (capacity)'!$C$132)/1000</f>
        <v>#REF!</v>
      </c>
      <c r="J132" s="400"/>
      <c r="O132" s="260"/>
      <c r="Q132" s="260"/>
      <c r="S132" s="260"/>
      <c r="T132" s="260"/>
      <c r="U132" s="260"/>
      <c r="V132" s="260"/>
      <c r="W132" s="260"/>
      <c r="X132" s="260"/>
      <c r="Y132" s="260"/>
      <c r="AI132" s="396"/>
      <c r="AJ132" s="396"/>
      <c r="AK132" s="396"/>
      <c r="AL132" s="396"/>
      <c r="AM132" s="396"/>
    </row>
    <row r="133" spans="1:39" x14ac:dyDescent="0.25">
      <c r="A133" s="400"/>
      <c r="B133" s="408" t="s">
        <v>1015</v>
      </c>
      <c r="C133" s="292"/>
      <c r="D133" s="310" t="e">
        <f>SUM(D129:D132)</f>
        <v>#REF!</v>
      </c>
      <c r="E133" s="310" t="e">
        <f t="shared" ref="E133:I133" si="10">SUM(E129:E132)</f>
        <v>#REF!</v>
      </c>
      <c r="F133" s="310" t="e">
        <f t="shared" si="10"/>
        <v>#REF!</v>
      </c>
      <c r="G133" s="310" t="e">
        <f t="shared" si="10"/>
        <v>#REF!</v>
      </c>
      <c r="H133" s="310" t="e">
        <f t="shared" si="10"/>
        <v>#REF!</v>
      </c>
      <c r="I133" s="310" t="e">
        <f t="shared" si="10"/>
        <v>#REF!</v>
      </c>
      <c r="J133" s="400"/>
      <c r="O133" s="260"/>
      <c r="Q133" s="260"/>
      <c r="R133" s="260"/>
      <c r="S133" s="260"/>
      <c r="T133" s="260"/>
      <c r="U133" s="260"/>
      <c r="V133" s="260"/>
      <c r="W133" s="260"/>
      <c r="X133" s="260"/>
      <c r="Y133" s="260"/>
      <c r="AI133" s="396"/>
      <c r="AJ133" s="396"/>
      <c r="AK133" s="396"/>
      <c r="AL133" s="396"/>
      <c r="AM133" s="396"/>
    </row>
    <row r="134" spans="1:39" x14ac:dyDescent="0.25">
      <c r="A134" s="400"/>
      <c r="B134" s="408"/>
      <c r="C134" s="292"/>
      <c r="D134" s="496" t="s">
        <v>1039</v>
      </c>
      <c r="E134" s="407" t="e">
        <f>E133-$D133</f>
        <v>#REF!</v>
      </c>
      <c r="F134" s="407" t="e">
        <f t="shared" ref="F134:I134" si="11">F133-$D133</f>
        <v>#REF!</v>
      </c>
      <c r="G134" s="407" t="e">
        <f t="shared" si="11"/>
        <v>#REF!</v>
      </c>
      <c r="H134" s="407" t="e">
        <f t="shared" si="11"/>
        <v>#REF!</v>
      </c>
      <c r="I134" s="407" t="e">
        <f t="shared" si="11"/>
        <v>#REF!</v>
      </c>
      <c r="J134" s="400"/>
      <c r="O134" s="260"/>
      <c r="Q134" s="260"/>
      <c r="R134" s="260"/>
      <c r="S134" s="260"/>
      <c r="T134" s="260"/>
      <c r="U134" s="260"/>
      <c r="V134" s="260"/>
      <c r="W134" s="260"/>
      <c r="X134" s="260"/>
      <c r="Y134" s="260"/>
      <c r="AI134" s="396"/>
      <c r="AJ134" s="396"/>
      <c r="AK134" s="396"/>
      <c r="AL134" s="396"/>
      <c r="AM134" s="396"/>
    </row>
    <row r="135" spans="1:39" x14ac:dyDescent="0.25">
      <c r="A135" s="400"/>
      <c r="B135" s="491"/>
      <c r="C135" s="491"/>
      <c r="D135" s="483"/>
      <c r="E135" s="483"/>
      <c r="F135" s="488"/>
      <c r="G135" s="488"/>
      <c r="H135" s="488"/>
      <c r="I135" s="488"/>
      <c r="J135" s="400"/>
      <c r="O135" s="260"/>
      <c r="Q135" s="260"/>
      <c r="R135" s="260"/>
      <c r="S135" s="260"/>
      <c r="T135" s="260"/>
      <c r="U135" s="260"/>
      <c r="V135" s="260"/>
      <c r="W135" s="260"/>
      <c r="X135" s="260"/>
      <c r="Y135" s="260"/>
      <c r="AI135" s="396"/>
      <c r="AJ135" s="396"/>
      <c r="AK135" s="396"/>
      <c r="AL135" s="396"/>
      <c r="AM135" s="396"/>
    </row>
    <row r="136" spans="1:39" ht="14.45" customHeight="1" x14ac:dyDescent="0.25">
      <c r="A136" s="401"/>
      <c r="B136" s="617"/>
      <c r="C136" s="401"/>
      <c r="D136" s="401"/>
      <c r="E136" s="401"/>
      <c r="F136" s="401"/>
      <c r="G136" s="401"/>
      <c r="H136" s="401"/>
      <c r="I136" s="401"/>
      <c r="J136" s="401"/>
      <c r="O136" s="260"/>
    </row>
    <row r="137" spans="1:39" x14ac:dyDescent="0.25">
      <c r="A137" s="401"/>
      <c r="B137" s="390" t="s">
        <v>91</v>
      </c>
      <c r="C137" s="385"/>
      <c r="D137" s="311"/>
      <c r="E137" s="311"/>
      <c r="F137" s="311"/>
      <c r="G137" s="311"/>
      <c r="H137" s="311"/>
      <c r="I137" s="311"/>
      <c r="J137" s="312"/>
      <c r="V137" s="260"/>
      <c r="W137" s="260"/>
      <c r="X137" s="260"/>
      <c r="Y137" s="260"/>
      <c r="AI137" s="396"/>
      <c r="AJ137" s="396"/>
      <c r="AK137" s="396"/>
      <c r="AL137" s="396"/>
      <c r="AM137" s="396"/>
    </row>
    <row r="138" spans="1:39" x14ac:dyDescent="0.25">
      <c r="A138" s="401"/>
      <c r="B138" s="401" t="s">
        <v>977</v>
      </c>
      <c r="C138" s="609"/>
      <c r="D138" s="609"/>
      <c r="E138" s="609"/>
      <c r="F138" s="610"/>
      <c r="G138" s="610"/>
      <c r="H138" s="610"/>
      <c r="I138" s="610"/>
      <c r="J138" s="401"/>
      <c r="V138" s="260"/>
      <c r="W138" s="260"/>
      <c r="X138" s="260"/>
      <c r="Y138" s="260"/>
      <c r="AI138" s="396"/>
      <c r="AJ138" s="396"/>
      <c r="AK138" s="396"/>
      <c r="AL138" s="396"/>
      <c r="AM138" s="396"/>
    </row>
    <row r="139" spans="1:39" x14ac:dyDescent="0.25">
      <c r="A139" s="401"/>
      <c r="B139" s="546" t="s">
        <v>134</v>
      </c>
      <c r="C139" s="609"/>
      <c r="D139" s="609"/>
      <c r="E139" s="609"/>
      <c r="F139" s="610"/>
      <c r="G139" s="610"/>
      <c r="H139" s="610"/>
      <c r="I139" s="610"/>
      <c r="J139" s="401"/>
      <c r="V139" s="260"/>
      <c r="W139" s="260"/>
      <c r="X139" s="260"/>
      <c r="Y139" s="260"/>
      <c r="AI139" s="396"/>
      <c r="AJ139" s="396"/>
      <c r="AK139" s="396"/>
      <c r="AL139" s="396"/>
      <c r="AM139" s="396"/>
    </row>
    <row r="140" spans="1:39" x14ac:dyDescent="0.25">
      <c r="A140" s="401"/>
      <c r="B140" s="608"/>
      <c r="C140" s="609"/>
      <c r="D140" s="609"/>
      <c r="E140" s="609"/>
      <c r="F140" s="610"/>
      <c r="G140" s="610"/>
      <c r="H140" s="610"/>
      <c r="I140" s="610"/>
      <c r="J140" s="401"/>
      <c r="V140" s="260"/>
      <c r="W140" s="260"/>
      <c r="X140" s="260"/>
      <c r="Y140" s="260"/>
      <c r="AI140" s="396"/>
      <c r="AJ140" s="396"/>
      <c r="AK140" s="396"/>
      <c r="AL140" s="396"/>
      <c r="AM140" s="396"/>
    </row>
    <row r="141" spans="1:39" ht="45" x14ac:dyDescent="0.25">
      <c r="A141" s="401"/>
      <c r="B141" s="588" t="s">
        <v>1040</v>
      </c>
      <c r="C141" s="386" t="s">
        <v>796</v>
      </c>
      <c r="D141" s="362" t="s">
        <v>792</v>
      </c>
      <c r="E141" s="376" t="s">
        <v>56</v>
      </c>
      <c r="F141" s="376" t="s">
        <v>57</v>
      </c>
      <c r="G141" s="290" t="s">
        <v>793</v>
      </c>
      <c r="H141" s="290" t="s">
        <v>794</v>
      </c>
      <c r="I141" s="376" t="s">
        <v>795</v>
      </c>
      <c r="J141" s="401"/>
      <c r="V141" s="260"/>
      <c r="W141" s="260"/>
      <c r="X141" s="260"/>
      <c r="Y141" s="260"/>
      <c r="AI141" s="396"/>
      <c r="AJ141" s="396"/>
      <c r="AK141" s="396"/>
      <c r="AL141" s="396"/>
      <c r="AM141" s="396"/>
    </row>
    <row r="142" spans="1:39" x14ac:dyDescent="0.25">
      <c r="A142" s="401"/>
      <c r="B142" s="367" t="s">
        <v>1041</v>
      </c>
      <c r="C142" s="367" t="s">
        <v>979</v>
      </c>
      <c r="D142" s="367" t="s">
        <v>981</v>
      </c>
      <c r="E142" s="367" t="s">
        <v>981</v>
      </c>
      <c r="F142" s="367" t="s">
        <v>981</v>
      </c>
      <c r="G142" s="367" t="s">
        <v>981</v>
      </c>
      <c r="H142" s="367" t="s">
        <v>981</v>
      </c>
      <c r="I142" s="367" t="s">
        <v>981</v>
      </c>
      <c r="J142" s="401"/>
      <c r="V142" s="260"/>
      <c r="W142" s="260"/>
      <c r="X142" s="260"/>
      <c r="Y142" s="260"/>
      <c r="AI142" s="396"/>
      <c r="AJ142" s="396"/>
      <c r="AK142" s="396"/>
      <c r="AL142" s="396"/>
      <c r="AM142" s="396"/>
    </row>
    <row r="143" spans="1:39" x14ac:dyDescent="0.25">
      <c r="A143" s="401"/>
      <c r="B143" s="319" t="s">
        <v>136</v>
      </c>
      <c r="C143" s="589" t="s">
        <v>996</v>
      </c>
      <c r="D143" s="590" t="e">
        <f>(('Unit costs'!$C152*'Financial impact (cash)'!#REF!)+('Unit costs'!$D152*'Financial impact (cash)'!#REF!)+('Unit costs'!$E152*'Financial impact (cash)'!#REF!))*'Unit costs'!$G$152/1000</f>
        <v>#REF!</v>
      </c>
      <c r="E143" s="590" t="e">
        <f>(('Unit costs'!$C152*'Financial impact (cash)'!#REF!)+('Unit costs'!$D152*'Financial impact (cash)'!#REF!)+('Unit costs'!$E152*'Financial impact (cash)'!#REF!))*'Unit costs'!$G$152/1000</f>
        <v>#REF!</v>
      </c>
      <c r="F143" s="590" t="e">
        <f>(('Unit costs'!$C152*'Financial impact (cash)'!#REF!)+('Unit costs'!$D152*'Financial impact (cash)'!#REF!)+('Unit costs'!$E152*'Financial impact (cash)'!#REF!))*'Unit costs'!$G$152/1000</f>
        <v>#REF!</v>
      </c>
      <c r="G143" s="590" t="e">
        <f>(('Unit costs'!$C152*'Financial impact (cash)'!#REF!)+('Unit costs'!$D152*'Financial impact (cash)'!#REF!)+('Unit costs'!$E152*'Financial impact (cash)'!#REF!))*'Unit costs'!$G$152/1000</f>
        <v>#REF!</v>
      </c>
      <c r="H143" s="590" t="e">
        <f>(('Unit costs'!$C152*'Financial impact (cash)'!#REF!)+('Unit costs'!$D152*'Financial impact (cash)'!#REF!)+('Unit costs'!$E152*'Financial impact (cash)'!#REF!))*'Unit costs'!$G$152/1000</f>
        <v>#REF!</v>
      </c>
      <c r="I143" s="590" t="e">
        <f>(('Unit costs'!$C152*'Financial impact (cash)'!#REF!)+('Unit costs'!$D152*'Financial impact (cash)'!#REF!)+('Unit costs'!$E152*'Financial impact (cash)'!#REF!))*'Unit costs'!$G$152/1000</f>
        <v>#REF!</v>
      </c>
      <c r="J143" s="401"/>
      <c r="V143" s="260"/>
      <c r="W143" s="260"/>
      <c r="X143" s="260"/>
      <c r="Y143" s="260"/>
      <c r="AI143" s="396"/>
      <c r="AJ143" s="396"/>
      <c r="AK143" s="396"/>
      <c r="AL143" s="396"/>
      <c r="AM143" s="396"/>
    </row>
    <row r="144" spans="1:39" x14ac:dyDescent="0.25">
      <c r="A144" s="401"/>
      <c r="B144" s="319" t="s">
        <v>137</v>
      </c>
      <c r="C144" s="589" t="s">
        <v>996</v>
      </c>
      <c r="D144" s="590" t="e">
        <f>(('Unit costs'!$C153*'Financial impact (cash)'!#REF!)+('Unit costs'!$D153*'Financial impact (cash)'!#REF!)+('Unit costs'!$E153*'Financial impact (cash)'!#REF!))*'Unit costs'!$G$152/1000</f>
        <v>#REF!</v>
      </c>
      <c r="E144" s="590" t="e">
        <f>(('Unit costs'!$C153*'Financial impact (cash)'!#REF!)+('Unit costs'!$D153*'Financial impact (cash)'!#REF!)+('Unit costs'!$E153*'Financial impact (cash)'!#REF!))*'Unit costs'!$G$152/1000</f>
        <v>#REF!</v>
      </c>
      <c r="F144" s="590" t="e">
        <f>(('Unit costs'!$C153*'Financial impact (cash)'!#REF!)+('Unit costs'!$D153*'Financial impact (cash)'!#REF!)+('Unit costs'!$E153*'Financial impact (cash)'!#REF!))*'Unit costs'!$G$152/1000</f>
        <v>#REF!</v>
      </c>
      <c r="G144" s="590" t="e">
        <f>(('Unit costs'!$C153*'Financial impact (cash)'!#REF!)+('Unit costs'!$D153*'Financial impact (cash)'!#REF!)+('Unit costs'!$E153*'Financial impact (cash)'!#REF!))*'Unit costs'!$G$152/1000</f>
        <v>#REF!</v>
      </c>
      <c r="H144" s="590" t="e">
        <f>(('Unit costs'!$C153*'Financial impact (cash)'!#REF!)+('Unit costs'!$D153*'Financial impact (cash)'!#REF!)+('Unit costs'!$E153*'Financial impact (cash)'!#REF!))*'Unit costs'!$G$152/1000</f>
        <v>#REF!</v>
      </c>
      <c r="I144" s="590" t="e">
        <f>(('Unit costs'!$C153*'Financial impact (cash)'!#REF!)+('Unit costs'!$D153*'Financial impact (cash)'!#REF!)+('Unit costs'!$E153*'Financial impact (cash)'!#REF!))*'Unit costs'!$G$152/1000</f>
        <v>#REF!</v>
      </c>
      <c r="J144" s="401"/>
      <c r="V144" s="260"/>
      <c r="W144" s="260"/>
      <c r="X144" s="260"/>
      <c r="Y144" s="260"/>
      <c r="AI144" s="396"/>
      <c r="AJ144" s="396"/>
      <c r="AK144" s="396"/>
      <c r="AL144" s="396"/>
      <c r="AM144" s="396"/>
    </row>
    <row r="145" spans="1:39" x14ac:dyDescent="0.25">
      <c r="A145" s="401"/>
      <c r="B145" s="319" t="s">
        <v>138</v>
      </c>
      <c r="C145" s="589" t="s">
        <v>996</v>
      </c>
      <c r="D145" s="590" t="e">
        <f>(('Unit costs'!$C154*'Financial impact (cash)'!#REF!)+('Unit costs'!$D154*'Financial impact (cash)'!#REF!)+('Unit costs'!$E154*'Financial impact (cash)'!#REF!))*'Unit costs'!$G$152/1000</f>
        <v>#REF!</v>
      </c>
      <c r="E145" s="590" t="e">
        <f>(('Unit costs'!$C154*'Financial impact (cash)'!#REF!)+('Unit costs'!$D154*'Financial impact (cash)'!#REF!)+('Unit costs'!$E154*'Financial impact (cash)'!#REF!))*'Unit costs'!$G$152/1000</f>
        <v>#REF!</v>
      </c>
      <c r="F145" s="590" t="e">
        <f>(('Unit costs'!$C154*'Financial impact (cash)'!#REF!)+('Unit costs'!$D154*'Financial impact (cash)'!#REF!)+('Unit costs'!$E154*'Financial impact (cash)'!#REF!))*'Unit costs'!$G$152/1000</f>
        <v>#REF!</v>
      </c>
      <c r="G145" s="590" t="e">
        <f>(('Unit costs'!$C154*'Financial impact (cash)'!#REF!)+('Unit costs'!$D154*'Financial impact (cash)'!#REF!)+('Unit costs'!$E154*'Financial impact (cash)'!#REF!))*'Unit costs'!$G$152/1000</f>
        <v>#REF!</v>
      </c>
      <c r="H145" s="590" t="e">
        <f>(('Unit costs'!$C154*'Financial impact (cash)'!#REF!)+('Unit costs'!$D154*'Financial impact (cash)'!#REF!)+('Unit costs'!$E154*'Financial impact (cash)'!#REF!))*'Unit costs'!$G$152/1000</f>
        <v>#REF!</v>
      </c>
      <c r="I145" s="590" t="e">
        <f>(('Unit costs'!$C154*'Financial impact (cash)'!#REF!)+('Unit costs'!$D154*'Financial impact (cash)'!#REF!)+('Unit costs'!$E154*'Financial impact (cash)'!#REF!))*'Unit costs'!$G$152/1000</f>
        <v>#REF!</v>
      </c>
      <c r="J145" s="401"/>
      <c r="V145" s="260"/>
      <c r="W145" s="260"/>
      <c r="X145" s="260"/>
      <c r="Y145" s="260"/>
      <c r="AI145" s="396"/>
      <c r="AJ145" s="396"/>
      <c r="AK145" s="396"/>
      <c r="AL145" s="396"/>
      <c r="AM145" s="396"/>
    </row>
    <row r="146" spans="1:39" x14ac:dyDescent="0.25">
      <c r="A146" s="401"/>
      <c r="B146" s="319" t="s">
        <v>139</v>
      </c>
      <c r="C146" s="589" t="s">
        <v>996</v>
      </c>
      <c r="D146" s="590" t="e">
        <f>(('Unit costs'!$C155*'Financial impact (cash)'!#REF!)+('Unit costs'!$D155*'Financial impact (cash)'!#REF!)+('Unit costs'!$E155*'Financial impact (cash)'!#REF!))*'Unit costs'!$G$152/1000</f>
        <v>#REF!</v>
      </c>
      <c r="E146" s="590" t="e">
        <f>(('Unit costs'!$C155*'Financial impact (cash)'!#REF!)+('Unit costs'!$D155*'Financial impact (cash)'!#REF!)+('Unit costs'!$E155*'Financial impact (cash)'!#REF!))*'Unit costs'!$G$152/1000</f>
        <v>#REF!</v>
      </c>
      <c r="F146" s="590" t="e">
        <f>(('Unit costs'!$C155*'Financial impact (cash)'!#REF!)+('Unit costs'!$D155*'Financial impact (cash)'!#REF!)+('Unit costs'!$E155*'Financial impact (cash)'!#REF!))*'Unit costs'!$G$152/1000</f>
        <v>#REF!</v>
      </c>
      <c r="G146" s="590" t="e">
        <f>(('Unit costs'!$C155*'Financial impact (cash)'!#REF!)+('Unit costs'!$D155*'Financial impact (cash)'!#REF!)+('Unit costs'!$E155*'Financial impact (cash)'!#REF!))*'Unit costs'!$G$152/1000</f>
        <v>#REF!</v>
      </c>
      <c r="H146" s="590" t="e">
        <f>(('Unit costs'!$C155*'Financial impact (cash)'!#REF!)+('Unit costs'!$D155*'Financial impact (cash)'!#REF!)+('Unit costs'!$E155*'Financial impact (cash)'!#REF!))*'Unit costs'!$G$152/1000</f>
        <v>#REF!</v>
      </c>
      <c r="I146" s="590" t="e">
        <f>(('Unit costs'!$C155*'Financial impact (cash)'!#REF!)+('Unit costs'!$D155*'Financial impact (cash)'!#REF!)+('Unit costs'!$E155*'Financial impact (cash)'!#REF!))*'Unit costs'!$G$152/1000</f>
        <v>#REF!</v>
      </c>
      <c r="J146" s="401"/>
      <c r="V146" s="260"/>
      <c r="W146" s="260"/>
      <c r="X146" s="260"/>
      <c r="Y146" s="260"/>
      <c r="AI146" s="396"/>
      <c r="AJ146" s="396"/>
      <c r="AK146" s="396"/>
      <c r="AL146" s="396"/>
      <c r="AM146" s="396"/>
    </row>
    <row r="147" spans="1:39" x14ac:dyDescent="0.25">
      <c r="A147" s="401"/>
      <c r="B147" s="319" t="s">
        <v>140</v>
      </c>
      <c r="C147" s="589" t="s">
        <v>996</v>
      </c>
      <c r="D147" s="590" t="e">
        <f>(('Unit costs'!$C156*'Financial impact (cash)'!#REF!)+('Unit costs'!$D156*'Financial impact (cash)'!#REF!)+('Unit costs'!$E156*'Financial impact (cash)'!#REF!))*'Unit costs'!$G$152/1000</f>
        <v>#REF!</v>
      </c>
      <c r="E147" s="590" t="e">
        <f>(('Unit costs'!$C156*'Financial impact (cash)'!#REF!)+('Unit costs'!$D156*'Financial impact (cash)'!#REF!)+('Unit costs'!$E156*'Financial impact (cash)'!#REF!))*'Unit costs'!$G$152/1000</f>
        <v>#REF!</v>
      </c>
      <c r="F147" s="590" t="e">
        <f>(('Unit costs'!$C156*'Financial impact (cash)'!#REF!)+('Unit costs'!$D156*'Financial impact (cash)'!#REF!)+('Unit costs'!$E156*'Financial impact (cash)'!#REF!))*'Unit costs'!$G$152/1000</f>
        <v>#REF!</v>
      </c>
      <c r="G147" s="590" t="e">
        <f>(('Unit costs'!$C156*'Financial impact (cash)'!#REF!)+('Unit costs'!$D156*'Financial impact (cash)'!#REF!)+('Unit costs'!$E156*'Financial impact (cash)'!#REF!))*'Unit costs'!$G$152/1000</f>
        <v>#REF!</v>
      </c>
      <c r="H147" s="590" t="e">
        <f>(('Unit costs'!$C156*'Financial impact (cash)'!#REF!)+('Unit costs'!$D156*'Financial impact (cash)'!#REF!)+('Unit costs'!$E156*'Financial impact (cash)'!#REF!))*'Unit costs'!$G$152/1000</f>
        <v>#REF!</v>
      </c>
      <c r="I147" s="590" t="e">
        <f>(('Unit costs'!$C156*'Financial impact (cash)'!#REF!)+('Unit costs'!$D156*'Financial impact (cash)'!#REF!)+('Unit costs'!$E156*'Financial impact (cash)'!#REF!))*'Unit costs'!$G$152/1000</f>
        <v>#REF!</v>
      </c>
      <c r="J147" s="401"/>
      <c r="V147" s="260"/>
      <c r="W147" s="260"/>
      <c r="X147" s="260"/>
      <c r="Y147" s="260"/>
      <c r="AI147" s="396"/>
      <c r="AJ147" s="396"/>
      <c r="AK147" s="396"/>
      <c r="AL147" s="396"/>
      <c r="AM147" s="396"/>
    </row>
    <row r="148" spans="1:39" x14ac:dyDescent="0.25">
      <c r="A148" s="401"/>
      <c r="B148" s="319" t="s">
        <v>141</v>
      </c>
      <c r="C148" s="589" t="s">
        <v>996</v>
      </c>
      <c r="D148" s="590" t="e">
        <f>(('Unit costs'!$C157*'Financial impact (cash)'!#REF!)+('Unit costs'!$D157*'Financial impact (cash)'!#REF!)+('Unit costs'!$E157*'Financial impact (cash)'!#REF!))*'Unit costs'!$G$152/1000</f>
        <v>#REF!</v>
      </c>
      <c r="E148" s="590" t="e">
        <f>(('Unit costs'!$C157*'Financial impact (cash)'!#REF!)+('Unit costs'!$D157*'Financial impact (cash)'!#REF!)+('Unit costs'!$E157*'Financial impact (cash)'!#REF!))*'Unit costs'!$G$152/1000</f>
        <v>#REF!</v>
      </c>
      <c r="F148" s="590" t="e">
        <f>(('Unit costs'!$C157*'Financial impact (cash)'!#REF!)+('Unit costs'!$D157*'Financial impact (cash)'!#REF!)+('Unit costs'!$E157*'Financial impact (cash)'!#REF!))*'Unit costs'!$G$152/1000</f>
        <v>#REF!</v>
      </c>
      <c r="G148" s="590" t="e">
        <f>(('Unit costs'!$C157*'Financial impact (cash)'!#REF!)+('Unit costs'!$D157*'Financial impact (cash)'!#REF!)+('Unit costs'!$E157*'Financial impact (cash)'!#REF!))*'Unit costs'!$G$152/1000</f>
        <v>#REF!</v>
      </c>
      <c r="H148" s="590" t="e">
        <f>(('Unit costs'!$C157*'Financial impact (cash)'!#REF!)+('Unit costs'!$D157*'Financial impact (cash)'!#REF!)+('Unit costs'!$E157*'Financial impact (cash)'!#REF!))*'Unit costs'!$G$152/1000</f>
        <v>#REF!</v>
      </c>
      <c r="I148" s="590" t="e">
        <f>(('Unit costs'!$C157*'Financial impact (cash)'!#REF!)+('Unit costs'!$D157*'Financial impact (cash)'!#REF!)+('Unit costs'!$E157*'Financial impact (cash)'!#REF!))*'Unit costs'!$G$152/1000</f>
        <v>#REF!</v>
      </c>
      <c r="J148" s="401"/>
      <c r="V148" s="260"/>
      <c r="W148" s="260"/>
      <c r="X148" s="260"/>
      <c r="Y148" s="260"/>
      <c r="AI148" s="396"/>
      <c r="AJ148" s="396"/>
      <c r="AK148" s="396"/>
      <c r="AL148" s="396"/>
      <c r="AM148" s="396"/>
    </row>
    <row r="149" spans="1:39" x14ac:dyDescent="0.25">
      <c r="A149" s="401"/>
      <c r="B149" s="319" t="s">
        <v>142</v>
      </c>
      <c r="C149" s="589" t="s">
        <v>996</v>
      </c>
      <c r="D149" s="590" t="e">
        <f>(('Unit costs'!$C158*'Financial impact (cash)'!#REF!)+('Unit costs'!$D158*'Financial impact (cash)'!#REF!)+('Unit costs'!$E158*'Financial impact (cash)'!#REF!))*'Unit costs'!$G$152/1000</f>
        <v>#REF!</v>
      </c>
      <c r="E149" s="590" t="e">
        <f>(('Unit costs'!$C158*'Financial impact (cash)'!#REF!)+('Unit costs'!$D158*'Financial impact (cash)'!#REF!)+('Unit costs'!$E158*'Financial impact (cash)'!#REF!))*'Unit costs'!$G$152/1000</f>
        <v>#REF!</v>
      </c>
      <c r="F149" s="590" t="e">
        <f>(('Unit costs'!$C158*'Financial impact (cash)'!#REF!)+('Unit costs'!$D158*'Financial impact (cash)'!#REF!)+('Unit costs'!$E158*'Financial impact (cash)'!#REF!))*'Unit costs'!$G$152/1000</f>
        <v>#REF!</v>
      </c>
      <c r="G149" s="590" t="e">
        <f>(('Unit costs'!$C158*'Financial impact (cash)'!#REF!)+('Unit costs'!$D158*'Financial impact (cash)'!#REF!)+('Unit costs'!$E158*'Financial impact (cash)'!#REF!))*'Unit costs'!$G$152/1000</f>
        <v>#REF!</v>
      </c>
      <c r="H149" s="590" t="e">
        <f>(('Unit costs'!$C158*'Financial impact (cash)'!#REF!)+('Unit costs'!$D158*'Financial impact (cash)'!#REF!)+('Unit costs'!$E158*'Financial impact (cash)'!#REF!))*'Unit costs'!$G$152/1000</f>
        <v>#REF!</v>
      </c>
      <c r="I149" s="590" t="e">
        <f>(('Unit costs'!$C158*'Financial impact (cash)'!#REF!)+('Unit costs'!$D158*'Financial impact (cash)'!#REF!)+('Unit costs'!$E158*'Financial impact (cash)'!#REF!))*'Unit costs'!$G$152/1000</f>
        <v>#REF!</v>
      </c>
      <c r="J149" s="401"/>
      <c r="V149" s="260"/>
      <c r="W149" s="260"/>
      <c r="X149" s="260"/>
      <c r="Y149" s="260"/>
      <c r="AI149" s="396"/>
      <c r="AJ149" s="396"/>
      <c r="AK149" s="396"/>
      <c r="AL149" s="396"/>
      <c r="AM149" s="396"/>
    </row>
    <row r="150" spans="1:39" x14ac:dyDescent="0.25">
      <c r="A150" s="401"/>
      <c r="B150" s="408" t="s">
        <v>1015</v>
      </c>
      <c r="C150" s="576"/>
      <c r="D150" s="310" t="e">
        <f>IF($B$139="own local cost estimate",0,SUM(D143:D149))</f>
        <v>#REF!</v>
      </c>
      <c r="E150" s="310" t="e">
        <f t="shared" ref="E150:I150" si="12">IF($B$139="own local cost estimate",0,SUM(E143:E149))</f>
        <v>#REF!</v>
      </c>
      <c r="F150" s="310" t="e">
        <f t="shared" si="12"/>
        <v>#REF!</v>
      </c>
      <c r="G150" s="310" t="e">
        <f t="shared" si="12"/>
        <v>#REF!</v>
      </c>
      <c r="H150" s="310" t="e">
        <f t="shared" si="12"/>
        <v>#REF!</v>
      </c>
      <c r="I150" s="310" t="e">
        <f t="shared" si="12"/>
        <v>#REF!</v>
      </c>
      <c r="J150" s="401"/>
      <c r="V150" s="260"/>
      <c r="W150" s="260"/>
      <c r="X150" s="260"/>
      <c r="Y150" s="260"/>
      <c r="AI150" s="396"/>
      <c r="AJ150" s="396"/>
      <c r="AK150" s="396"/>
      <c r="AL150" s="396"/>
      <c r="AM150" s="396"/>
    </row>
    <row r="151" spans="1:39" x14ac:dyDescent="0.25">
      <c r="A151" s="401"/>
      <c r="B151" s="408"/>
      <c r="C151" s="292"/>
      <c r="D151" s="496" t="s">
        <v>1042</v>
      </c>
      <c r="E151" s="407" t="e">
        <f>IF($B$139="own local cost estimate",0,E150-$D150)</f>
        <v>#REF!</v>
      </c>
      <c r="F151" s="407" t="e">
        <f t="shared" ref="F151:I151" si="13">IF($B$139="own local cost estimate",0,F150-$D150)</f>
        <v>#REF!</v>
      </c>
      <c r="G151" s="407" t="e">
        <f t="shared" si="13"/>
        <v>#REF!</v>
      </c>
      <c r="H151" s="407" t="e">
        <f t="shared" si="13"/>
        <v>#REF!</v>
      </c>
      <c r="I151" s="407" t="e">
        <f t="shared" si="13"/>
        <v>#REF!</v>
      </c>
      <c r="J151" s="401"/>
      <c r="V151" s="260"/>
      <c r="W151" s="260"/>
      <c r="X151" s="260"/>
      <c r="Y151" s="260"/>
      <c r="AI151" s="396"/>
      <c r="AJ151" s="396"/>
      <c r="AK151" s="396"/>
      <c r="AL151" s="396"/>
      <c r="AM151" s="396"/>
    </row>
    <row r="152" spans="1:39" x14ac:dyDescent="0.25">
      <c r="A152" s="401"/>
      <c r="B152" s="601" t="s">
        <v>1043</v>
      </c>
      <c r="C152" s="602"/>
      <c r="D152" s="401"/>
      <c r="E152" s="603"/>
      <c r="F152" s="603"/>
      <c r="G152" s="604"/>
      <c r="H152" s="605"/>
      <c r="I152" s="606"/>
      <c r="J152" s="607"/>
      <c r="K152" s="587"/>
      <c r="V152" s="260"/>
      <c r="W152" s="260"/>
      <c r="X152" s="260"/>
      <c r="Y152" s="260"/>
      <c r="AI152" s="396"/>
      <c r="AJ152" s="396"/>
      <c r="AK152" s="396"/>
      <c r="AL152" s="396"/>
      <c r="AM152" s="396"/>
    </row>
    <row r="153" spans="1:39" x14ac:dyDescent="0.25">
      <c r="A153" s="401"/>
      <c r="B153" s="608"/>
      <c r="C153" s="609"/>
      <c r="D153" s="609"/>
      <c r="E153" s="609"/>
      <c r="F153" s="610"/>
      <c r="G153" s="610"/>
      <c r="H153" s="610"/>
      <c r="I153" s="610"/>
      <c r="J153" s="401"/>
      <c r="V153" s="260"/>
      <c r="W153" s="260"/>
      <c r="X153" s="260"/>
      <c r="Y153" s="260"/>
      <c r="AI153" s="396"/>
      <c r="AJ153" s="396"/>
      <c r="AK153" s="396"/>
      <c r="AL153" s="396"/>
      <c r="AM153" s="396"/>
    </row>
    <row r="154" spans="1:39" x14ac:dyDescent="0.25">
      <c r="A154" s="401"/>
      <c r="B154" s="611" t="s">
        <v>1044</v>
      </c>
      <c r="C154" s="609"/>
      <c r="D154" s="609"/>
      <c r="E154" s="609"/>
      <c r="F154" s="610"/>
      <c r="G154" s="610"/>
      <c r="H154" s="610"/>
      <c r="I154" s="610"/>
      <c r="J154" s="401"/>
      <c r="V154" s="260"/>
      <c r="W154" s="260"/>
      <c r="X154" s="260"/>
      <c r="Y154" s="260"/>
      <c r="AI154" s="396"/>
      <c r="AJ154" s="396"/>
      <c r="AK154" s="396"/>
      <c r="AL154" s="396"/>
      <c r="AM154" s="396"/>
    </row>
    <row r="155" spans="1:39" x14ac:dyDescent="0.25">
      <c r="A155" s="401"/>
      <c r="B155" s="367" t="s">
        <v>1023</v>
      </c>
      <c r="C155" s="367" t="s">
        <v>979</v>
      </c>
      <c r="D155" s="372" t="s">
        <v>980</v>
      </c>
      <c r="E155" s="373"/>
      <c r="F155" s="373"/>
      <c r="G155" s="373"/>
      <c r="H155" s="373"/>
      <c r="I155" s="367" t="s">
        <v>981</v>
      </c>
      <c r="J155" s="401"/>
      <c r="V155" s="260"/>
      <c r="W155" s="260"/>
      <c r="X155" s="260"/>
      <c r="Y155" s="260"/>
      <c r="AI155" s="396"/>
      <c r="AJ155" s="396"/>
      <c r="AK155" s="396"/>
      <c r="AL155" s="396"/>
      <c r="AM155" s="396"/>
    </row>
    <row r="156" spans="1:39" x14ac:dyDescent="0.25">
      <c r="A156" s="401"/>
      <c r="B156" s="371" t="s">
        <v>136</v>
      </c>
      <c r="C156" s="515" t="s">
        <v>1045</v>
      </c>
      <c r="D156" s="579" t="s">
        <v>1045</v>
      </c>
      <c r="E156" s="517"/>
      <c r="F156" s="517"/>
      <c r="G156" s="518"/>
      <c r="H156" s="519"/>
      <c r="I156" s="506">
        <v>150</v>
      </c>
      <c r="J156" s="401"/>
      <c r="V156" s="260"/>
      <c r="W156" s="260"/>
      <c r="X156" s="260"/>
      <c r="Y156" s="260"/>
      <c r="AI156" s="396"/>
      <c r="AJ156" s="396"/>
      <c r="AK156" s="396"/>
      <c r="AL156" s="396"/>
      <c r="AM156" s="396"/>
    </row>
    <row r="157" spans="1:39" x14ac:dyDescent="0.25">
      <c r="A157" s="401"/>
      <c r="B157" s="371" t="s">
        <v>137</v>
      </c>
      <c r="C157" s="515" t="s">
        <v>1045</v>
      </c>
      <c r="D157" s="579" t="s">
        <v>1045</v>
      </c>
      <c r="E157" s="517"/>
      <c r="F157" s="517"/>
      <c r="G157" s="518"/>
      <c r="H157" s="519"/>
      <c r="I157" s="506">
        <v>200</v>
      </c>
      <c r="J157" s="401"/>
      <c r="V157" s="260"/>
      <c r="W157" s="260"/>
      <c r="X157" s="260"/>
      <c r="Y157" s="260"/>
      <c r="AI157" s="396"/>
      <c r="AJ157" s="396"/>
      <c r="AK157" s="396"/>
      <c r="AL157" s="396"/>
      <c r="AM157" s="396"/>
    </row>
    <row r="158" spans="1:39" x14ac:dyDescent="0.25">
      <c r="A158" s="401"/>
      <c r="B158" s="371" t="s">
        <v>138</v>
      </c>
      <c r="C158" s="515" t="s">
        <v>1045</v>
      </c>
      <c r="D158" s="579" t="s">
        <v>1045</v>
      </c>
      <c r="E158" s="517"/>
      <c r="F158" s="517"/>
      <c r="G158" s="518"/>
      <c r="H158" s="519"/>
      <c r="I158" s="506">
        <v>175</v>
      </c>
      <c r="J158" s="401"/>
      <c r="V158" s="260"/>
      <c r="W158" s="260"/>
      <c r="X158" s="260"/>
      <c r="Y158" s="260"/>
      <c r="AI158" s="396"/>
      <c r="AJ158" s="396"/>
      <c r="AK158" s="396"/>
      <c r="AL158" s="396"/>
      <c r="AM158" s="396"/>
    </row>
    <row r="159" spans="1:39" x14ac:dyDescent="0.25">
      <c r="A159" s="401"/>
      <c r="B159" s="371" t="s">
        <v>139</v>
      </c>
      <c r="C159" s="515" t="s">
        <v>1045</v>
      </c>
      <c r="D159" s="579" t="s">
        <v>1045</v>
      </c>
      <c r="E159" s="517"/>
      <c r="F159" s="517"/>
      <c r="G159" s="518"/>
      <c r="H159" s="519"/>
      <c r="I159" s="506">
        <v>160</v>
      </c>
      <c r="J159" s="401"/>
      <c r="V159" s="260"/>
      <c r="W159" s="260"/>
      <c r="X159" s="260"/>
      <c r="Y159" s="260"/>
      <c r="AI159" s="396"/>
      <c r="AJ159" s="396"/>
      <c r="AK159" s="396"/>
      <c r="AL159" s="396"/>
      <c r="AM159" s="396"/>
    </row>
    <row r="160" spans="1:39" x14ac:dyDescent="0.25">
      <c r="A160" s="401"/>
      <c r="B160" s="371" t="s">
        <v>140</v>
      </c>
      <c r="C160" s="515" t="s">
        <v>1045</v>
      </c>
      <c r="D160" s="579" t="s">
        <v>1045</v>
      </c>
      <c r="E160" s="517"/>
      <c r="F160" s="517"/>
      <c r="G160" s="518"/>
      <c r="H160" s="519"/>
      <c r="I160" s="506">
        <v>320</v>
      </c>
      <c r="J160" s="401"/>
      <c r="V160" s="260"/>
      <c r="W160" s="260"/>
      <c r="X160" s="260"/>
      <c r="Y160" s="260"/>
      <c r="AI160" s="396"/>
      <c r="AJ160" s="396"/>
      <c r="AK160" s="396"/>
      <c r="AL160" s="396"/>
      <c r="AM160" s="396"/>
    </row>
    <row r="161" spans="1:39" x14ac:dyDescent="0.25">
      <c r="A161" s="401"/>
      <c r="B161" s="371" t="s">
        <v>141</v>
      </c>
      <c r="C161" s="515" t="s">
        <v>1045</v>
      </c>
      <c r="D161" s="579" t="s">
        <v>1045</v>
      </c>
      <c r="E161" s="517"/>
      <c r="F161" s="517"/>
      <c r="G161" s="518"/>
      <c r="H161" s="519"/>
      <c r="I161" s="506">
        <v>450</v>
      </c>
      <c r="J161" s="401"/>
      <c r="V161" s="260"/>
      <c r="W161" s="260"/>
      <c r="X161" s="260"/>
      <c r="Y161" s="260"/>
      <c r="AI161" s="396"/>
      <c r="AJ161" s="396"/>
      <c r="AK161" s="396"/>
      <c r="AL161" s="396"/>
      <c r="AM161" s="396"/>
    </row>
    <row r="162" spans="1:39" x14ac:dyDescent="0.25">
      <c r="A162" s="401"/>
      <c r="B162" s="371" t="s">
        <v>142</v>
      </c>
      <c r="C162" s="515" t="s">
        <v>1045</v>
      </c>
      <c r="D162" s="579" t="s">
        <v>1045</v>
      </c>
      <c r="E162" s="517"/>
      <c r="F162" s="517"/>
      <c r="G162" s="518"/>
      <c r="H162" s="519"/>
      <c r="I162" s="506">
        <v>690</v>
      </c>
      <c r="J162" s="401"/>
      <c r="V162" s="260"/>
      <c r="W162" s="260"/>
      <c r="X162" s="260"/>
      <c r="Y162" s="260"/>
      <c r="AI162" s="396"/>
      <c r="AJ162" s="396"/>
      <c r="AK162" s="396"/>
      <c r="AL162" s="396"/>
      <c r="AM162" s="396"/>
    </row>
    <row r="163" spans="1:39" x14ac:dyDescent="0.25">
      <c r="A163" s="401"/>
      <c r="B163" s="481"/>
      <c r="C163" s="481"/>
      <c r="D163" s="481"/>
      <c r="E163" s="481"/>
      <c r="F163" s="482"/>
      <c r="G163" s="482"/>
      <c r="H163" s="482"/>
      <c r="I163" s="482"/>
      <c r="J163" s="401"/>
      <c r="O163" s="260"/>
      <c r="Q163" s="260"/>
      <c r="R163" s="260"/>
      <c r="S163" s="260"/>
      <c r="T163" s="260"/>
      <c r="U163" s="260"/>
      <c r="V163" s="260"/>
      <c r="W163" s="260"/>
      <c r="X163" s="260"/>
      <c r="Y163" s="260"/>
      <c r="AI163" s="396"/>
      <c r="AJ163" s="396"/>
      <c r="AK163" s="396"/>
      <c r="AL163" s="396"/>
      <c r="AM163" s="396"/>
    </row>
    <row r="164" spans="1:39" ht="45" x14ac:dyDescent="0.25">
      <c r="A164" s="401"/>
      <c r="B164" s="588" t="s">
        <v>1046</v>
      </c>
      <c r="C164" s="386" t="s">
        <v>796</v>
      </c>
      <c r="D164" s="362" t="s">
        <v>792</v>
      </c>
      <c r="E164" s="376" t="s">
        <v>56</v>
      </c>
      <c r="F164" s="376" t="s">
        <v>57</v>
      </c>
      <c r="G164" s="290" t="s">
        <v>793</v>
      </c>
      <c r="H164" s="290" t="s">
        <v>794</v>
      </c>
      <c r="I164" s="376" t="s">
        <v>795</v>
      </c>
      <c r="J164" s="401"/>
      <c r="O164" s="260"/>
      <c r="Q164" s="260"/>
      <c r="R164" s="260"/>
      <c r="S164" s="260"/>
      <c r="T164" s="260"/>
      <c r="U164" s="260"/>
      <c r="V164" s="260"/>
      <c r="W164" s="260"/>
      <c r="X164" s="260"/>
      <c r="Y164" s="260"/>
      <c r="AI164" s="396"/>
      <c r="AJ164" s="396"/>
      <c r="AK164" s="396"/>
      <c r="AL164" s="396"/>
      <c r="AM164" s="396"/>
    </row>
    <row r="165" spans="1:39" x14ac:dyDescent="0.25">
      <c r="A165" s="401"/>
      <c r="B165" s="370" t="s">
        <v>136</v>
      </c>
      <c r="C165" s="612" t="str">
        <f>IF($B$139="national prices","0",I156)</f>
        <v>0</v>
      </c>
      <c r="D165" s="405" t="e">
        <f>(('Unit costs'!$C152*'Financial impact (cash)'!#REF!)+('Unit costs'!$D152*'Financial impact (cash)'!#REF!)+('Unit costs'!$E152*'Financial impact (cash)'!#REF!))*'Financial impact (capacity)'!$C$165/1000</f>
        <v>#REF!</v>
      </c>
      <c r="E165" s="405" t="e">
        <f>(('Unit costs'!$C152*'Financial impact (cash)'!#REF!)+('Unit costs'!$D152*'Financial impact (cash)'!#REF!)+('Unit costs'!$E152*'Financial impact (cash)'!#REF!))*'Financial impact (capacity)'!$C$165/1000</f>
        <v>#REF!</v>
      </c>
      <c r="F165" s="405" t="e">
        <f>(('Unit costs'!$C152*'Financial impact (cash)'!#REF!)+('Unit costs'!$D152*'Financial impact (cash)'!#REF!)+('Unit costs'!$E152*'Financial impact (cash)'!#REF!))*'Financial impact (capacity)'!$C$165/1000</f>
        <v>#REF!</v>
      </c>
      <c r="G165" s="405" t="e">
        <f>(('Unit costs'!$C152*'Financial impact (cash)'!#REF!)+('Unit costs'!$D152*'Financial impact (cash)'!#REF!)+('Unit costs'!$E152*'Financial impact (cash)'!#REF!))*'Financial impact (capacity)'!$C$165/1000</f>
        <v>#REF!</v>
      </c>
      <c r="H165" s="405" t="e">
        <f>(('Unit costs'!$C152*'Financial impact (cash)'!#REF!)+('Unit costs'!$D152*'Financial impact (cash)'!#REF!)+('Unit costs'!$E152*'Financial impact (cash)'!#REF!))*'Financial impact (capacity)'!$C$165/1000</f>
        <v>#REF!</v>
      </c>
      <c r="I165" s="405" t="e">
        <f>(('Unit costs'!$C152*'Financial impact (cash)'!#REF!)+('Unit costs'!$D152*'Financial impact (cash)'!#REF!)+('Unit costs'!$E152*'Financial impact (cash)'!#REF!))*'Financial impact (capacity)'!$C$165/1000</f>
        <v>#REF!</v>
      </c>
      <c r="J165" s="401"/>
      <c r="O165" s="260"/>
      <c r="Q165" s="260"/>
      <c r="R165" s="260"/>
      <c r="S165" s="260"/>
      <c r="T165" s="260"/>
      <c r="U165" s="260"/>
      <c r="V165" s="260"/>
      <c r="W165" s="260"/>
      <c r="X165" s="260"/>
      <c r="Y165" s="260"/>
      <c r="AI165" s="396"/>
      <c r="AJ165" s="396"/>
      <c r="AK165" s="396"/>
      <c r="AL165" s="396"/>
      <c r="AM165" s="396"/>
    </row>
    <row r="166" spans="1:39" x14ac:dyDescent="0.25">
      <c r="A166" s="401"/>
      <c r="B166" s="370" t="s">
        <v>137</v>
      </c>
      <c r="C166" s="612" t="str">
        <f t="shared" ref="C166:C171" si="14">IF($B$139="national prices","0",I157)</f>
        <v>0</v>
      </c>
      <c r="D166" s="405" t="e">
        <f>(('Unit costs'!$C153*'Financial impact (cash)'!#REF!)+('Unit costs'!$D153*'Financial impact (cash)'!#REF!)+('Unit costs'!$E153*'Financial impact (cash)'!#REF!))*'Financial impact (capacity)'!$C$165/1000</f>
        <v>#REF!</v>
      </c>
      <c r="E166" s="405" t="e">
        <f>(('Unit costs'!$C153*'Financial impact (cash)'!#REF!)+('Unit costs'!$D153*'Financial impact (cash)'!#REF!)+('Unit costs'!$E153*'Financial impact (cash)'!#REF!))*'Financial impact (capacity)'!$C$165/1000</f>
        <v>#REF!</v>
      </c>
      <c r="F166" s="405" t="e">
        <f>(('Unit costs'!$C153*'Financial impact (cash)'!#REF!)+('Unit costs'!$D153*'Financial impact (cash)'!#REF!)+('Unit costs'!$E153*'Financial impact (cash)'!#REF!))*'Financial impact (capacity)'!$C$165/1000</f>
        <v>#REF!</v>
      </c>
      <c r="G166" s="405" t="e">
        <f>(('Unit costs'!$C153*'Financial impact (cash)'!#REF!)+('Unit costs'!$D153*'Financial impact (cash)'!#REF!)+('Unit costs'!$E153*'Financial impact (cash)'!#REF!))*'Financial impact (capacity)'!$C$165/1000</f>
        <v>#REF!</v>
      </c>
      <c r="H166" s="405" t="e">
        <f>(('Unit costs'!$C153*'Financial impact (cash)'!#REF!)+('Unit costs'!$D153*'Financial impact (cash)'!#REF!)+('Unit costs'!$E153*'Financial impact (cash)'!#REF!))*'Financial impact (capacity)'!$C$165/1000</f>
        <v>#REF!</v>
      </c>
      <c r="I166" s="405" t="e">
        <f>(('Unit costs'!$C153*'Financial impact (cash)'!#REF!)+('Unit costs'!$D153*'Financial impact (cash)'!#REF!)+('Unit costs'!$E153*'Financial impact (cash)'!#REF!))*'Financial impact (capacity)'!$C$165/1000</f>
        <v>#REF!</v>
      </c>
      <c r="J166" s="401"/>
      <c r="O166" s="260"/>
      <c r="Q166" s="260"/>
      <c r="R166" s="260"/>
      <c r="S166" s="260"/>
      <c r="T166" s="260"/>
      <c r="U166" s="260"/>
      <c r="V166" s="260"/>
      <c r="W166" s="260"/>
      <c r="X166" s="260"/>
      <c r="Y166" s="260"/>
      <c r="AI166" s="396"/>
      <c r="AJ166" s="396"/>
      <c r="AK166" s="396"/>
      <c r="AL166" s="396"/>
      <c r="AM166" s="396"/>
    </row>
    <row r="167" spans="1:39" x14ac:dyDescent="0.25">
      <c r="A167" s="401"/>
      <c r="B167" s="370" t="s">
        <v>138</v>
      </c>
      <c r="C167" s="612" t="str">
        <f t="shared" si="14"/>
        <v>0</v>
      </c>
      <c r="D167" s="405" t="e">
        <f>(('Unit costs'!$C154*'Financial impact (cash)'!#REF!)+('Unit costs'!$D154*'Financial impact (cash)'!#REF!)+('Unit costs'!$E154*'Financial impact (cash)'!#REF!))*'Financial impact (capacity)'!$C$165/1000</f>
        <v>#REF!</v>
      </c>
      <c r="E167" s="405" t="e">
        <f>(('Unit costs'!$C154*'Financial impact (cash)'!#REF!)+('Unit costs'!$D154*'Financial impact (cash)'!#REF!)+('Unit costs'!$E154*'Financial impact (cash)'!#REF!))*'Financial impact (capacity)'!$C$165/1000</f>
        <v>#REF!</v>
      </c>
      <c r="F167" s="405" t="e">
        <f>(('Unit costs'!$C154*'Financial impact (cash)'!#REF!)+('Unit costs'!$D154*'Financial impact (cash)'!#REF!)+('Unit costs'!$E154*'Financial impact (cash)'!#REF!))*'Financial impact (capacity)'!$C$165/1000</f>
        <v>#REF!</v>
      </c>
      <c r="G167" s="405" t="e">
        <f>(('Unit costs'!$C154*'Financial impact (cash)'!#REF!)+('Unit costs'!$D154*'Financial impact (cash)'!#REF!)+('Unit costs'!$E154*'Financial impact (cash)'!#REF!))*'Financial impact (capacity)'!$C$165/1000</f>
        <v>#REF!</v>
      </c>
      <c r="H167" s="405" t="e">
        <f>(('Unit costs'!$C154*'Financial impact (cash)'!#REF!)+('Unit costs'!$D154*'Financial impact (cash)'!#REF!)+('Unit costs'!$E154*'Financial impact (cash)'!#REF!))*'Financial impact (capacity)'!$C$165/1000</f>
        <v>#REF!</v>
      </c>
      <c r="I167" s="405" t="e">
        <f>(('Unit costs'!$C154*'Financial impact (cash)'!#REF!)+('Unit costs'!$D154*'Financial impact (cash)'!#REF!)+('Unit costs'!$E154*'Financial impact (cash)'!#REF!))*'Financial impact (capacity)'!$C$165/1000</f>
        <v>#REF!</v>
      </c>
      <c r="J167" s="401"/>
      <c r="O167" s="260"/>
      <c r="Q167" s="260"/>
      <c r="R167" s="260"/>
      <c r="S167" s="260"/>
      <c r="T167" s="260"/>
      <c r="U167" s="260"/>
      <c r="V167" s="260"/>
      <c r="W167" s="260"/>
      <c r="X167" s="260"/>
      <c r="Y167" s="260"/>
      <c r="AI167" s="396"/>
      <c r="AJ167" s="396"/>
      <c r="AK167" s="396"/>
      <c r="AL167" s="396"/>
      <c r="AM167" s="396"/>
    </row>
    <row r="168" spans="1:39" x14ac:dyDescent="0.25">
      <c r="A168" s="401"/>
      <c r="B168" s="370" t="s">
        <v>139</v>
      </c>
      <c r="C168" s="612" t="str">
        <f t="shared" si="14"/>
        <v>0</v>
      </c>
      <c r="D168" s="405" t="e">
        <f>(('Unit costs'!$C155*'Financial impact (cash)'!#REF!)+('Unit costs'!$D155*'Financial impact (cash)'!#REF!)+('Unit costs'!$E155*'Financial impact (cash)'!#REF!))*'Financial impact (capacity)'!$C$165/1000</f>
        <v>#REF!</v>
      </c>
      <c r="E168" s="405" t="e">
        <f>(('Unit costs'!$C155*'Financial impact (cash)'!#REF!)+('Unit costs'!$D155*'Financial impact (cash)'!#REF!)+('Unit costs'!$E155*'Financial impact (cash)'!#REF!))*'Financial impact (capacity)'!$C$165/1000</f>
        <v>#REF!</v>
      </c>
      <c r="F168" s="405" t="e">
        <f>(('Unit costs'!$C155*'Financial impact (cash)'!#REF!)+('Unit costs'!$D155*'Financial impact (cash)'!#REF!)+('Unit costs'!$E155*'Financial impact (cash)'!#REF!))*'Financial impact (capacity)'!$C$165/1000</f>
        <v>#REF!</v>
      </c>
      <c r="G168" s="405" t="e">
        <f>(('Unit costs'!$C155*'Financial impact (cash)'!#REF!)+('Unit costs'!$D155*'Financial impact (cash)'!#REF!)+('Unit costs'!$E155*'Financial impact (cash)'!#REF!))*'Financial impact (capacity)'!$C$165/1000</f>
        <v>#REF!</v>
      </c>
      <c r="H168" s="405" t="e">
        <f>(('Unit costs'!$C155*'Financial impact (cash)'!#REF!)+('Unit costs'!$D155*'Financial impact (cash)'!#REF!)+('Unit costs'!$E155*'Financial impact (cash)'!#REF!))*'Financial impact (capacity)'!$C$165/1000</f>
        <v>#REF!</v>
      </c>
      <c r="I168" s="405" t="e">
        <f>(('Unit costs'!$C155*'Financial impact (cash)'!#REF!)+('Unit costs'!$D155*'Financial impact (cash)'!#REF!)+('Unit costs'!$E155*'Financial impact (cash)'!#REF!))*'Financial impact (capacity)'!$C$165/1000</f>
        <v>#REF!</v>
      </c>
      <c r="J168" s="401"/>
      <c r="O168" s="260"/>
      <c r="Q168" s="260"/>
      <c r="R168" s="260"/>
      <c r="S168" s="260"/>
      <c r="T168" s="260"/>
      <c r="U168" s="260"/>
      <c r="V168" s="260"/>
      <c r="W168" s="260"/>
      <c r="X168" s="260"/>
      <c r="Y168" s="260"/>
      <c r="AI168" s="396"/>
      <c r="AJ168" s="396"/>
      <c r="AK168" s="396"/>
      <c r="AL168" s="396"/>
      <c r="AM168" s="396"/>
    </row>
    <row r="169" spans="1:39" x14ac:dyDescent="0.25">
      <c r="A169" s="401"/>
      <c r="B169" s="370" t="s">
        <v>140</v>
      </c>
      <c r="C169" s="612" t="str">
        <f t="shared" si="14"/>
        <v>0</v>
      </c>
      <c r="D169" s="405" t="e">
        <f>(('Unit costs'!$C156*'Financial impact (cash)'!#REF!)+('Unit costs'!$D156*'Financial impact (cash)'!#REF!)+('Unit costs'!$E156*'Financial impact (cash)'!#REF!))*'Financial impact (capacity)'!$C$165/1000</f>
        <v>#REF!</v>
      </c>
      <c r="E169" s="405" t="e">
        <f>(('Unit costs'!$C156*'Financial impact (cash)'!#REF!)+('Unit costs'!$D156*'Financial impact (cash)'!#REF!)+('Unit costs'!$E156*'Financial impact (cash)'!#REF!))*'Financial impact (capacity)'!$C$165/1000</f>
        <v>#REF!</v>
      </c>
      <c r="F169" s="405" t="e">
        <f>(('Unit costs'!$C156*'Financial impact (cash)'!#REF!)+('Unit costs'!$D156*'Financial impact (cash)'!#REF!)+('Unit costs'!$E156*'Financial impact (cash)'!#REF!))*'Financial impact (capacity)'!$C$165/1000</f>
        <v>#REF!</v>
      </c>
      <c r="G169" s="405" t="e">
        <f>(('Unit costs'!$C156*'Financial impact (cash)'!#REF!)+('Unit costs'!$D156*'Financial impact (cash)'!#REF!)+('Unit costs'!$E156*'Financial impact (cash)'!#REF!))*'Financial impact (capacity)'!$C$165/1000</f>
        <v>#REF!</v>
      </c>
      <c r="H169" s="405" t="e">
        <f>(('Unit costs'!$C156*'Financial impact (cash)'!#REF!)+('Unit costs'!$D156*'Financial impact (cash)'!#REF!)+('Unit costs'!$E156*'Financial impact (cash)'!#REF!))*'Financial impact (capacity)'!$C$165/1000</f>
        <v>#REF!</v>
      </c>
      <c r="I169" s="405" t="e">
        <f>(('Unit costs'!$C156*'Financial impact (cash)'!#REF!)+('Unit costs'!$D156*'Financial impact (cash)'!#REF!)+('Unit costs'!$E156*'Financial impact (cash)'!#REF!))*'Financial impact (capacity)'!$C$165/1000</f>
        <v>#REF!</v>
      </c>
      <c r="J169" s="401"/>
      <c r="O169" s="260"/>
      <c r="Q169" s="260"/>
      <c r="R169" s="260"/>
      <c r="S169" s="260"/>
      <c r="T169" s="260"/>
      <c r="U169" s="260"/>
      <c r="V169" s="260"/>
      <c r="W169" s="260"/>
      <c r="X169" s="260"/>
      <c r="Y169" s="260"/>
      <c r="AI169" s="396"/>
      <c r="AJ169" s="396"/>
      <c r="AK169" s="396"/>
      <c r="AL169" s="396"/>
      <c r="AM169" s="396"/>
    </row>
    <row r="170" spans="1:39" x14ac:dyDescent="0.25">
      <c r="A170" s="401"/>
      <c r="B170" s="370" t="s">
        <v>141</v>
      </c>
      <c r="C170" s="612" t="str">
        <f t="shared" si="14"/>
        <v>0</v>
      </c>
      <c r="D170" s="405" t="e">
        <f>(('Unit costs'!$C157*'Financial impact (cash)'!#REF!)+('Unit costs'!$D157*'Financial impact (cash)'!#REF!)+('Unit costs'!$E157*'Financial impact (cash)'!#REF!))*'Financial impact (capacity)'!$C$165/1000</f>
        <v>#REF!</v>
      </c>
      <c r="E170" s="405" t="e">
        <f>(('Unit costs'!$C157*'Financial impact (cash)'!#REF!)+('Unit costs'!$D157*'Financial impact (cash)'!#REF!)+('Unit costs'!$E157*'Financial impact (cash)'!#REF!))*'Financial impact (capacity)'!$C$165/1000</f>
        <v>#REF!</v>
      </c>
      <c r="F170" s="405" t="e">
        <f>(('Unit costs'!$C157*'Financial impact (cash)'!#REF!)+('Unit costs'!$D157*'Financial impact (cash)'!#REF!)+('Unit costs'!$E157*'Financial impact (cash)'!#REF!))*'Financial impact (capacity)'!$C$165/1000</f>
        <v>#REF!</v>
      </c>
      <c r="G170" s="405" t="e">
        <f>(('Unit costs'!$C157*'Financial impact (cash)'!#REF!)+('Unit costs'!$D157*'Financial impact (cash)'!#REF!)+('Unit costs'!$E157*'Financial impact (cash)'!#REF!))*'Financial impact (capacity)'!$C$165/1000</f>
        <v>#REF!</v>
      </c>
      <c r="H170" s="405" t="e">
        <f>(('Unit costs'!$C157*'Financial impact (cash)'!#REF!)+('Unit costs'!$D157*'Financial impact (cash)'!#REF!)+('Unit costs'!$E157*'Financial impact (cash)'!#REF!))*'Financial impact (capacity)'!$C$165/1000</f>
        <v>#REF!</v>
      </c>
      <c r="I170" s="405" t="e">
        <f>(('Unit costs'!$C157*'Financial impact (cash)'!#REF!)+('Unit costs'!$D157*'Financial impact (cash)'!#REF!)+('Unit costs'!$E157*'Financial impact (cash)'!#REF!))*'Financial impact (capacity)'!$C$165/1000</f>
        <v>#REF!</v>
      </c>
      <c r="J170" s="401"/>
      <c r="O170" s="260"/>
      <c r="Q170" s="260"/>
      <c r="R170" s="260"/>
      <c r="S170" s="260"/>
      <c r="T170" s="260"/>
      <c r="U170" s="260"/>
      <c r="V170" s="260"/>
      <c r="W170" s="260"/>
      <c r="X170" s="260"/>
      <c r="Y170" s="260"/>
      <c r="AI170" s="396"/>
      <c r="AJ170" s="396"/>
      <c r="AK170" s="396"/>
      <c r="AL170" s="396"/>
      <c r="AM170" s="396"/>
    </row>
    <row r="171" spans="1:39" x14ac:dyDescent="0.25">
      <c r="A171" s="401"/>
      <c r="B171" s="370" t="s">
        <v>142</v>
      </c>
      <c r="C171" s="612" t="str">
        <f t="shared" si="14"/>
        <v>0</v>
      </c>
      <c r="D171" s="405" t="e">
        <f>(('Unit costs'!$C158*'Financial impact (cash)'!#REF!)+('Unit costs'!$D158*'Financial impact (cash)'!#REF!)+('Unit costs'!$E158*'Financial impact (cash)'!#REF!))*'Financial impact (capacity)'!$C$165/1000</f>
        <v>#REF!</v>
      </c>
      <c r="E171" s="405" t="e">
        <f>(('Unit costs'!$C158*'Financial impact (cash)'!#REF!)+('Unit costs'!$D158*'Financial impact (cash)'!#REF!)+('Unit costs'!$E158*'Financial impact (cash)'!#REF!))*'Financial impact (capacity)'!$C$165/1000</f>
        <v>#REF!</v>
      </c>
      <c r="F171" s="405" t="e">
        <f>(('Unit costs'!$C158*'Financial impact (cash)'!#REF!)+('Unit costs'!$D158*'Financial impact (cash)'!#REF!)+('Unit costs'!$E158*'Financial impact (cash)'!#REF!))*'Financial impact (capacity)'!$C$165/1000</f>
        <v>#REF!</v>
      </c>
      <c r="G171" s="405" t="e">
        <f>(('Unit costs'!$C158*'Financial impact (cash)'!#REF!)+('Unit costs'!$D158*'Financial impact (cash)'!#REF!)+('Unit costs'!$E158*'Financial impact (cash)'!#REF!))*'Financial impact (capacity)'!$C$165/1000</f>
        <v>#REF!</v>
      </c>
      <c r="H171" s="405" t="e">
        <f>(('Unit costs'!$C158*'Financial impact (cash)'!#REF!)+('Unit costs'!$D158*'Financial impact (cash)'!#REF!)+('Unit costs'!$E158*'Financial impact (cash)'!#REF!))*'Financial impact (capacity)'!$C$165/1000</f>
        <v>#REF!</v>
      </c>
      <c r="I171" s="405" t="e">
        <f>(('Unit costs'!$C158*'Financial impact (cash)'!#REF!)+('Unit costs'!$D158*'Financial impact (cash)'!#REF!)+('Unit costs'!$E158*'Financial impact (cash)'!#REF!))*'Financial impact (capacity)'!$C$165/1000</f>
        <v>#REF!</v>
      </c>
      <c r="J171" s="401"/>
      <c r="O171" s="260"/>
      <c r="Q171" s="260"/>
      <c r="R171" s="260"/>
      <c r="S171" s="260"/>
      <c r="T171" s="260"/>
      <c r="U171" s="260"/>
      <c r="V171" s="260"/>
      <c r="W171" s="260"/>
      <c r="X171" s="260"/>
      <c r="Y171" s="260"/>
      <c r="AI171" s="396"/>
      <c r="AJ171" s="396"/>
      <c r="AK171" s="396"/>
      <c r="AL171" s="396"/>
      <c r="AM171" s="396"/>
    </row>
    <row r="172" spans="1:39" x14ac:dyDescent="0.25">
      <c r="A172" s="401"/>
      <c r="B172" s="408" t="s">
        <v>1015</v>
      </c>
      <c r="C172" s="586"/>
      <c r="D172" s="310" t="e">
        <f>SUM(D165:D171)</f>
        <v>#REF!</v>
      </c>
      <c r="E172" s="310" t="e">
        <f t="shared" ref="E172:I172" si="15">SUM(E165:E171)</f>
        <v>#REF!</v>
      </c>
      <c r="F172" s="310" t="e">
        <f t="shared" si="15"/>
        <v>#REF!</v>
      </c>
      <c r="G172" s="310" t="e">
        <f t="shared" si="15"/>
        <v>#REF!</v>
      </c>
      <c r="H172" s="310" t="e">
        <f t="shared" si="15"/>
        <v>#REF!</v>
      </c>
      <c r="I172" s="310" t="e">
        <f t="shared" si="15"/>
        <v>#REF!</v>
      </c>
      <c r="J172" s="401"/>
      <c r="O172" s="260"/>
      <c r="Q172" s="260"/>
      <c r="R172" s="260"/>
      <c r="S172" s="260"/>
      <c r="T172" s="260"/>
      <c r="U172" s="260"/>
      <c r="V172" s="260"/>
      <c r="W172" s="260"/>
      <c r="X172" s="260"/>
      <c r="Y172" s="260"/>
      <c r="AI172" s="396"/>
      <c r="AJ172" s="396"/>
      <c r="AK172" s="396"/>
      <c r="AL172" s="396"/>
      <c r="AM172" s="396"/>
    </row>
    <row r="173" spans="1:39" x14ac:dyDescent="0.25">
      <c r="A173" s="401"/>
      <c r="B173" s="408"/>
      <c r="C173" s="292"/>
      <c r="D173" s="496" t="s">
        <v>1042</v>
      </c>
      <c r="E173" s="407" t="e">
        <f>E172-$D172</f>
        <v>#REF!</v>
      </c>
      <c r="F173" s="407" t="e">
        <f t="shared" ref="F173:I173" si="16">F172-$D172</f>
        <v>#REF!</v>
      </c>
      <c r="G173" s="407" t="e">
        <f t="shared" si="16"/>
        <v>#REF!</v>
      </c>
      <c r="H173" s="407" t="e">
        <f t="shared" si="16"/>
        <v>#REF!</v>
      </c>
      <c r="I173" s="407" t="e">
        <f t="shared" si="16"/>
        <v>#REF!</v>
      </c>
      <c r="J173" s="401"/>
      <c r="O173" s="260"/>
      <c r="Q173" s="260"/>
      <c r="R173" s="260"/>
      <c r="S173" s="260"/>
      <c r="T173" s="260"/>
      <c r="U173" s="260"/>
      <c r="V173" s="260"/>
      <c r="W173" s="260"/>
      <c r="X173" s="260"/>
      <c r="Y173" s="260"/>
      <c r="AI173" s="396"/>
      <c r="AJ173" s="396"/>
      <c r="AK173" s="396"/>
      <c r="AL173" s="396"/>
      <c r="AM173" s="396"/>
    </row>
    <row r="174" spans="1:39" x14ac:dyDescent="0.25">
      <c r="A174" s="401"/>
      <c r="B174" s="401"/>
      <c r="C174" s="401"/>
      <c r="D174" s="401"/>
      <c r="E174" s="401"/>
      <c r="F174" s="480"/>
      <c r="G174" s="401"/>
      <c r="H174" s="401"/>
      <c r="I174" s="401"/>
      <c r="J174" s="401"/>
    </row>
    <row r="175" spans="1:39" x14ac:dyDescent="0.25">
      <c r="B175"/>
      <c r="F175" s="537"/>
    </row>
    <row r="176" spans="1:39" x14ac:dyDescent="0.25">
      <c r="B176" s="378" t="s">
        <v>1047</v>
      </c>
      <c r="C176" s="328"/>
      <c r="D176" s="409" t="e">
        <f t="shared" ref="D176:I176" si="17">D172+D150+D133+D106+D94+D82+D66+D52+D33</f>
        <v>#REF!</v>
      </c>
      <c r="E176" s="409" t="e">
        <f t="shared" si="17"/>
        <v>#REF!</v>
      </c>
      <c r="F176" s="409" t="e">
        <f t="shared" si="17"/>
        <v>#REF!</v>
      </c>
      <c r="G176" s="409" t="e">
        <f t="shared" si="17"/>
        <v>#REF!</v>
      </c>
      <c r="H176" s="409" t="e">
        <f t="shared" si="17"/>
        <v>#REF!</v>
      </c>
      <c r="I176" s="409" t="e">
        <f t="shared" si="17"/>
        <v>#REF!</v>
      </c>
    </row>
    <row r="177" spans="2:9" x14ac:dyDescent="0.25">
      <c r="B177" s="378" t="s">
        <v>1048</v>
      </c>
      <c r="C177" s="328"/>
      <c r="D177" s="327"/>
      <c r="E177" s="314" t="e">
        <f>E176-D176</f>
        <v>#REF!</v>
      </c>
      <c r="F177" s="314" t="e">
        <f t="shared" ref="F177:I177" si="18">F176-E176</f>
        <v>#REF!</v>
      </c>
      <c r="G177" s="314" t="e">
        <f t="shared" si="18"/>
        <v>#REF!</v>
      </c>
      <c r="H177" s="314" t="e">
        <f t="shared" si="18"/>
        <v>#REF!</v>
      </c>
      <c r="I177" s="314" t="e">
        <f t="shared" si="18"/>
        <v>#REF!</v>
      </c>
    </row>
    <row r="178" spans="2:9" x14ac:dyDescent="0.25">
      <c r="B178" s="378" t="s">
        <v>1049</v>
      </c>
      <c r="C178" s="328"/>
      <c r="D178" s="327"/>
      <c r="E178" s="314" t="e">
        <f>E177-D177</f>
        <v>#REF!</v>
      </c>
      <c r="F178" s="314" t="e">
        <f>E178+F177</f>
        <v>#REF!</v>
      </c>
      <c r="G178" s="314" t="e">
        <f t="shared" ref="G178:I178" si="19">F178+G177</f>
        <v>#REF!</v>
      </c>
      <c r="H178" s="314" t="e">
        <f t="shared" si="19"/>
        <v>#REF!</v>
      </c>
      <c r="I178" s="314" t="e">
        <f t="shared" si="19"/>
        <v>#REF!</v>
      </c>
    </row>
    <row r="179" spans="2:9" x14ac:dyDescent="0.25">
      <c r="B179"/>
      <c r="D179" s="375"/>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49"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140625" defaultRowHeight="15" x14ac:dyDescent="0.2"/>
  <cols>
    <col min="1" max="1" width="6.5703125" style="139" customWidth="1"/>
    <col min="2" max="2" width="8.140625" style="137" customWidth="1"/>
    <col min="3" max="3" width="8.140625" style="139" customWidth="1"/>
    <col min="4" max="5" width="8.140625" style="248" customWidth="1"/>
    <col min="6" max="8" width="8.140625" style="137" customWidth="1"/>
    <col min="9" max="13" width="8.140625" style="139" customWidth="1"/>
    <col min="14" max="14" width="12.42578125" style="139" customWidth="1"/>
    <col min="15" max="43" width="8.140625" style="139" customWidth="1"/>
    <col min="44" max="16384" width="9.140625" style="139"/>
  </cols>
  <sheetData>
    <row r="1" spans="1:51" s="253" customFormat="1" ht="30.6" customHeight="1" thickBot="1" x14ac:dyDescent="0.3">
      <c r="A1" s="250" t="s">
        <v>1050</v>
      </c>
      <c r="B1" s="251"/>
      <c r="C1" s="251"/>
      <c r="D1" s="251"/>
      <c r="E1" s="251"/>
      <c r="F1" s="251"/>
      <c r="G1" s="251"/>
      <c r="H1" s="251"/>
      <c r="I1" s="251"/>
      <c r="J1" s="251"/>
      <c r="K1" s="251"/>
      <c r="L1" s="251"/>
      <c r="M1" s="251"/>
      <c r="N1" s="251"/>
      <c r="O1" s="254" t="s">
        <v>1051</v>
      </c>
      <c r="P1" s="255"/>
      <c r="Q1" s="255"/>
      <c r="R1" s="255"/>
      <c r="S1" s="255"/>
      <c r="T1" s="255"/>
      <c r="U1" s="256"/>
      <c r="V1" s="226"/>
      <c r="W1" s="226"/>
      <c r="X1" s="226"/>
      <c r="Y1" s="226"/>
      <c r="Z1" s="226"/>
      <c r="AA1" s="226"/>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row>
    <row r="2" spans="1:51" ht="15.75" customHeight="1" x14ac:dyDescent="0.2">
      <c r="A2" s="140"/>
      <c r="B2" s="141"/>
      <c r="C2" s="142"/>
      <c r="D2" s="136"/>
      <c r="E2" s="135"/>
      <c r="F2" s="135"/>
      <c r="G2" s="135"/>
      <c r="H2" s="138"/>
      <c r="I2" s="138"/>
      <c r="J2" s="138"/>
      <c r="K2" s="138"/>
      <c r="L2" s="138"/>
      <c r="M2" s="138"/>
      <c r="N2" s="138"/>
      <c r="O2" s="138"/>
      <c r="P2" s="138"/>
      <c r="Q2" s="138"/>
      <c r="R2" s="138"/>
      <c r="S2" s="138"/>
      <c r="T2" s="138"/>
      <c r="U2" s="138"/>
      <c r="V2" s="138"/>
      <c r="W2" s="138"/>
      <c r="X2" s="138"/>
      <c r="Y2" s="138"/>
      <c r="Z2" s="138"/>
      <c r="AA2" s="138"/>
      <c r="AB2" s="143"/>
      <c r="AC2" s="135"/>
      <c r="AD2" s="135"/>
      <c r="AE2" s="135"/>
      <c r="AF2" s="135"/>
      <c r="AG2" s="135"/>
      <c r="AH2" s="135"/>
      <c r="AI2" s="135"/>
      <c r="AJ2" s="135"/>
      <c r="AK2" s="135"/>
      <c r="AL2" s="135"/>
      <c r="AM2" s="135"/>
      <c r="AN2" s="135"/>
      <c r="AO2" s="135"/>
      <c r="AP2" s="135"/>
      <c r="AQ2" s="135"/>
      <c r="AR2" s="135"/>
      <c r="AS2" s="135"/>
      <c r="AT2" s="135"/>
      <c r="AU2" s="135"/>
      <c r="AV2" s="135"/>
      <c r="AW2" s="135"/>
      <c r="AX2" s="135"/>
      <c r="AY2" s="135"/>
    </row>
    <row r="3" spans="1:51" ht="15.75" customHeight="1" x14ac:dyDescent="0.2">
      <c r="A3" s="144" t="s">
        <v>1052</v>
      </c>
      <c r="B3" s="141"/>
      <c r="C3" s="142"/>
      <c r="D3" s="136"/>
      <c r="E3" s="135"/>
      <c r="F3" s="135"/>
      <c r="G3" s="135"/>
      <c r="H3" s="138"/>
      <c r="I3" s="138"/>
      <c r="J3" s="138"/>
      <c r="K3" s="138"/>
      <c r="L3" s="138"/>
      <c r="M3" s="138"/>
      <c r="N3" s="138"/>
      <c r="O3" s="138"/>
      <c r="P3" s="138"/>
      <c r="Q3" s="138"/>
      <c r="R3" s="138"/>
      <c r="S3" s="138"/>
      <c r="T3" s="138"/>
      <c r="U3" s="138"/>
      <c r="V3" s="138"/>
      <c r="W3" s="138"/>
      <c r="X3" s="138"/>
      <c r="Y3" s="138"/>
      <c r="Z3" s="138"/>
      <c r="AA3" s="138"/>
      <c r="AB3" s="143"/>
      <c r="AC3" s="135"/>
      <c r="AD3" s="135"/>
      <c r="AE3" s="135"/>
      <c r="AF3" s="135"/>
      <c r="AG3" s="135"/>
      <c r="AH3" s="135"/>
      <c r="AI3" s="135"/>
      <c r="AJ3" s="135"/>
      <c r="AK3" s="135"/>
      <c r="AL3" s="135"/>
      <c r="AM3" s="135"/>
      <c r="AN3" s="135"/>
      <c r="AO3" s="135"/>
      <c r="AP3" s="135"/>
      <c r="AQ3" s="135"/>
      <c r="AR3" s="135"/>
      <c r="AS3" s="135"/>
      <c r="AT3" s="135"/>
      <c r="AU3" s="135"/>
      <c r="AV3" s="135"/>
      <c r="AW3" s="135"/>
      <c r="AX3" s="135"/>
      <c r="AY3" s="135"/>
    </row>
    <row r="4" spans="1:51" ht="15.75" customHeight="1" x14ac:dyDescent="0.2">
      <c r="A4" s="144" t="s">
        <v>1053</v>
      </c>
      <c r="B4" s="141"/>
      <c r="C4" s="142"/>
      <c r="D4" s="136"/>
      <c r="E4" s="135"/>
      <c r="F4" s="135"/>
      <c r="G4" s="135"/>
      <c r="H4" s="138"/>
      <c r="I4" s="138"/>
      <c r="J4" s="138"/>
      <c r="K4" s="138"/>
      <c r="L4" s="138"/>
      <c r="M4" s="138"/>
      <c r="N4" s="138"/>
      <c r="O4" s="138"/>
      <c r="P4" s="138"/>
      <c r="Q4" s="138"/>
      <c r="R4" s="138"/>
      <c r="S4" s="138"/>
      <c r="T4" s="138"/>
      <c r="U4" s="138"/>
      <c r="V4" s="138"/>
      <c r="W4" s="138"/>
      <c r="X4" s="138"/>
      <c r="Y4" s="138"/>
      <c r="Z4" s="138"/>
      <c r="AA4" s="138"/>
      <c r="AB4" s="143"/>
      <c r="AC4" s="135"/>
      <c r="AD4" s="135"/>
      <c r="AE4" s="135"/>
      <c r="AF4" s="135"/>
      <c r="AG4" s="135"/>
      <c r="AH4" s="135"/>
      <c r="AI4" s="135"/>
      <c r="AJ4" s="135"/>
      <c r="AK4" s="135"/>
      <c r="AL4" s="135"/>
      <c r="AM4" s="135"/>
      <c r="AN4" s="135"/>
      <c r="AO4" s="135"/>
      <c r="AP4" s="135"/>
      <c r="AQ4" s="135"/>
      <c r="AR4" s="135"/>
      <c r="AS4" s="135"/>
      <c r="AT4" s="135"/>
      <c r="AU4" s="135"/>
      <c r="AV4" s="135"/>
      <c r="AW4" s="135"/>
      <c r="AX4" s="135"/>
      <c r="AY4" s="135"/>
    </row>
    <row r="5" spans="1:51" ht="15.75" customHeight="1" x14ac:dyDescent="0.2">
      <c r="A5" s="144" t="s">
        <v>1054</v>
      </c>
      <c r="B5" s="141"/>
      <c r="C5" s="142"/>
      <c r="D5" s="136"/>
      <c r="E5" s="135"/>
      <c r="F5" s="135"/>
      <c r="G5" s="135"/>
      <c r="H5" s="138"/>
      <c r="I5" s="138"/>
      <c r="J5" s="138"/>
      <c r="K5" s="138"/>
      <c r="L5" s="138"/>
      <c r="M5" s="138"/>
      <c r="N5" s="138"/>
      <c r="O5" s="138"/>
      <c r="P5" s="138"/>
      <c r="Q5" s="138"/>
      <c r="R5" s="138"/>
      <c r="S5" s="138"/>
      <c r="T5" s="138"/>
      <c r="U5" s="138"/>
      <c r="V5" s="138"/>
      <c r="W5" s="138"/>
      <c r="X5" s="138"/>
      <c r="Y5" s="138"/>
      <c r="Z5" s="138"/>
      <c r="AA5" s="138"/>
      <c r="AB5" s="143"/>
      <c r="AC5" s="135"/>
      <c r="AD5" s="135"/>
      <c r="AE5" s="135"/>
      <c r="AF5" s="135"/>
      <c r="AG5" s="135"/>
      <c r="AH5" s="135"/>
      <c r="AI5" s="135"/>
      <c r="AJ5" s="135"/>
      <c r="AK5" s="135"/>
      <c r="AL5" s="135"/>
      <c r="AM5" s="135"/>
      <c r="AN5" s="135"/>
      <c r="AO5" s="135"/>
      <c r="AP5" s="135"/>
      <c r="AQ5" s="135"/>
      <c r="AR5" s="135"/>
      <c r="AS5" s="135"/>
      <c r="AT5" s="135"/>
      <c r="AU5" s="135"/>
      <c r="AV5" s="135"/>
      <c r="AW5" s="135"/>
      <c r="AX5" s="135"/>
      <c r="AY5" s="135"/>
    </row>
    <row r="6" spans="1:51" ht="15.75" customHeight="1" x14ac:dyDescent="0.2">
      <c r="A6" s="140"/>
      <c r="B6" s="138"/>
      <c r="C6" s="138"/>
      <c r="D6" s="138"/>
      <c r="E6" s="138"/>
      <c r="F6" s="138"/>
      <c r="G6" s="138"/>
      <c r="H6" s="138"/>
      <c r="I6" s="138"/>
      <c r="J6" s="138"/>
      <c r="K6" s="138"/>
      <c r="L6" s="145"/>
      <c r="M6" s="138"/>
      <c r="N6" s="138"/>
      <c r="O6" s="138"/>
      <c r="P6" s="138"/>
      <c r="Q6" s="138"/>
      <c r="R6" s="138"/>
      <c r="S6" s="138"/>
      <c r="T6" s="138"/>
      <c r="U6" s="138"/>
      <c r="V6" s="138"/>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row>
    <row r="7" spans="1:51" ht="15.75" customHeight="1" x14ac:dyDescent="0.2">
      <c r="A7" s="140"/>
      <c r="B7" s="138"/>
      <c r="C7" s="138"/>
      <c r="D7" s="138"/>
      <c r="E7" s="138"/>
      <c r="F7" s="138"/>
      <c r="G7" s="138"/>
      <c r="H7" s="138"/>
      <c r="I7" s="138"/>
      <c r="J7" s="138"/>
      <c r="K7" s="138"/>
      <c r="L7" s="145" t="s">
        <v>1055</v>
      </c>
      <c r="M7" s="138"/>
      <c r="N7" s="138"/>
      <c r="O7" s="138"/>
      <c r="P7" s="138"/>
      <c r="Q7" s="138"/>
      <c r="R7" s="138"/>
      <c r="S7" s="138"/>
      <c r="T7" s="138"/>
      <c r="U7" s="138"/>
      <c r="V7" s="138"/>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row>
    <row r="8" spans="1:51" ht="15.75" x14ac:dyDescent="0.2">
      <c r="A8" s="140"/>
      <c r="B8" s="138"/>
      <c r="C8" s="138"/>
      <c r="D8" s="138"/>
      <c r="E8" s="138"/>
      <c r="F8" s="138"/>
      <c r="G8" s="138"/>
      <c r="H8" s="145" t="s">
        <v>1056</v>
      </c>
      <c r="I8" s="138"/>
      <c r="J8" s="138"/>
      <c r="K8" s="145"/>
      <c r="L8" s="145" t="s">
        <v>1057</v>
      </c>
      <c r="M8" s="138"/>
      <c r="N8" s="138"/>
      <c r="O8" s="138"/>
      <c r="P8" s="138"/>
      <c r="Q8" s="138"/>
      <c r="R8" s="138"/>
      <c r="S8" s="138"/>
      <c r="T8" s="138"/>
      <c r="U8" s="138"/>
      <c r="V8" s="138"/>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row>
    <row r="9" spans="1:51" ht="15.75" x14ac:dyDescent="0.2">
      <c r="A9" s="146"/>
      <c r="B9" s="138"/>
      <c r="C9" s="138"/>
      <c r="D9" s="138"/>
      <c r="E9" s="138"/>
      <c r="F9" s="138"/>
      <c r="G9" s="138"/>
      <c r="H9" s="138"/>
      <c r="I9" s="138"/>
      <c r="J9" s="138"/>
      <c r="K9" s="138"/>
      <c r="L9" s="138"/>
      <c r="M9" s="138"/>
      <c r="N9" s="138"/>
      <c r="O9" s="138"/>
      <c r="P9" s="138"/>
      <c r="Q9" s="138"/>
      <c r="R9" s="138"/>
      <c r="S9" s="138"/>
      <c r="T9" s="138"/>
      <c r="U9" s="138"/>
      <c r="V9" s="138"/>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row>
    <row r="10" spans="1:51" ht="15.75" x14ac:dyDescent="0.2">
      <c r="A10" s="146"/>
      <c r="B10" s="138"/>
      <c r="C10" s="138"/>
      <c r="D10" s="138"/>
      <c r="E10" s="138"/>
      <c r="F10" s="138"/>
      <c r="G10" s="138"/>
      <c r="H10" s="138"/>
      <c r="I10" s="138"/>
      <c r="J10" s="138"/>
      <c r="K10" s="138"/>
      <c r="L10" s="138"/>
      <c r="M10" s="138"/>
      <c r="N10" s="138"/>
      <c r="O10" s="138"/>
      <c r="P10" s="138"/>
      <c r="Q10" s="138"/>
      <c r="R10" s="138"/>
      <c r="S10" s="138"/>
      <c r="T10" s="138"/>
      <c r="U10" s="138"/>
      <c r="V10" s="138"/>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row>
    <row r="11" spans="1:51" ht="15.75" x14ac:dyDescent="0.2">
      <c r="A11" s="146"/>
      <c r="B11" s="138"/>
      <c r="C11" s="138"/>
      <c r="D11" s="138"/>
      <c r="E11" s="138"/>
      <c r="F11" s="138"/>
      <c r="G11" s="138"/>
      <c r="H11" s="138"/>
      <c r="I11" s="138"/>
      <c r="J11" s="138"/>
      <c r="K11" s="138"/>
      <c r="L11" s="138"/>
      <c r="M11" s="138"/>
      <c r="N11" s="138"/>
      <c r="O11" s="138"/>
      <c r="P11" s="138"/>
      <c r="Q11" s="138"/>
      <c r="R11" s="138"/>
      <c r="S11" s="138"/>
      <c r="T11" s="138"/>
      <c r="U11" s="138"/>
      <c r="V11" s="138"/>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row>
    <row r="12" spans="1:51" ht="15.75" x14ac:dyDescent="0.2">
      <c r="A12" s="146"/>
      <c r="B12" s="138"/>
      <c r="C12" s="138"/>
      <c r="D12" s="138"/>
      <c r="E12" s="138"/>
      <c r="F12" s="138"/>
      <c r="G12" s="138"/>
      <c r="H12" s="138"/>
      <c r="I12" s="138"/>
      <c r="J12" s="138"/>
      <c r="K12" s="138"/>
      <c r="L12" s="138"/>
      <c r="M12" s="138"/>
      <c r="N12" s="138"/>
      <c r="O12" s="138"/>
      <c r="P12" s="138"/>
      <c r="Q12" s="138"/>
      <c r="R12" s="138"/>
      <c r="S12" s="138"/>
      <c r="T12" s="138"/>
      <c r="U12" s="138"/>
      <c r="V12" s="138"/>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row>
    <row r="13" spans="1:51" ht="15.75" x14ac:dyDescent="0.2">
      <c r="A13" s="146"/>
      <c r="B13" s="138"/>
      <c r="C13" s="138"/>
      <c r="D13" s="138"/>
      <c r="E13" s="138"/>
      <c r="F13" s="138"/>
      <c r="G13" s="138"/>
      <c r="H13" s="138"/>
      <c r="I13" s="138"/>
      <c r="J13" s="138"/>
      <c r="K13" s="138"/>
      <c r="L13" s="138"/>
      <c r="M13" s="138"/>
      <c r="N13" s="138"/>
      <c r="O13" s="138"/>
      <c r="P13" s="138"/>
      <c r="Q13" s="138"/>
      <c r="R13" s="138"/>
      <c r="S13" s="138"/>
      <c r="T13" s="138"/>
      <c r="U13" s="138"/>
      <c r="V13" s="138"/>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row>
    <row r="14" spans="1:51" ht="15.75" thickBot="1" x14ac:dyDescent="0.25">
      <c r="A14" s="147"/>
      <c r="B14" s="138"/>
      <c r="C14" s="138"/>
      <c r="D14" s="138"/>
      <c r="E14" s="138"/>
      <c r="F14" s="138"/>
      <c r="G14" s="138"/>
      <c r="H14" s="138"/>
      <c r="I14" s="138"/>
      <c r="J14" s="138"/>
      <c r="K14" s="138"/>
      <c r="L14" s="138"/>
      <c r="M14" s="138"/>
      <c r="N14" s="138"/>
      <c r="O14" s="138"/>
      <c r="P14" s="138"/>
      <c r="Q14" s="138"/>
      <c r="R14" s="138"/>
      <c r="S14" s="138"/>
      <c r="T14" s="138"/>
      <c r="U14" s="138"/>
      <c r="V14" s="138"/>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row>
    <row r="15" spans="1:51" ht="15.75" x14ac:dyDescent="0.25">
      <c r="A15" s="147"/>
      <c r="B15" s="138"/>
      <c r="C15" s="1339" t="s">
        <v>1058</v>
      </c>
      <c r="D15" s="1340"/>
      <c r="E15" s="1340"/>
      <c r="F15" s="1340"/>
      <c r="G15" s="1340"/>
      <c r="H15" s="1340"/>
      <c r="I15" s="1340"/>
      <c r="J15" s="1340"/>
      <c r="K15" s="1340"/>
      <c r="L15" s="1340"/>
      <c r="M15" s="1340"/>
      <c r="N15" s="1341"/>
      <c r="O15" s="1339" t="s">
        <v>1058</v>
      </c>
      <c r="P15" s="1340"/>
      <c r="Q15" s="1340"/>
      <c r="R15" s="1340"/>
      <c r="S15" s="1340"/>
      <c r="T15" s="1340"/>
      <c r="U15" s="1340"/>
      <c r="V15" s="1340"/>
      <c r="W15" s="1340"/>
      <c r="X15" s="1340"/>
      <c r="Y15" s="1340"/>
      <c r="Z15" s="1341"/>
      <c r="AA15" s="1339" t="s">
        <v>1058</v>
      </c>
      <c r="AB15" s="1340"/>
      <c r="AC15" s="1340"/>
      <c r="AD15" s="1340"/>
      <c r="AE15" s="1340"/>
      <c r="AF15" s="1340"/>
      <c r="AG15" s="1340"/>
      <c r="AH15" s="1340"/>
      <c r="AI15" s="1340"/>
      <c r="AJ15" s="1340"/>
      <c r="AK15" s="1340"/>
      <c r="AL15" s="1341"/>
      <c r="AM15" s="1339" t="s">
        <v>1058</v>
      </c>
      <c r="AN15" s="1340"/>
      <c r="AO15" s="1340"/>
      <c r="AP15" s="1340"/>
      <c r="AQ15" s="1340"/>
      <c r="AR15" s="1340"/>
      <c r="AS15" s="1340"/>
      <c r="AT15" s="1340"/>
      <c r="AU15" s="1340"/>
      <c r="AV15" s="1340"/>
      <c r="AW15" s="1340"/>
      <c r="AX15" s="1341"/>
      <c r="AY15" s="135"/>
    </row>
    <row r="16" spans="1:51" s="154" customFormat="1" ht="62.1" customHeight="1" thickBot="1" x14ac:dyDescent="0.25">
      <c r="A16" s="147"/>
      <c r="B16" s="148" t="s">
        <v>1059</v>
      </c>
      <c r="C16" s="149">
        <v>1</v>
      </c>
      <c r="D16" s="150">
        <v>2</v>
      </c>
      <c r="E16" s="151">
        <v>3</v>
      </c>
      <c r="F16" s="150">
        <v>4</v>
      </c>
      <c r="G16" s="150">
        <v>5</v>
      </c>
      <c r="H16" s="151">
        <v>6</v>
      </c>
      <c r="I16" s="150">
        <v>7</v>
      </c>
      <c r="J16" s="150">
        <v>8</v>
      </c>
      <c r="K16" s="151">
        <v>9</v>
      </c>
      <c r="L16" s="150">
        <v>10</v>
      </c>
      <c r="M16" s="150">
        <v>11</v>
      </c>
      <c r="N16" s="152">
        <v>12</v>
      </c>
      <c r="O16" s="149">
        <v>1</v>
      </c>
      <c r="P16" s="150">
        <v>2</v>
      </c>
      <c r="Q16" s="151">
        <v>3</v>
      </c>
      <c r="R16" s="150">
        <v>4</v>
      </c>
      <c r="S16" s="150">
        <v>5</v>
      </c>
      <c r="T16" s="151">
        <v>6</v>
      </c>
      <c r="U16" s="150">
        <v>7</v>
      </c>
      <c r="V16" s="150">
        <v>8</v>
      </c>
      <c r="W16" s="151">
        <v>9</v>
      </c>
      <c r="X16" s="150">
        <v>10</v>
      </c>
      <c r="Y16" s="150">
        <v>11</v>
      </c>
      <c r="Z16" s="152">
        <v>12</v>
      </c>
      <c r="AA16" s="149">
        <v>1</v>
      </c>
      <c r="AB16" s="150">
        <v>2</v>
      </c>
      <c r="AC16" s="151">
        <v>3</v>
      </c>
      <c r="AD16" s="150">
        <v>4</v>
      </c>
      <c r="AE16" s="150">
        <v>5</v>
      </c>
      <c r="AF16" s="151">
        <v>6</v>
      </c>
      <c r="AG16" s="150">
        <v>7</v>
      </c>
      <c r="AH16" s="150">
        <v>8</v>
      </c>
      <c r="AI16" s="151">
        <v>9</v>
      </c>
      <c r="AJ16" s="150">
        <v>10</v>
      </c>
      <c r="AK16" s="150">
        <v>11</v>
      </c>
      <c r="AL16" s="152">
        <v>12</v>
      </c>
      <c r="AM16" s="149">
        <v>1</v>
      </c>
      <c r="AN16" s="150">
        <v>2</v>
      </c>
      <c r="AO16" s="151">
        <v>3</v>
      </c>
      <c r="AP16" s="150">
        <v>4</v>
      </c>
      <c r="AQ16" s="150">
        <v>5</v>
      </c>
      <c r="AR16" s="151">
        <v>6</v>
      </c>
      <c r="AS16" s="150">
        <v>7</v>
      </c>
      <c r="AT16" s="150">
        <v>8</v>
      </c>
      <c r="AU16" s="151">
        <v>9</v>
      </c>
      <c r="AV16" s="150">
        <v>10</v>
      </c>
      <c r="AW16" s="150">
        <v>11</v>
      </c>
      <c r="AX16" s="152">
        <v>12</v>
      </c>
      <c r="AY16" s="153"/>
    </row>
    <row r="17" spans="1:51" s="6" customFormat="1" ht="25.35" customHeight="1" x14ac:dyDescent="0.25">
      <c r="A17" s="147"/>
      <c r="B17" s="155">
        <v>1</v>
      </c>
      <c r="C17" s="156"/>
      <c r="D17" s="156"/>
      <c r="E17" s="156"/>
      <c r="F17" s="157"/>
      <c r="G17" s="157"/>
      <c r="H17" s="157"/>
      <c r="I17" s="157"/>
      <c r="J17" s="158"/>
      <c r="K17" s="159"/>
      <c r="L17" s="160"/>
      <c r="M17" s="161"/>
      <c r="N17" s="162"/>
      <c r="O17" s="163"/>
      <c r="P17" s="161"/>
      <c r="Q17" s="161"/>
      <c r="R17" s="161"/>
      <c r="S17" s="161"/>
      <c r="T17" s="161"/>
      <c r="U17" s="161"/>
      <c r="V17" s="161"/>
      <c r="W17" s="161"/>
      <c r="X17" s="161"/>
      <c r="Y17" s="161"/>
      <c r="Z17" s="164"/>
      <c r="AA17" s="165"/>
      <c r="AB17" s="161"/>
      <c r="AC17" s="161"/>
      <c r="AD17" s="161"/>
      <c r="AE17" s="161"/>
      <c r="AF17" s="161"/>
      <c r="AG17" s="161"/>
      <c r="AH17" s="161"/>
      <c r="AI17" s="161"/>
      <c r="AJ17" s="161"/>
      <c r="AK17" s="161"/>
      <c r="AL17" s="164"/>
      <c r="AM17" s="165"/>
      <c r="AN17" s="161"/>
      <c r="AO17" s="161"/>
      <c r="AP17" s="161"/>
      <c r="AQ17" s="161"/>
      <c r="AR17" s="161"/>
      <c r="AS17" s="161"/>
      <c r="AT17" s="161"/>
      <c r="AU17" s="161"/>
      <c r="AV17" s="161"/>
      <c r="AW17" s="161"/>
      <c r="AX17" s="164"/>
      <c r="AY17" s="1"/>
    </row>
    <row r="18" spans="1:51" s="6" customFormat="1" ht="25.35" customHeight="1" thickBot="1" x14ac:dyDescent="0.3">
      <c r="A18" s="147"/>
      <c r="B18" s="155">
        <v>0.9</v>
      </c>
      <c r="C18" s="156"/>
      <c r="D18" s="156"/>
      <c r="E18" s="156"/>
      <c r="F18" s="157"/>
      <c r="G18" s="157"/>
      <c r="H18" s="157"/>
      <c r="I18" s="157"/>
      <c r="J18" s="158"/>
      <c r="K18" s="166"/>
      <c r="L18" s="160"/>
      <c r="M18" s="161"/>
      <c r="N18" s="162"/>
      <c r="O18" s="163"/>
      <c r="P18" s="161"/>
      <c r="Q18" s="161"/>
      <c r="R18" s="161"/>
      <c r="S18" s="161"/>
      <c r="T18" s="161"/>
      <c r="U18" s="161"/>
      <c r="V18" s="161"/>
      <c r="W18" s="161"/>
      <c r="X18" s="161"/>
      <c r="Y18" s="161"/>
      <c r="Z18" s="167"/>
      <c r="AA18" s="165"/>
      <c r="AB18" s="161"/>
      <c r="AC18" s="161"/>
      <c r="AD18" s="161"/>
      <c r="AE18" s="161"/>
      <c r="AF18" s="161"/>
      <c r="AG18" s="161"/>
      <c r="AH18" s="161"/>
      <c r="AI18" s="161"/>
      <c r="AJ18" s="161"/>
      <c r="AK18" s="168"/>
      <c r="AL18" s="169"/>
      <c r="AM18" s="170"/>
      <c r="AN18" s="168"/>
      <c r="AO18" s="168"/>
      <c r="AP18" s="168"/>
      <c r="AQ18" s="168"/>
      <c r="AR18" s="168"/>
      <c r="AS18" s="168"/>
      <c r="AT18" s="168"/>
      <c r="AU18" s="168"/>
      <c r="AV18" s="168"/>
      <c r="AW18" s="168"/>
      <c r="AX18" s="169"/>
      <c r="AY18" s="1"/>
    </row>
    <row r="19" spans="1:51" s="6" customFormat="1" ht="25.35" customHeight="1" x14ac:dyDescent="0.25">
      <c r="A19" s="147"/>
      <c r="B19" s="155">
        <v>0.8</v>
      </c>
      <c r="C19" s="156"/>
      <c r="D19" s="156"/>
      <c r="E19" s="156"/>
      <c r="F19" s="157"/>
      <c r="G19" s="157"/>
      <c r="H19" s="157"/>
      <c r="I19" s="157"/>
      <c r="J19" s="158"/>
      <c r="K19" s="166" t="s">
        <v>1060</v>
      </c>
      <c r="L19" s="171"/>
      <c r="M19" s="161"/>
      <c r="N19" s="162"/>
      <c r="O19" s="163"/>
      <c r="P19" s="161"/>
      <c r="Q19" s="161"/>
      <c r="R19" s="161"/>
      <c r="S19" s="161"/>
      <c r="T19" s="161"/>
      <c r="U19" s="161"/>
      <c r="V19" s="161"/>
      <c r="W19" s="161"/>
      <c r="X19" s="161"/>
      <c r="Y19" s="161"/>
      <c r="Z19" s="167"/>
      <c r="AA19" s="165"/>
      <c r="AB19" s="161"/>
      <c r="AC19" s="161"/>
      <c r="AD19" s="161"/>
      <c r="AE19" s="161"/>
      <c r="AF19" s="161"/>
      <c r="AG19" s="161"/>
      <c r="AH19" s="161"/>
      <c r="AI19" s="161"/>
      <c r="AJ19" s="172"/>
      <c r="AK19" s="173"/>
      <c r="AL19" s="174"/>
      <c r="AM19" s="175"/>
      <c r="AN19" s="175"/>
      <c r="AO19" s="175"/>
      <c r="AP19" s="175"/>
      <c r="AQ19" s="175"/>
      <c r="AR19" s="175"/>
      <c r="AS19" s="175"/>
      <c r="AT19" s="175"/>
      <c r="AU19" s="175"/>
      <c r="AV19" s="176"/>
      <c r="AW19" s="173"/>
      <c r="AX19" s="174"/>
      <c r="AY19" s="1"/>
    </row>
    <row r="20" spans="1:51" s="6" customFormat="1" ht="25.35" customHeight="1" thickBot="1" x14ac:dyDescent="0.3">
      <c r="A20" s="147"/>
      <c r="B20" s="155">
        <v>0.7</v>
      </c>
      <c r="C20" s="177"/>
      <c r="D20" s="177"/>
      <c r="E20" s="177"/>
      <c r="F20" s="157"/>
      <c r="G20" s="157"/>
      <c r="H20" s="157"/>
      <c r="I20" s="157"/>
      <c r="J20" s="178"/>
      <c r="K20" s="166" t="s">
        <v>1061</v>
      </c>
      <c r="L20" s="171"/>
      <c r="M20" s="161"/>
      <c r="N20" s="162"/>
      <c r="O20" s="163"/>
      <c r="P20" s="161"/>
      <c r="Q20" s="161"/>
      <c r="R20" s="161"/>
      <c r="S20" s="161"/>
      <c r="T20" s="161"/>
      <c r="U20" s="161"/>
      <c r="V20" s="161"/>
      <c r="W20" s="161"/>
      <c r="X20" s="161"/>
      <c r="Y20" s="168"/>
      <c r="Z20" s="169"/>
      <c r="AA20" s="170"/>
      <c r="AB20" s="168"/>
      <c r="AC20" s="168"/>
      <c r="AD20" s="168"/>
      <c r="AE20" s="168"/>
      <c r="AF20" s="168"/>
      <c r="AG20" s="168"/>
      <c r="AH20" s="168"/>
      <c r="AI20" s="168"/>
      <c r="AJ20" s="179"/>
      <c r="AK20" s="180"/>
      <c r="AL20" s="181"/>
      <c r="AM20" s="182"/>
      <c r="AN20" s="182"/>
      <c r="AO20" s="182"/>
      <c r="AP20" s="182"/>
      <c r="AQ20" s="182"/>
      <c r="AR20" s="182"/>
      <c r="AS20" s="182"/>
      <c r="AT20" s="182"/>
      <c r="AU20" s="182"/>
      <c r="AV20" s="183"/>
      <c r="AW20" s="180"/>
      <c r="AX20" s="181"/>
      <c r="AY20" s="1"/>
    </row>
    <row r="21" spans="1:51" s="6" customFormat="1" ht="25.35" customHeight="1" x14ac:dyDescent="0.25">
      <c r="A21" s="147"/>
      <c r="B21" s="155">
        <v>0.6</v>
      </c>
      <c r="C21" s="184"/>
      <c r="D21" s="185"/>
      <c r="E21" s="186"/>
      <c r="F21" s="157"/>
      <c r="G21" s="157"/>
      <c r="H21" s="157"/>
      <c r="I21" s="157"/>
      <c r="J21" s="187"/>
      <c r="K21" s="166" t="s">
        <v>1062</v>
      </c>
      <c r="L21" s="171"/>
      <c r="M21" s="161"/>
      <c r="N21" s="162"/>
      <c r="O21" s="163"/>
      <c r="P21" s="161"/>
      <c r="Q21" s="161"/>
      <c r="R21" s="161"/>
      <c r="S21" s="161"/>
      <c r="T21" s="161"/>
      <c r="U21" s="161"/>
      <c r="V21" s="161"/>
      <c r="W21" s="161"/>
      <c r="X21" s="172"/>
      <c r="Y21" s="173"/>
      <c r="Z21" s="174"/>
      <c r="AA21" s="175"/>
      <c r="AB21" s="175"/>
      <c r="AC21" s="175"/>
      <c r="AD21" s="175"/>
      <c r="AE21" s="175"/>
      <c r="AF21" s="175"/>
      <c r="AG21" s="175"/>
      <c r="AH21" s="175"/>
      <c r="AI21" s="175"/>
      <c r="AJ21" s="176"/>
      <c r="AK21" s="180"/>
      <c r="AL21" s="181"/>
      <c r="AM21" s="182"/>
      <c r="AN21" s="182"/>
      <c r="AO21" s="182"/>
      <c r="AP21" s="182"/>
      <c r="AQ21" s="182"/>
      <c r="AR21" s="182"/>
      <c r="AS21" s="182"/>
      <c r="AT21" s="182"/>
      <c r="AU21" s="182"/>
      <c r="AV21" s="183"/>
      <c r="AW21" s="180"/>
      <c r="AX21" s="181"/>
      <c r="AY21" s="1"/>
    </row>
    <row r="22" spans="1:51" s="6" customFormat="1" ht="25.35" customHeight="1" thickBot="1" x14ac:dyDescent="0.3">
      <c r="A22" s="147"/>
      <c r="B22" s="155">
        <v>0.5</v>
      </c>
      <c r="C22" s="156"/>
      <c r="D22" s="156"/>
      <c r="E22" s="156"/>
      <c r="F22" s="157"/>
      <c r="G22" s="157"/>
      <c r="H22" s="157"/>
      <c r="I22" s="157"/>
      <c r="J22" s="187"/>
      <c r="K22" s="166" t="s">
        <v>1063</v>
      </c>
      <c r="L22" s="171"/>
      <c r="M22" s="168"/>
      <c r="N22" s="188"/>
      <c r="O22" s="772"/>
      <c r="P22" s="189"/>
      <c r="Q22" s="189"/>
      <c r="R22" s="189"/>
      <c r="S22" s="189"/>
      <c r="T22" s="189"/>
      <c r="U22" s="189"/>
      <c r="V22" s="189"/>
      <c r="W22" s="189"/>
      <c r="X22" s="190"/>
      <c r="Y22" s="180"/>
      <c r="Z22" s="181"/>
      <c r="AA22" s="182"/>
      <c r="AB22" s="182"/>
      <c r="AC22" s="182"/>
      <c r="AD22" s="182"/>
      <c r="AE22" s="182"/>
      <c r="AF22" s="182"/>
      <c r="AG22" s="182"/>
      <c r="AH22" s="182"/>
      <c r="AI22" s="182"/>
      <c r="AJ22" s="183"/>
      <c r="AK22" s="180"/>
      <c r="AL22" s="181"/>
      <c r="AM22" s="182"/>
      <c r="AN22" s="182"/>
      <c r="AO22" s="182"/>
      <c r="AP22" s="182"/>
      <c r="AQ22" s="182"/>
      <c r="AR22" s="182"/>
      <c r="AS22" s="182"/>
      <c r="AT22" s="182"/>
      <c r="AU22" s="182"/>
      <c r="AV22" s="183"/>
      <c r="AW22" s="180"/>
      <c r="AX22" s="181"/>
      <c r="AY22" s="1"/>
    </row>
    <row r="23" spans="1:51" s="6" customFormat="1" ht="25.35" customHeight="1" x14ac:dyDescent="0.25">
      <c r="A23" s="147"/>
      <c r="B23" s="155">
        <v>0.4</v>
      </c>
      <c r="C23" s="156"/>
      <c r="D23" s="156"/>
      <c r="E23" s="156"/>
      <c r="F23" s="157"/>
      <c r="G23" s="157"/>
      <c r="H23" s="157"/>
      <c r="I23" s="157"/>
      <c r="J23" s="187"/>
      <c r="K23" s="166" t="s">
        <v>1064</v>
      </c>
      <c r="L23" s="166"/>
      <c r="M23" s="191"/>
      <c r="N23" s="192"/>
      <c r="O23" s="175"/>
      <c r="P23" s="175"/>
      <c r="Q23" s="175"/>
      <c r="R23" s="175"/>
      <c r="S23" s="175"/>
      <c r="T23" s="175"/>
      <c r="U23" s="175"/>
      <c r="V23" s="175"/>
      <c r="W23" s="175"/>
      <c r="X23" s="176"/>
      <c r="Y23" s="180"/>
      <c r="Z23" s="181"/>
      <c r="AA23" s="182"/>
      <c r="AB23" s="182"/>
      <c r="AC23" s="182"/>
      <c r="AD23" s="182"/>
      <c r="AE23" s="182"/>
      <c r="AF23" s="182"/>
      <c r="AG23" s="182"/>
      <c r="AH23" s="182"/>
      <c r="AI23" s="182"/>
      <c r="AJ23" s="183"/>
      <c r="AK23" s="180"/>
      <c r="AL23" s="181"/>
      <c r="AM23" s="182"/>
      <c r="AN23" s="182"/>
      <c r="AO23" s="182"/>
      <c r="AP23" s="182"/>
      <c r="AQ23" s="182"/>
      <c r="AR23" s="182"/>
      <c r="AS23" s="182"/>
      <c r="AT23" s="182"/>
      <c r="AU23" s="182"/>
      <c r="AV23" s="183"/>
      <c r="AW23" s="180"/>
      <c r="AX23" s="181"/>
      <c r="AY23" s="1"/>
    </row>
    <row r="24" spans="1:51" s="6" customFormat="1" ht="25.35" customHeight="1" x14ac:dyDescent="0.25">
      <c r="A24" s="147"/>
      <c r="B24" s="155">
        <v>0.3</v>
      </c>
      <c r="C24" s="156"/>
      <c r="D24" s="156"/>
      <c r="E24" s="156"/>
      <c r="F24" s="157"/>
      <c r="G24" s="157"/>
      <c r="H24" s="157"/>
      <c r="I24" s="157"/>
      <c r="J24" s="187"/>
      <c r="K24" s="166"/>
      <c r="L24" s="166"/>
      <c r="M24" s="193"/>
      <c r="N24" s="194"/>
      <c r="O24" s="182"/>
      <c r="P24" s="182"/>
      <c r="Q24" s="182"/>
      <c r="R24" s="182" t="s">
        <v>1065</v>
      </c>
      <c r="S24" s="182"/>
      <c r="T24" s="182"/>
      <c r="U24" s="182"/>
      <c r="V24" s="182"/>
      <c r="W24" s="182"/>
      <c r="X24" s="183"/>
      <c r="Y24" s="180"/>
      <c r="Z24" s="181"/>
      <c r="AA24" s="182"/>
      <c r="AB24" s="182"/>
      <c r="AC24" s="182"/>
      <c r="AD24" s="182" t="s">
        <v>1066</v>
      </c>
      <c r="AE24" s="182"/>
      <c r="AF24" s="182"/>
      <c r="AG24" s="182"/>
      <c r="AH24" s="182"/>
      <c r="AI24" s="182"/>
      <c r="AJ24" s="183"/>
      <c r="AK24" s="180"/>
      <c r="AL24" s="181"/>
      <c r="AM24" s="182"/>
      <c r="AN24" s="182"/>
      <c r="AO24" s="182"/>
      <c r="AP24" s="182" t="s">
        <v>1067</v>
      </c>
      <c r="AQ24" s="182"/>
      <c r="AR24" s="182"/>
      <c r="AS24" s="182"/>
      <c r="AT24" s="182"/>
      <c r="AU24" s="182"/>
      <c r="AV24" s="183"/>
      <c r="AW24" s="180"/>
      <c r="AX24" s="181"/>
      <c r="AY24" s="1"/>
    </row>
    <row r="25" spans="1:51" s="6" customFormat="1" ht="25.35" customHeight="1" x14ac:dyDescent="0.2">
      <c r="A25" s="147"/>
      <c r="B25" s="155">
        <v>0.2</v>
      </c>
      <c r="C25" s="156"/>
      <c r="D25" s="156"/>
      <c r="E25" s="156"/>
      <c r="F25" s="157"/>
      <c r="G25" s="157"/>
      <c r="H25" s="157"/>
      <c r="I25" s="157"/>
      <c r="J25" s="187"/>
      <c r="K25" s="166"/>
      <c r="L25" s="166"/>
      <c r="M25" s="195"/>
      <c r="N25" s="181"/>
      <c r="O25" s="182"/>
      <c r="P25" s="182"/>
      <c r="Q25" s="182"/>
      <c r="R25" s="182"/>
      <c r="S25" s="182"/>
      <c r="T25" s="182"/>
      <c r="U25" s="182"/>
      <c r="V25" s="182"/>
      <c r="W25" s="182"/>
      <c r="X25" s="183"/>
      <c r="Y25" s="180"/>
      <c r="Z25" s="181"/>
      <c r="AA25" s="182"/>
      <c r="AB25" s="182"/>
      <c r="AC25" s="182"/>
      <c r="AD25" s="182"/>
      <c r="AE25" s="182"/>
      <c r="AF25" s="182"/>
      <c r="AG25" s="182"/>
      <c r="AH25" s="182"/>
      <c r="AI25" s="182"/>
      <c r="AJ25" s="183"/>
      <c r="AK25" s="180"/>
      <c r="AL25" s="181"/>
      <c r="AM25" s="182"/>
      <c r="AN25" s="182"/>
      <c r="AO25" s="182"/>
      <c r="AP25" s="182" t="s">
        <v>1068</v>
      </c>
      <c r="AQ25" s="182"/>
      <c r="AR25" s="182"/>
      <c r="AS25" s="182"/>
      <c r="AT25" s="182"/>
      <c r="AU25" s="182"/>
      <c r="AV25" s="183"/>
      <c r="AW25" s="180"/>
      <c r="AX25" s="181"/>
      <c r="AY25" s="1"/>
    </row>
    <row r="26" spans="1:51" s="154" customFormat="1" ht="25.35" customHeight="1" thickBot="1" x14ac:dyDescent="0.25">
      <c r="A26" s="147"/>
      <c r="B26" s="155">
        <v>0.1</v>
      </c>
      <c r="C26" s="156"/>
      <c r="D26" s="156"/>
      <c r="E26" s="156"/>
      <c r="F26" s="157"/>
      <c r="G26" s="157"/>
      <c r="H26" s="157"/>
      <c r="I26" s="157"/>
      <c r="J26" s="196"/>
      <c r="K26" s="197"/>
      <c r="L26" s="197"/>
      <c r="M26" s="198"/>
      <c r="N26" s="199"/>
      <c r="O26" s="329"/>
      <c r="P26" s="329"/>
      <c r="Q26" s="329"/>
      <c r="R26" s="329"/>
      <c r="S26" s="329"/>
      <c r="T26" s="329"/>
      <c r="U26" s="329"/>
      <c r="V26" s="329"/>
      <c r="W26" s="329"/>
      <c r="X26" s="200"/>
      <c r="Y26" s="198"/>
      <c r="Z26" s="199"/>
      <c r="AA26" s="329"/>
      <c r="AB26" s="329"/>
      <c r="AC26" s="329"/>
      <c r="AD26" s="329"/>
      <c r="AE26" s="329"/>
      <c r="AF26" s="329"/>
      <c r="AG26" s="329"/>
      <c r="AH26" s="329"/>
      <c r="AI26" s="329"/>
      <c r="AJ26" s="200"/>
      <c r="AK26" s="198"/>
      <c r="AL26" s="199"/>
      <c r="AM26" s="329"/>
      <c r="AN26" s="329"/>
      <c r="AO26" s="329"/>
      <c r="AP26" s="329"/>
      <c r="AQ26" s="329"/>
      <c r="AR26" s="329"/>
      <c r="AS26" s="329"/>
      <c r="AT26" s="329"/>
      <c r="AU26" s="329"/>
      <c r="AV26" s="200"/>
      <c r="AW26" s="198"/>
      <c r="AX26" s="199"/>
      <c r="AY26" s="153"/>
    </row>
    <row r="27" spans="1:51" s="6" customFormat="1" x14ac:dyDescent="0.25">
      <c r="A27" s="201"/>
      <c r="B27" s="5"/>
      <c r="C27" s="5"/>
      <c r="D27" s="5"/>
      <c r="E27" s="5"/>
      <c r="F27" s="5"/>
      <c r="G27" s="5"/>
      <c r="H27" s="5"/>
      <c r="I27" s="5"/>
      <c r="J27" s="5"/>
      <c r="K27" s="5"/>
      <c r="L27" s="5"/>
      <c r="M27" s="1342" t="s">
        <v>1069</v>
      </c>
      <c r="N27" s="1340"/>
      <c r="O27" s="1340"/>
      <c r="P27" s="1340"/>
      <c r="Q27" s="1340"/>
      <c r="R27" s="1340"/>
      <c r="S27" s="1340"/>
      <c r="T27" s="1340"/>
      <c r="U27" s="1340"/>
      <c r="V27" s="1340"/>
      <c r="W27" s="1340"/>
      <c r="X27" s="1343"/>
      <c r="Y27" s="1342" t="s">
        <v>1070</v>
      </c>
      <c r="Z27" s="1340"/>
      <c r="AA27" s="1340"/>
      <c r="AB27" s="1340"/>
      <c r="AC27" s="1340"/>
      <c r="AD27" s="1340"/>
      <c r="AE27" s="1340"/>
      <c r="AF27" s="1340"/>
      <c r="AG27" s="1340"/>
      <c r="AH27" s="1340"/>
      <c r="AI27" s="1340"/>
      <c r="AJ27" s="1343"/>
      <c r="AK27" s="1342" t="s">
        <v>1070</v>
      </c>
      <c r="AL27" s="1340"/>
      <c r="AM27" s="1340"/>
      <c r="AN27" s="1340"/>
      <c r="AO27" s="1340"/>
      <c r="AP27" s="1340"/>
      <c r="AQ27" s="1340"/>
      <c r="AR27" s="1340"/>
      <c r="AS27" s="1340"/>
      <c r="AT27" s="1340"/>
      <c r="AU27" s="1340"/>
      <c r="AV27" s="1343"/>
      <c r="AW27" s="202" t="s">
        <v>1071</v>
      </c>
      <c r="AX27" s="203"/>
      <c r="AY27" s="1"/>
    </row>
    <row r="28" spans="1:51" s="6" customFormat="1" x14ac:dyDescent="0.2">
      <c r="A28" s="201"/>
      <c r="B28" s="5"/>
      <c r="C28" s="5"/>
      <c r="D28" s="5"/>
      <c r="E28" s="5"/>
      <c r="F28" s="5"/>
      <c r="G28" s="5"/>
      <c r="H28" s="5"/>
      <c r="I28" s="5"/>
      <c r="J28" s="5"/>
      <c r="K28" s="5"/>
      <c r="L28" s="5"/>
      <c r="M28" s="5"/>
      <c r="N28" s="204"/>
      <c r="O28" s="5"/>
      <c r="P28" s="5"/>
      <c r="Q28" s="5"/>
      <c r="R28" s="5"/>
      <c r="S28" s="5"/>
      <c r="T28" s="5"/>
      <c r="U28" s="5"/>
      <c r="V28" s="5"/>
      <c r="W28" s="5"/>
      <c r="X28" s="5"/>
      <c r="Y28" s="5"/>
      <c r="Z28" s="204"/>
      <c r="AA28" s="1"/>
      <c r="AB28" s="1"/>
      <c r="AC28" s="1"/>
      <c r="AD28" s="1"/>
      <c r="AE28" s="1"/>
      <c r="AF28" s="1"/>
      <c r="AG28" s="1"/>
      <c r="AH28" s="1"/>
      <c r="AI28" s="1"/>
      <c r="AJ28" s="5"/>
      <c r="AK28" s="5"/>
      <c r="AL28" s="205"/>
      <c r="AM28" s="1"/>
      <c r="AN28" s="1"/>
      <c r="AO28" s="1"/>
      <c r="AP28" s="1"/>
      <c r="AQ28" s="1"/>
      <c r="AR28" s="1"/>
      <c r="AS28" s="1"/>
      <c r="AT28" s="1"/>
      <c r="AU28" s="1"/>
      <c r="AV28" s="5"/>
      <c r="AW28" s="5"/>
      <c r="AX28" s="205"/>
      <c r="AY28" s="1"/>
    </row>
    <row r="29" spans="1:51" s="6" customFormat="1" x14ac:dyDescent="0.2">
      <c r="A29" s="201"/>
      <c r="B29" s="5"/>
      <c r="C29" s="5"/>
      <c r="D29" s="5"/>
      <c r="E29" s="5"/>
      <c r="F29" s="5"/>
      <c r="G29" s="5"/>
      <c r="H29" s="5"/>
      <c r="I29" s="5"/>
      <c r="J29" s="5"/>
      <c r="K29" s="5"/>
      <c r="L29" s="5"/>
      <c r="M29" s="5"/>
      <c r="N29" s="204"/>
      <c r="O29" s="5"/>
      <c r="P29" s="5"/>
      <c r="Q29" s="5"/>
      <c r="R29" s="5"/>
      <c r="S29" s="5"/>
      <c r="T29" s="5"/>
      <c r="U29" s="5"/>
      <c r="V29" s="5"/>
      <c r="W29" s="5"/>
      <c r="X29" s="5"/>
      <c r="Y29" s="5"/>
      <c r="Z29" s="204"/>
      <c r="AA29" s="1"/>
      <c r="AB29" s="1"/>
      <c r="AC29" s="1"/>
      <c r="AD29" s="1"/>
      <c r="AE29" s="1"/>
      <c r="AF29" s="1"/>
      <c r="AG29" s="1"/>
      <c r="AH29" s="1"/>
      <c r="AI29" s="1"/>
      <c r="AJ29" s="5"/>
      <c r="AK29" s="5"/>
      <c r="AL29" s="205"/>
      <c r="AM29" s="1"/>
      <c r="AN29" s="1"/>
      <c r="AO29" s="1"/>
      <c r="AP29" s="1"/>
      <c r="AQ29" s="1"/>
      <c r="AR29" s="1"/>
      <c r="AS29" s="1"/>
      <c r="AT29" s="1"/>
      <c r="AU29" s="1"/>
      <c r="AV29" s="5"/>
      <c r="AW29" s="5"/>
      <c r="AX29" s="205"/>
      <c r="AY29" s="1"/>
    </row>
    <row r="30" spans="1:51" s="6" customFormat="1" x14ac:dyDescent="0.2">
      <c r="A30" s="201"/>
      <c r="B30" s="5"/>
      <c r="C30" s="5"/>
      <c r="D30" s="5"/>
      <c r="E30" s="5"/>
      <c r="F30" s="5"/>
      <c r="G30" s="5"/>
      <c r="H30" s="5"/>
      <c r="I30" s="5"/>
      <c r="J30" s="5"/>
      <c r="K30" s="5"/>
      <c r="L30" s="5"/>
      <c r="M30" s="5"/>
      <c r="N30" s="204"/>
      <c r="O30" s="5"/>
      <c r="P30" s="5"/>
      <c r="Q30" s="5"/>
      <c r="R30" s="5"/>
      <c r="S30" s="5"/>
      <c r="T30" s="5"/>
      <c r="U30" s="5"/>
      <c r="V30" s="5"/>
      <c r="W30" s="5"/>
      <c r="X30" s="5"/>
      <c r="Y30" s="5"/>
      <c r="Z30" s="204"/>
      <c r="AA30" s="1"/>
      <c r="AB30" s="1"/>
      <c r="AC30" s="1"/>
      <c r="AD30" s="1"/>
      <c r="AE30" s="1"/>
      <c r="AF30" s="1"/>
      <c r="AG30" s="1"/>
      <c r="AH30" s="1"/>
      <c r="AI30" s="1"/>
      <c r="AJ30" s="5"/>
      <c r="AK30" s="5"/>
      <c r="AL30" s="205"/>
      <c r="AM30" s="1"/>
      <c r="AN30" s="1"/>
      <c r="AO30" s="1"/>
      <c r="AP30" s="1"/>
      <c r="AQ30" s="1"/>
      <c r="AR30" s="1"/>
      <c r="AS30" s="1"/>
      <c r="AT30" s="1"/>
      <c r="AU30" s="1"/>
      <c r="AV30" s="5"/>
      <c r="AW30" s="5"/>
      <c r="AX30" s="205"/>
      <c r="AY30" s="1"/>
    </row>
    <row r="31" spans="1:51" s="6" customFormat="1" x14ac:dyDescent="0.2">
      <c r="A31" s="201"/>
      <c r="B31" s="5"/>
      <c r="C31" s="5"/>
      <c r="D31" s="5"/>
      <c r="E31" s="5"/>
      <c r="F31" s="5"/>
      <c r="G31" s="5"/>
      <c r="H31" s="5"/>
      <c r="I31" s="5"/>
      <c r="J31" s="5"/>
      <c r="K31" s="5"/>
      <c r="L31" s="5"/>
      <c r="M31" s="5"/>
      <c r="N31" s="204"/>
      <c r="O31" s="5"/>
      <c r="P31" s="5"/>
      <c r="Q31" s="5"/>
      <c r="R31" s="5"/>
      <c r="S31" s="5"/>
      <c r="T31" s="5"/>
      <c r="U31" s="5"/>
      <c r="V31" s="5"/>
      <c r="W31" s="5"/>
      <c r="X31" s="5"/>
      <c r="Y31" s="5"/>
      <c r="Z31" s="204"/>
      <c r="AA31" s="1"/>
      <c r="AB31" s="1"/>
      <c r="AC31" s="1"/>
      <c r="AD31" s="1"/>
      <c r="AE31" s="1"/>
      <c r="AF31" s="1"/>
      <c r="AG31" s="1"/>
      <c r="AH31" s="1"/>
      <c r="AI31" s="1"/>
      <c r="AJ31" s="5"/>
      <c r="AK31" s="5"/>
      <c r="AL31" s="205"/>
      <c r="AM31" s="1"/>
      <c r="AN31" s="1"/>
      <c r="AO31" s="1"/>
      <c r="AP31" s="1"/>
      <c r="AQ31" s="1"/>
      <c r="AR31" s="1"/>
      <c r="AS31" s="1"/>
      <c r="AT31" s="1"/>
      <c r="AU31" s="1"/>
      <c r="AV31" s="5"/>
      <c r="AW31" s="5"/>
      <c r="AX31" s="205"/>
      <c r="AY31" s="1"/>
    </row>
    <row r="32" spans="1:51" s="6" customFormat="1" x14ac:dyDescent="0.2">
      <c r="A32" s="201"/>
      <c r="B32" s="5"/>
      <c r="C32" s="5"/>
      <c r="D32" s="5"/>
      <c r="E32" s="5"/>
      <c r="F32" s="5"/>
      <c r="G32" s="5"/>
      <c r="H32" s="5"/>
      <c r="I32" s="5"/>
      <c r="J32" s="5"/>
      <c r="K32" s="5"/>
      <c r="L32" s="5"/>
      <c r="M32" s="138" t="s">
        <v>1072</v>
      </c>
      <c r="N32" s="138"/>
      <c r="O32" s="138"/>
      <c r="P32" s="138"/>
      <c r="Q32" s="138"/>
      <c r="R32" s="138" t="s">
        <v>1073</v>
      </c>
      <c r="S32" s="138"/>
      <c r="T32" s="138"/>
      <c r="U32" s="138"/>
      <c r="V32" s="138"/>
      <c r="W32" s="135"/>
      <c r="X32" s="138" t="s">
        <v>1072</v>
      </c>
      <c r="Y32" s="138"/>
      <c r="Z32" s="135"/>
      <c r="AA32" s="135"/>
      <c r="AB32" s="135"/>
      <c r="AC32" s="135"/>
      <c r="AD32" s="135" t="s">
        <v>1073</v>
      </c>
      <c r="AE32" s="135"/>
      <c r="AF32" s="135"/>
      <c r="AG32" s="135"/>
      <c r="AH32" s="135"/>
      <c r="AI32" s="135"/>
      <c r="AJ32" s="138" t="s">
        <v>1072</v>
      </c>
      <c r="AK32" s="138"/>
      <c r="AL32" s="135"/>
      <c r="AM32" s="135"/>
      <c r="AN32" s="135"/>
      <c r="AO32" s="135"/>
      <c r="AP32" s="135" t="s">
        <v>1073</v>
      </c>
      <c r="AQ32" s="135"/>
      <c r="AR32" s="135"/>
      <c r="AS32" s="135"/>
      <c r="AT32" s="1"/>
      <c r="AU32" s="1"/>
      <c r="AV32" s="138" t="s">
        <v>1072</v>
      </c>
      <c r="AW32" s="5"/>
      <c r="AX32" s="205"/>
      <c r="AY32" s="1"/>
    </row>
    <row r="33" spans="1:51" s="6" customFormat="1" x14ac:dyDescent="0.2">
      <c r="A33" s="201"/>
      <c r="B33" s="5"/>
      <c r="C33" s="5"/>
      <c r="D33" s="5"/>
      <c r="E33" s="5"/>
      <c r="F33" s="5"/>
      <c r="G33" s="5"/>
      <c r="H33" s="5"/>
      <c r="I33" s="5"/>
      <c r="J33" s="5"/>
      <c r="K33" s="5"/>
      <c r="L33" s="5"/>
      <c r="M33" s="5"/>
      <c r="N33" s="204"/>
      <c r="O33" s="5"/>
      <c r="P33" s="5"/>
      <c r="Q33" s="5"/>
      <c r="R33" s="5"/>
      <c r="S33" s="5"/>
      <c r="T33" s="5"/>
      <c r="U33" s="5"/>
      <c r="V33" s="5"/>
      <c r="W33" s="5"/>
      <c r="X33" s="5"/>
      <c r="Y33" s="5"/>
      <c r="Z33" s="204"/>
      <c r="AA33" s="1"/>
      <c r="AB33" s="1"/>
      <c r="AC33" s="1"/>
      <c r="AD33" s="1"/>
      <c r="AE33" s="1"/>
      <c r="AF33" s="1"/>
      <c r="AG33" s="1"/>
      <c r="AH33" s="1"/>
      <c r="AI33" s="1"/>
      <c r="AJ33" s="5"/>
      <c r="AK33" s="5"/>
      <c r="AL33" s="205"/>
      <c r="AM33" s="1"/>
      <c r="AN33" s="1"/>
      <c r="AO33" s="1"/>
      <c r="AP33" s="1"/>
      <c r="AQ33" s="1"/>
      <c r="AR33" s="1"/>
      <c r="AS33" s="1"/>
      <c r="AT33" s="1"/>
      <c r="AU33" s="1"/>
      <c r="AV33" s="5"/>
      <c r="AW33" s="5"/>
      <c r="AX33" s="205"/>
      <c r="AY33" s="1"/>
    </row>
    <row r="34" spans="1:51" s="6" customFormat="1" x14ac:dyDescent="0.2">
      <c r="A34" s="201"/>
      <c r="B34" s="5"/>
      <c r="C34" s="5"/>
      <c r="D34" s="5"/>
      <c r="E34" s="5"/>
      <c r="F34" s="5"/>
      <c r="G34" s="5"/>
      <c r="H34" s="5"/>
      <c r="I34" s="5"/>
      <c r="J34" s="5"/>
      <c r="K34" s="5"/>
      <c r="L34" s="5"/>
      <c r="M34" s="5"/>
      <c r="N34" s="204"/>
      <c r="O34" s="5"/>
      <c r="P34" s="5"/>
      <c r="Q34" s="5"/>
      <c r="R34" s="5"/>
      <c r="S34" s="5"/>
      <c r="T34" s="5"/>
      <c r="U34" s="5"/>
      <c r="V34" s="5"/>
      <c r="W34" s="5"/>
      <c r="X34" s="5"/>
      <c r="Y34" s="5"/>
      <c r="Z34" s="204"/>
      <c r="AA34" s="1"/>
      <c r="AB34" s="1"/>
      <c r="AC34" s="1"/>
      <c r="AD34" s="1"/>
      <c r="AE34" s="1"/>
      <c r="AF34" s="1"/>
      <c r="AG34" s="1"/>
      <c r="AH34" s="1"/>
      <c r="AI34" s="1"/>
      <c r="AJ34" s="5"/>
      <c r="AK34" s="5"/>
      <c r="AL34" s="205"/>
      <c r="AM34" s="1"/>
      <c r="AN34" s="1"/>
      <c r="AO34" s="1"/>
      <c r="AP34" s="1"/>
      <c r="AQ34" s="1"/>
      <c r="AR34" s="1"/>
      <c r="AS34" s="1"/>
      <c r="AT34" s="1"/>
      <c r="AU34" s="1"/>
      <c r="AV34" s="5"/>
      <c r="AW34" s="5"/>
      <c r="AX34" s="205"/>
      <c r="AY34" s="1"/>
    </row>
    <row r="35" spans="1:51" s="6" customFormat="1" x14ac:dyDescent="0.2">
      <c r="A35" s="201"/>
      <c r="B35" s="5"/>
      <c r="C35" s="206"/>
      <c r="D35" s="207"/>
      <c r="E35" s="207"/>
      <c r="F35" s="207"/>
      <c r="G35" s="207"/>
      <c r="H35" s="207"/>
      <c r="I35" s="207" t="s">
        <v>1074</v>
      </c>
      <c r="J35" s="207"/>
      <c r="K35" s="207"/>
      <c r="L35" s="207"/>
      <c r="M35" s="207"/>
      <c r="N35" s="208"/>
      <c r="O35" s="206"/>
      <c r="P35" s="207"/>
      <c r="Q35" s="207"/>
      <c r="R35" s="207"/>
      <c r="S35" s="207"/>
      <c r="T35" s="207"/>
      <c r="U35" s="207" t="s">
        <v>1075</v>
      </c>
      <c r="V35" s="207"/>
      <c r="W35" s="207"/>
      <c r="X35" s="207"/>
      <c r="Y35" s="207"/>
      <c r="Z35" s="208"/>
      <c r="AA35" s="206"/>
      <c r="AB35" s="207"/>
      <c r="AC35" s="207"/>
      <c r="AD35" s="207"/>
      <c r="AE35" s="207"/>
      <c r="AF35" s="207"/>
      <c r="AG35" s="207" t="s">
        <v>1076</v>
      </c>
      <c r="AH35" s="207"/>
      <c r="AI35" s="207"/>
      <c r="AJ35" s="207"/>
      <c r="AK35" s="207"/>
      <c r="AL35" s="208"/>
      <c r="AM35" s="206"/>
      <c r="AN35" s="207"/>
      <c r="AO35" s="207"/>
      <c r="AP35" s="207"/>
      <c r="AQ35" s="207"/>
      <c r="AR35" s="207"/>
      <c r="AS35" s="207" t="s">
        <v>1077</v>
      </c>
      <c r="AT35" s="207"/>
      <c r="AU35" s="207"/>
      <c r="AV35" s="207"/>
      <c r="AW35" s="207"/>
      <c r="AX35" s="208"/>
      <c r="AY35" s="1"/>
    </row>
    <row r="36" spans="1:51" ht="15.75" x14ac:dyDescent="0.2">
      <c r="A36" s="209"/>
      <c r="B36" s="138"/>
      <c r="C36" s="210"/>
      <c r="D36" s="210"/>
      <c r="E36" s="210"/>
      <c r="F36" s="210"/>
      <c r="G36" s="210"/>
      <c r="H36" s="210"/>
      <c r="I36" s="210"/>
      <c r="J36" s="210"/>
      <c r="K36" s="210"/>
      <c r="L36" s="211"/>
      <c r="M36" s="212"/>
      <c r="N36" s="213" t="s">
        <v>1078</v>
      </c>
      <c r="O36" s="214"/>
      <c r="P36" s="211"/>
      <c r="Q36" s="211"/>
      <c r="R36" s="211"/>
      <c r="S36" s="211"/>
      <c r="T36" s="211"/>
      <c r="U36" s="211"/>
      <c r="V36" s="211"/>
      <c r="W36" s="214" t="s">
        <v>1079</v>
      </c>
      <c r="X36" s="211"/>
      <c r="Y36" s="211"/>
      <c r="Z36" s="213" t="s">
        <v>1078</v>
      </c>
      <c r="AA36" s="214"/>
      <c r="AB36" s="214"/>
      <c r="AC36" s="211"/>
      <c r="AD36" s="214"/>
      <c r="AE36" s="210"/>
      <c r="AF36" s="210"/>
      <c r="AG36" s="210"/>
      <c r="AH36" s="210"/>
      <c r="AI36" s="214" t="s">
        <v>1079</v>
      </c>
      <c r="AJ36" s="211"/>
      <c r="AK36" s="211"/>
      <c r="AL36" s="213" t="s">
        <v>1078</v>
      </c>
      <c r="AM36" s="210"/>
      <c r="AN36" s="210"/>
      <c r="AO36" s="210"/>
      <c r="AP36" s="210"/>
      <c r="AQ36" s="210"/>
      <c r="AR36" s="210"/>
      <c r="AS36" s="210"/>
      <c r="AT36" s="210"/>
      <c r="AU36" s="214" t="s">
        <v>1079</v>
      </c>
      <c r="AV36" s="211"/>
      <c r="AW36" s="211"/>
      <c r="AX36" s="213" t="s">
        <v>1078</v>
      </c>
      <c r="AY36" s="135"/>
    </row>
    <row r="37" spans="1:51" ht="15.75" x14ac:dyDescent="0.2">
      <c r="A37" s="209"/>
      <c r="B37" s="138"/>
      <c r="C37" s="210"/>
      <c r="D37" s="210"/>
      <c r="E37" s="210"/>
      <c r="F37" s="210"/>
      <c r="G37" s="210"/>
      <c r="H37" s="210"/>
      <c r="I37" s="210"/>
      <c r="J37" s="210"/>
      <c r="K37" s="210"/>
      <c r="L37" s="210"/>
      <c r="M37" s="210"/>
      <c r="N37" s="215" t="s">
        <v>1080</v>
      </c>
      <c r="O37" s="216"/>
      <c r="P37" s="210"/>
      <c r="Q37" s="210"/>
      <c r="R37" s="210"/>
      <c r="S37" s="210"/>
      <c r="T37" s="210"/>
      <c r="U37" s="210"/>
      <c r="V37" s="210"/>
      <c r="W37" s="216" t="s">
        <v>1080</v>
      </c>
      <c r="X37" s="216" t="s">
        <v>1081</v>
      </c>
      <c r="Y37" s="210"/>
      <c r="Z37" s="215" t="s">
        <v>1080</v>
      </c>
      <c r="AA37" s="216"/>
      <c r="AB37" s="216"/>
      <c r="AC37" s="210"/>
      <c r="AD37" s="216"/>
      <c r="AE37" s="210"/>
      <c r="AF37" s="210"/>
      <c r="AG37" s="210"/>
      <c r="AH37" s="210"/>
      <c r="AI37" s="216" t="s">
        <v>1080</v>
      </c>
      <c r="AJ37" s="216" t="s">
        <v>1081</v>
      </c>
      <c r="AK37" s="210"/>
      <c r="AL37" s="215" t="s">
        <v>1080</v>
      </c>
      <c r="AM37" s="210"/>
      <c r="AN37" s="210"/>
      <c r="AO37" s="210"/>
      <c r="AP37" s="210"/>
      <c r="AQ37" s="210"/>
      <c r="AR37" s="210"/>
      <c r="AS37" s="210"/>
      <c r="AT37" s="210"/>
      <c r="AU37" s="216" t="s">
        <v>1080</v>
      </c>
      <c r="AV37" s="216" t="s">
        <v>1081</v>
      </c>
      <c r="AW37" s="210"/>
      <c r="AX37" s="215" t="s">
        <v>1080</v>
      </c>
      <c r="AY37" s="135"/>
    </row>
    <row r="38" spans="1:51" ht="15.75" x14ac:dyDescent="0.2">
      <c r="A38" s="209"/>
      <c r="B38" s="138"/>
      <c r="C38" s="210"/>
      <c r="D38" s="210"/>
      <c r="E38" s="210"/>
      <c r="F38" s="210"/>
      <c r="G38" s="210"/>
      <c r="H38" s="210"/>
      <c r="I38" s="210"/>
      <c r="J38" s="210"/>
      <c r="K38" s="210"/>
      <c r="L38" s="210"/>
      <c r="M38" s="210"/>
      <c r="N38" s="215">
        <v>0.4</v>
      </c>
      <c r="O38" s="216"/>
      <c r="P38" s="210"/>
      <c r="Q38" s="210"/>
      <c r="R38" s="210"/>
      <c r="S38" s="210"/>
      <c r="T38" s="210"/>
      <c r="U38" s="210"/>
      <c r="V38" s="210"/>
      <c r="W38" s="217">
        <v>0.4</v>
      </c>
      <c r="X38" s="210"/>
      <c r="Y38" s="210"/>
      <c r="Z38" s="215">
        <v>0.6</v>
      </c>
      <c r="AA38" s="216"/>
      <c r="AB38" s="216"/>
      <c r="AC38" s="210"/>
      <c r="AD38" s="217"/>
      <c r="AE38" s="210"/>
      <c r="AF38" s="210"/>
      <c r="AG38" s="210"/>
      <c r="AH38" s="210"/>
      <c r="AI38" s="217">
        <v>0.6</v>
      </c>
      <c r="AJ38" s="210"/>
      <c r="AK38" s="210"/>
      <c r="AL38" s="215">
        <v>0.8</v>
      </c>
      <c r="AM38" s="210"/>
      <c r="AN38" s="210"/>
      <c r="AO38" s="210"/>
      <c r="AP38" s="210"/>
      <c r="AQ38" s="210"/>
      <c r="AR38" s="210"/>
      <c r="AS38" s="210"/>
      <c r="AT38" s="210"/>
      <c r="AU38" s="217">
        <v>0.8</v>
      </c>
      <c r="AV38" s="210"/>
      <c r="AW38" s="210"/>
      <c r="AX38" s="215">
        <v>0.8</v>
      </c>
      <c r="AY38" s="135"/>
    </row>
    <row r="39" spans="1:51" ht="15.75" x14ac:dyDescent="0.2">
      <c r="A39" s="209"/>
      <c r="B39" s="138"/>
      <c r="C39" s="210"/>
      <c r="D39" s="210"/>
      <c r="E39" s="210"/>
      <c r="F39" s="210"/>
      <c r="G39" s="210"/>
      <c r="H39" s="210"/>
      <c r="I39" s="210"/>
      <c r="J39" s="210"/>
      <c r="K39" s="210"/>
      <c r="L39" s="210"/>
      <c r="M39" s="210"/>
      <c r="N39" s="218" t="s">
        <v>1082</v>
      </c>
      <c r="O39" s="210"/>
      <c r="P39" s="210"/>
      <c r="Q39" s="210"/>
      <c r="R39" s="210"/>
      <c r="S39" s="210"/>
      <c r="T39" s="210"/>
      <c r="U39" s="210"/>
      <c r="V39" s="210"/>
      <c r="W39" s="210"/>
      <c r="X39" s="210"/>
      <c r="Y39" s="210"/>
      <c r="Z39" s="218" t="s">
        <v>1082</v>
      </c>
      <c r="AA39" s="210"/>
      <c r="AB39" s="210"/>
      <c r="AC39" s="210"/>
      <c r="AD39" s="210"/>
      <c r="AE39" s="210"/>
      <c r="AF39" s="210"/>
      <c r="AG39" s="210"/>
      <c r="AH39" s="210"/>
      <c r="AI39" s="210"/>
      <c r="AJ39" s="210"/>
      <c r="AK39" s="210"/>
      <c r="AL39" s="218" t="s">
        <v>1082</v>
      </c>
      <c r="AM39" s="210"/>
      <c r="AN39" s="210"/>
      <c r="AO39" s="210"/>
      <c r="AP39" s="210"/>
      <c r="AQ39" s="210"/>
      <c r="AR39" s="210"/>
      <c r="AS39" s="210"/>
      <c r="AT39" s="210"/>
      <c r="AU39" s="210"/>
      <c r="AV39" s="210"/>
      <c r="AW39" s="210"/>
      <c r="AX39" s="218" t="s">
        <v>1082</v>
      </c>
      <c r="AY39" s="135"/>
    </row>
    <row r="40" spans="1:51" ht="15.75" x14ac:dyDescent="0.25">
      <c r="A40" s="209"/>
      <c r="B40" s="138"/>
      <c r="C40" s="210"/>
      <c r="D40" s="210"/>
      <c r="E40" s="210"/>
      <c r="F40" s="210"/>
      <c r="G40" s="210"/>
      <c r="H40" s="210"/>
      <c r="I40" s="210"/>
      <c r="J40" s="210"/>
      <c r="K40" s="210"/>
      <c r="L40" s="210"/>
      <c r="M40" s="210"/>
      <c r="N40" s="219">
        <f>(2/12)*40%</f>
        <v>6.6666666666666666E-2</v>
      </c>
      <c r="O40" s="210"/>
      <c r="P40" s="210"/>
      <c r="Q40" s="210"/>
      <c r="R40" s="210"/>
      <c r="S40" s="210"/>
      <c r="T40" s="210"/>
      <c r="U40" s="210"/>
      <c r="V40" s="210"/>
      <c r="W40" s="210"/>
      <c r="X40" s="210"/>
      <c r="Y40" s="210"/>
      <c r="Z40" s="219">
        <f>((10/12)*40%)+((2/12)*60%)</f>
        <v>0.43333333333333335</v>
      </c>
      <c r="AA40" s="210"/>
      <c r="AB40" s="210"/>
      <c r="AC40" s="210"/>
      <c r="AD40" s="210"/>
      <c r="AE40" s="210"/>
      <c r="AF40" s="210"/>
      <c r="AG40" s="210"/>
      <c r="AH40" s="210"/>
      <c r="AI40" s="210"/>
      <c r="AJ40" s="210"/>
      <c r="AK40" s="210"/>
      <c r="AL40" s="219">
        <f>((10/12)*60%)+((2/12)*80%)</f>
        <v>0.6333333333333333</v>
      </c>
      <c r="AM40" s="210"/>
      <c r="AN40" s="210"/>
      <c r="AO40" s="210"/>
      <c r="AP40" s="210"/>
      <c r="AQ40" s="210"/>
      <c r="AR40" s="210"/>
      <c r="AS40" s="210"/>
      <c r="AT40" s="210"/>
      <c r="AU40" s="210"/>
      <c r="AV40" s="210"/>
      <c r="AW40" s="210"/>
      <c r="AX40" s="219">
        <f>((10/12)*80%)+((2/12)*80%)</f>
        <v>0.8</v>
      </c>
      <c r="AY40" s="135"/>
    </row>
    <row r="41" spans="1:51" ht="15.75" x14ac:dyDescent="0.2">
      <c r="A41" s="209"/>
      <c r="B41" s="138"/>
      <c r="C41" s="210"/>
      <c r="D41" s="210"/>
      <c r="E41" s="210"/>
      <c r="F41" s="210"/>
      <c r="G41" s="210"/>
      <c r="H41" s="210"/>
      <c r="I41" s="210"/>
      <c r="J41" s="210"/>
      <c r="K41" s="210"/>
      <c r="L41" s="210"/>
      <c r="M41" s="210"/>
      <c r="N41" s="218" t="s">
        <v>1083</v>
      </c>
      <c r="O41" s="210"/>
      <c r="P41" s="210"/>
      <c r="Q41" s="210"/>
      <c r="R41" s="210"/>
      <c r="S41" s="210"/>
      <c r="T41" s="210"/>
      <c r="U41" s="210"/>
      <c r="V41" s="210"/>
      <c r="W41" s="210"/>
      <c r="X41" s="210"/>
      <c r="Y41" s="210"/>
      <c r="Z41" s="218" t="s">
        <v>1083</v>
      </c>
      <c r="AA41" s="210"/>
      <c r="AB41" s="210"/>
      <c r="AC41" s="210"/>
      <c r="AD41" s="210"/>
      <c r="AE41" s="210"/>
      <c r="AF41" s="210"/>
      <c r="AG41" s="210"/>
      <c r="AH41" s="210"/>
      <c r="AI41" s="210"/>
      <c r="AJ41" s="210"/>
      <c r="AK41" s="210"/>
      <c r="AL41" s="218" t="s">
        <v>1083</v>
      </c>
      <c r="AM41" s="210"/>
      <c r="AN41" s="210"/>
      <c r="AO41" s="210"/>
      <c r="AP41" s="210"/>
      <c r="AQ41" s="210"/>
      <c r="AR41" s="210"/>
      <c r="AS41" s="210"/>
      <c r="AT41" s="210"/>
      <c r="AU41" s="210"/>
      <c r="AV41" s="210"/>
      <c r="AW41" s="210"/>
      <c r="AX41" s="218" t="s">
        <v>1083</v>
      </c>
      <c r="AY41" s="135"/>
    </row>
    <row r="42" spans="1:51" ht="15.75" x14ac:dyDescent="0.25">
      <c r="A42" s="209"/>
      <c r="B42" s="138"/>
      <c r="C42" s="210"/>
      <c r="D42" s="210"/>
      <c r="E42" s="210"/>
      <c r="F42" s="210"/>
      <c r="G42" s="210"/>
      <c r="H42" s="210"/>
      <c r="I42" s="210"/>
      <c r="J42" s="210"/>
      <c r="K42" s="210"/>
      <c r="L42" s="210"/>
      <c r="M42" s="210"/>
      <c r="N42" s="219">
        <f>100%-N40</f>
        <v>0.93333333333333335</v>
      </c>
      <c r="O42" s="210"/>
      <c r="P42" s="210"/>
      <c r="Q42" s="210"/>
      <c r="R42" s="210"/>
      <c r="S42" s="210"/>
      <c r="T42" s="210"/>
      <c r="U42" s="210"/>
      <c r="V42" s="210"/>
      <c r="W42" s="210"/>
      <c r="X42" s="210"/>
      <c r="Y42" s="210"/>
      <c r="Z42" s="219">
        <f>100%-Z40</f>
        <v>0.56666666666666665</v>
      </c>
      <c r="AA42" s="210"/>
      <c r="AB42" s="210"/>
      <c r="AC42" s="210"/>
      <c r="AD42" s="210"/>
      <c r="AE42" s="210"/>
      <c r="AF42" s="210"/>
      <c r="AG42" s="210"/>
      <c r="AH42" s="210"/>
      <c r="AI42" s="210"/>
      <c r="AJ42" s="210"/>
      <c r="AK42" s="210"/>
      <c r="AL42" s="219">
        <f>100%-AL40</f>
        <v>0.3666666666666667</v>
      </c>
      <c r="AM42" s="210"/>
      <c r="AN42" s="210"/>
      <c r="AO42" s="210"/>
      <c r="AP42" s="210"/>
      <c r="AQ42" s="210"/>
      <c r="AR42" s="210"/>
      <c r="AS42" s="210"/>
      <c r="AT42" s="210"/>
      <c r="AU42" s="210"/>
      <c r="AV42" s="210"/>
      <c r="AW42" s="210"/>
      <c r="AX42" s="219">
        <f>100%-AX40</f>
        <v>0.19999999999999996</v>
      </c>
      <c r="AY42" s="135"/>
    </row>
    <row r="43" spans="1:51" ht="15.75" x14ac:dyDescent="0.2">
      <c r="A43" s="209"/>
      <c r="B43" s="138"/>
      <c r="C43" s="210"/>
      <c r="D43" s="210"/>
      <c r="E43" s="210"/>
      <c r="F43" s="210"/>
      <c r="G43" s="210"/>
      <c r="H43" s="210"/>
      <c r="I43" s="210"/>
      <c r="J43" s="210"/>
      <c r="K43" s="210"/>
      <c r="L43" s="210"/>
      <c r="M43" s="210"/>
      <c r="N43" s="218" t="s">
        <v>1084</v>
      </c>
      <c r="O43" s="210"/>
      <c r="P43" s="210"/>
      <c r="Q43" s="210"/>
      <c r="R43" s="210"/>
      <c r="S43" s="210"/>
      <c r="T43" s="210"/>
      <c r="U43" s="210"/>
      <c r="V43" s="210"/>
      <c r="W43" s="210"/>
      <c r="X43" s="210"/>
      <c r="Y43" s="210"/>
      <c r="Z43" s="218" t="s">
        <v>1084</v>
      </c>
      <c r="AA43" s="210"/>
      <c r="AB43" s="210"/>
      <c r="AC43" s="210"/>
      <c r="AD43" s="210"/>
      <c r="AE43" s="210"/>
      <c r="AF43" s="210"/>
      <c r="AG43" s="210"/>
      <c r="AH43" s="210"/>
      <c r="AI43" s="210"/>
      <c r="AJ43" s="210"/>
      <c r="AK43" s="210"/>
      <c r="AL43" s="218" t="s">
        <v>1084</v>
      </c>
      <c r="AM43" s="210"/>
      <c r="AN43" s="210"/>
      <c r="AO43" s="210"/>
      <c r="AP43" s="210"/>
      <c r="AQ43" s="210"/>
      <c r="AR43" s="210"/>
      <c r="AS43" s="210"/>
      <c r="AT43" s="210"/>
      <c r="AU43" s="210"/>
      <c r="AV43" s="210"/>
      <c r="AW43" s="210"/>
      <c r="AX43" s="218" t="s">
        <v>1084</v>
      </c>
      <c r="AY43" s="135"/>
    </row>
    <row r="44" spans="1:51" ht="15.75" x14ac:dyDescent="0.25">
      <c r="A44" s="209"/>
      <c r="B44" s="138"/>
      <c r="C44" s="210"/>
      <c r="D44" s="210"/>
      <c r="E44" s="210"/>
      <c r="F44" s="210"/>
      <c r="G44" s="210"/>
      <c r="H44" s="210"/>
      <c r="I44" s="210"/>
      <c r="J44" s="210"/>
      <c r="K44" s="210"/>
      <c r="L44" s="210"/>
      <c r="M44" s="210"/>
      <c r="N44" s="220"/>
      <c r="O44" s="210"/>
      <c r="P44" s="210"/>
      <c r="Q44" s="210"/>
      <c r="R44" s="210"/>
      <c r="S44" s="210"/>
      <c r="T44" s="210"/>
      <c r="U44" s="210"/>
      <c r="V44" s="210"/>
      <c r="W44" s="210"/>
      <c r="X44" s="210"/>
      <c r="Y44" s="210"/>
      <c r="Z44" s="219"/>
      <c r="AA44" s="210"/>
      <c r="AB44" s="210"/>
      <c r="AC44" s="210"/>
      <c r="AD44" s="210"/>
      <c r="AE44" s="210"/>
      <c r="AF44" s="210"/>
      <c r="AG44" s="210"/>
      <c r="AH44" s="210"/>
      <c r="AI44" s="210"/>
      <c r="AJ44" s="210"/>
      <c r="AK44" s="210"/>
      <c r="AL44" s="221"/>
      <c r="AM44" s="210"/>
      <c r="AN44" s="210"/>
      <c r="AO44" s="210"/>
      <c r="AP44" s="210"/>
      <c r="AQ44" s="210"/>
      <c r="AR44" s="210"/>
      <c r="AS44" s="210"/>
      <c r="AT44" s="210"/>
      <c r="AU44" s="210"/>
      <c r="AV44" s="210"/>
      <c r="AW44" s="210"/>
      <c r="AX44" s="221"/>
      <c r="AY44" s="135"/>
    </row>
    <row r="45" spans="1:51" ht="15.75" x14ac:dyDescent="0.25">
      <c r="A45" s="209"/>
      <c r="B45" s="138"/>
      <c r="C45" s="210"/>
      <c r="D45" s="210"/>
      <c r="E45" s="210"/>
      <c r="F45" s="210"/>
      <c r="G45" s="210"/>
      <c r="H45" s="210"/>
      <c r="I45" s="210"/>
      <c r="J45" s="210"/>
      <c r="K45" s="210"/>
      <c r="L45" s="210"/>
      <c r="M45" s="210"/>
      <c r="N45" s="222" t="s">
        <v>62</v>
      </c>
      <c r="O45" s="210"/>
      <c r="P45" s="210"/>
      <c r="Q45" s="210"/>
      <c r="R45" s="210"/>
      <c r="S45" s="210"/>
      <c r="T45" s="210"/>
      <c r="U45" s="210"/>
      <c r="V45" s="210"/>
      <c r="W45" s="210"/>
      <c r="X45" s="210"/>
      <c r="Y45" s="210"/>
      <c r="Z45" s="222" t="s">
        <v>63</v>
      </c>
      <c r="AA45" s="210"/>
      <c r="AB45" s="210"/>
      <c r="AC45" s="210"/>
      <c r="AD45" s="210"/>
      <c r="AE45" s="210"/>
      <c r="AF45" s="210"/>
      <c r="AG45" s="210"/>
      <c r="AH45" s="210"/>
      <c r="AI45" s="210"/>
      <c r="AJ45" s="210"/>
      <c r="AK45" s="210"/>
      <c r="AL45" s="222" t="s">
        <v>64</v>
      </c>
      <c r="AM45" s="210"/>
      <c r="AN45" s="210"/>
      <c r="AO45" s="210"/>
      <c r="AP45" s="210"/>
      <c r="AQ45" s="210"/>
      <c r="AR45" s="210"/>
      <c r="AS45" s="210"/>
      <c r="AT45" s="210"/>
      <c r="AU45" s="210"/>
      <c r="AV45" s="210"/>
      <c r="AW45" s="210"/>
      <c r="AX45" s="222" t="s">
        <v>65</v>
      </c>
      <c r="AY45" s="135"/>
    </row>
    <row r="46" spans="1:51" ht="15.75" x14ac:dyDescent="0.25">
      <c r="A46" s="209"/>
      <c r="B46" s="138"/>
      <c r="C46" s="210"/>
      <c r="D46" s="210"/>
      <c r="E46" s="210"/>
      <c r="F46" s="210"/>
      <c r="G46" s="210"/>
      <c r="H46" s="210"/>
      <c r="I46" s="210"/>
      <c r="J46" s="210"/>
      <c r="K46" s="210"/>
      <c r="L46" s="210"/>
      <c r="M46" s="210"/>
      <c r="N46" s="222" t="s">
        <v>1085</v>
      </c>
      <c r="O46" s="210"/>
      <c r="P46" s="210"/>
      <c r="Q46" s="210"/>
      <c r="R46" s="210"/>
      <c r="S46" s="210"/>
      <c r="T46" s="210"/>
      <c r="U46" s="210"/>
      <c r="V46" s="210"/>
      <c r="W46" s="210"/>
      <c r="X46" s="210"/>
      <c r="Y46" s="210"/>
      <c r="Z46" s="222" t="s">
        <v>1085</v>
      </c>
      <c r="AA46" s="210"/>
      <c r="AB46" s="210"/>
      <c r="AC46" s="210"/>
      <c r="AD46" s="210"/>
      <c r="AE46" s="210"/>
      <c r="AF46" s="210"/>
      <c r="AG46" s="210"/>
      <c r="AH46" s="210"/>
      <c r="AI46" s="210"/>
      <c r="AJ46" s="210"/>
      <c r="AK46" s="210"/>
      <c r="AL46" s="222" t="s">
        <v>1085</v>
      </c>
      <c r="AM46" s="210"/>
      <c r="AN46" s="210"/>
      <c r="AO46" s="210"/>
      <c r="AP46" s="210"/>
      <c r="AQ46" s="210"/>
      <c r="AR46" s="210"/>
      <c r="AS46" s="210"/>
      <c r="AT46" s="210"/>
      <c r="AU46" s="210"/>
      <c r="AV46" s="210"/>
      <c r="AW46" s="210"/>
      <c r="AX46" s="222" t="s">
        <v>1085</v>
      </c>
      <c r="AY46" s="135"/>
    </row>
    <row r="47" spans="1:51" ht="15.75" x14ac:dyDescent="0.25">
      <c r="A47" s="209"/>
      <c r="B47" s="138"/>
      <c r="C47" s="138"/>
      <c r="D47" s="138"/>
      <c r="E47" s="138"/>
      <c r="F47" s="138"/>
      <c r="G47" s="138"/>
      <c r="H47" s="138"/>
      <c r="I47" s="138"/>
      <c r="J47" s="138"/>
      <c r="K47" s="138"/>
      <c r="L47" s="138"/>
      <c r="M47" s="138"/>
      <c r="N47" s="223"/>
      <c r="O47" s="138"/>
      <c r="P47" s="138"/>
      <c r="Q47" s="138"/>
      <c r="R47" s="138"/>
      <c r="S47" s="138"/>
      <c r="T47" s="138"/>
      <c r="U47" s="138"/>
      <c r="V47" s="138"/>
      <c r="W47" s="138"/>
      <c r="X47" s="138"/>
      <c r="Y47" s="138"/>
      <c r="Z47" s="223"/>
      <c r="AA47" s="135"/>
      <c r="AB47" s="135"/>
      <c r="AC47" s="135"/>
      <c r="AD47" s="135"/>
      <c r="AE47" s="135"/>
      <c r="AF47" s="135"/>
      <c r="AG47" s="135"/>
      <c r="AH47" s="135"/>
      <c r="AI47" s="135"/>
      <c r="AJ47" s="135"/>
      <c r="AK47" s="135"/>
      <c r="AL47" s="224"/>
      <c r="AM47" s="135"/>
      <c r="AN47" s="135"/>
      <c r="AO47" s="135"/>
      <c r="AP47" s="135"/>
      <c r="AQ47" s="135"/>
      <c r="AR47" s="135"/>
      <c r="AS47" s="135"/>
      <c r="AT47" s="135"/>
      <c r="AU47" s="135"/>
      <c r="AV47" s="135"/>
      <c r="AW47" s="135"/>
      <c r="AX47" s="223"/>
      <c r="AY47" s="135"/>
    </row>
    <row r="48" spans="1:51" ht="15.75" x14ac:dyDescent="0.2">
      <c r="A48" s="225"/>
      <c r="B48" s="139"/>
      <c r="D48" s="139"/>
      <c r="E48" s="139"/>
      <c r="F48" s="139"/>
      <c r="G48" s="139"/>
      <c r="H48" s="139"/>
    </row>
    <row r="49" spans="1:51" s="137" customFormat="1" ht="15.75" x14ac:dyDescent="0.2">
      <c r="A49" s="225"/>
    </row>
    <row r="50" spans="1:51" s="137" customFormat="1" ht="15.75" x14ac:dyDescent="0.2">
      <c r="A50" s="225"/>
    </row>
    <row r="51" spans="1:51" s="137" customFormat="1" ht="16.5" thickBot="1" x14ac:dyDescent="0.25">
      <c r="A51" s="225"/>
    </row>
    <row r="52" spans="1:51" ht="30.6" customHeight="1" thickBot="1" x14ac:dyDescent="0.25">
      <c r="A52" s="1344" t="s">
        <v>1086</v>
      </c>
      <c r="B52" s="1345"/>
      <c r="C52" s="1345"/>
      <c r="D52" s="1345"/>
      <c r="E52" s="1345"/>
      <c r="F52" s="1345"/>
      <c r="G52" s="1345"/>
      <c r="H52" s="1345"/>
      <c r="I52" s="1345"/>
      <c r="J52" s="1345"/>
      <c r="K52" s="1345"/>
      <c r="L52" s="1345"/>
      <c r="M52" s="1345"/>
      <c r="N52" s="1346"/>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5"/>
      <c r="AN52" s="135"/>
      <c r="AO52" s="135"/>
      <c r="AP52" s="135"/>
      <c r="AQ52" s="135"/>
      <c r="AR52" s="135"/>
      <c r="AS52" s="135"/>
      <c r="AT52" s="135"/>
      <c r="AU52" s="135"/>
      <c r="AV52" s="135"/>
      <c r="AW52" s="135"/>
      <c r="AX52" s="135"/>
      <c r="AY52" s="135"/>
    </row>
    <row r="53" spans="1:51" ht="15.75" customHeight="1" x14ac:dyDescent="0.2">
      <c r="A53" s="140"/>
      <c r="B53" s="141"/>
      <c r="C53" s="142"/>
      <c r="D53" s="136"/>
      <c r="E53" s="135"/>
      <c r="F53" s="135"/>
      <c r="G53" s="135"/>
      <c r="H53" s="138"/>
      <c r="I53" s="138"/>
      <c r="J53" s="138"/>
      <c r="K53" s="138"/>
      <c r="L53" s="138"/>
      <c r="M53" s="138"/>
      <c r="N53" s="138"/>
      <c r="O53" s="138"/>
      <c r="P53" s="138"/>
      <c r="Q53" s="138"/>
      <c r="R53" s="138"/>
      <c r="S53" s="138"/>
      <c r="T53" s="138"/>
      <c r="U53" s="138"/>
      <c r="V53" s="138"/>
      <c r="W53" s="138"/>
      <c r="X53" s="138"/>
      <c r="Y53" s="138"/>
      <c r="Z53" s="138"/>
      <c r="AA53" s="138"/>
      <c r="AB53" s="145"/>
      <c r="AC53" s="138"/>
      <c r="AD53" s="138"/>
      <c r="AE53" s="138"/>
      <c r="AF53" s="138"/>
      <c r="AG53" s="138"/>
      <c r="AH53" s="138"/>
      <c r="AI53" s="138"/>
      <c r="AJ53" s="138"/>
      <c r="AK53" s="138"/>
      <c r="AL53" s="138"/>
      <c r="AM53" s="135"/>
      <c r="AN53" s="135"/>
      <c r="AO53" s="135"/>
      <c r="AP53" s="135"/>
      <c r="AQ53" s="135"/>
      <c r="AR53" s="135"/>
      <c r="AS53" s="135"/>
      <c r="AT53" s="135"/>
      <c r="AU53" s="135"/>
      <c r="AV53" s="135"/>
      <c r="AW53" s="135"/>
      <c r="AX53" s="135"/>
      <c r="AY53" s="135"/>
    </row>
    <row r="54" spans="1:51" ht="15.75" x14ac:dyDescent="0.2">
      <c r="A54" s="146"/>
      <c r="B54" s="141"/>
      <c r="C54" s="144">
        <v>1200</v>
      </c>
      <c r="D54" s="226" t="s">
        <v>1087</v>
      </c>
      <c r="E54" s="135"/>
      <c r="F54" s="135"/>
      <c r="G54" s="135"/>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5"/>
      <c r="AN54" s="135"/>
      <c r="AO54" s="135"/>
      <c r="AP54" s="135"/>
      <c r="AQ54" s="135"/>
      <c r="AR54" s="135"/>
      <c r="AS54" s="135"/>
      <c r="AT54" s="135"/>
      <c r="AU54" s="135"/>
      <c r="AV54" s="135"/>
      <c r="AW54" s="135"/>
      <c r="AX54" s="135"/>
      <c r="AY54" s="135"/>
    </row>
    <row r="55" spans="1:51" ht="15.75" x14ac:dyDescent="0.2">
      <c r="A55" s="146"/>
      <c r="B55" s="141"/>
      <c r="C55" s="144" t="s">
        <v>1088</v>
      </c>
      <c r="D55" s="136"/>
      <c r="E55" s="135"/>
      <c r="F55" s="135"/>
      <c r="G55" s="135"/>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5"/>
      <c r="AN55" s="138"/>
      <c r="AO55" s="138"/>
      <c r="AP55" s="135"/>
      <c r="AQ55" s="135"/>
      <c r="AR55" s="135"/>
      <c r="AS55" s="135"/>
      <c r="AT55" s="135"/>
      <c r="AU55" s="135"/>
      <c r="AV55" s="135"/>
      <c r="AW55" s="135"/>
      <c r="AX55" s="135"/>
      <c r="AY55" s="135"/>
    </row>
    <row r="56" spans="1:51" ht="15.75" x14ac:dyDescent="0.2">
      <c r="A56" s="146"/>
      <c r="B56" s="141"/>
      <c r="C56" s="144" t="s">
        <v>1089</v>
      </c>
      <c r="D56" s="136"/>
      <c r="E56" s="135"/>
      <c r="F56" s="135"/>
      <c r="G56" s="135"/>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5"/>
      <c r="AN56" s="135"/>
      <c r="AO56" s="135"/>
      <c r="AP56" s="135"/>
      <c r="AQ56" s="135"/>
      <c r="AR56" s="135"/>
      <c r="AS56" s="135"/>
      <c r="AT56" s="135"/>
      <c r="AU56" s="135"/>
      <c r="AV56" s="135"/>
      <c r="AW56" s="135"/>
      <c r="AX56" s="135"/>
      <c r="AY56" s="135"/>
    </row>
    <row r="57" spans="1:51" ht="15.75" x14ac:dyDescent="0.2">
      <c r="A57" s="146"/>
      <c r="B57" s="141"/>
      <c r="C57" s="142" t="s">
        <v>1090</v>
      </c>
      <c r="D57" s="136"/>
      <c r="E57" s="135"/>
      <c r="F57" s="135"/>
      <c r="G57" s="135"/>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5"/>
      <c r="AN57" s="135"/>
      <c r="AO57" s="135"/>
      <c r="AP57" s="135"/>
      <c r="AQ57" s="135"/>
      <c r="AR57" s="135"/>
      <c r="AS57" s="135"/>
      <c r="AT57" s="135"/>
      <c r="AU57" s="135"/>
      <c r="AV57" s="135"/>
      <c r="AW57" s="135"/>
      <c r="AX57" s="135"/>
      <c r="AY57" s="135"/>
    </row>
    <row r="58" spans="1:51" ht="15.75" thickBot="1" x14ac:dyDescent="0.25">
      <c r="A58" s="147"/>
      <c r="B58" s="134"/>
      <c r="C58" s="135"/>
      <c r="D58" s="135"/>
      <c r="E58" s="135"/>
      <c r="F58" s="135"/>
      <c r="G58" s="135"/>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5"/>
      <c r="AN58" s="135"/>
      <c r="AO58" s="135"/>
      <c r="AP58" s="135"/>
      <c r="AQ58" s="135"/>
      <c r="AR58" s="135"/>
      <c r="AS58" s="135"/>
      <c r="AT58" s="135"/>
      <c r="AU58" s="135"/>
      <c r="AV58" s="135"/>
      <c r="AW58" s="135"/>
      <c r="AX58" s="135"/>
      <c r="AY58" s="135"/>
    </row>
    <row r="59" spans="1:51" ht="15.75" x14ac:dyDescent="0.25">
      <c r="A59" s="147"/>
      <c r="B59" s="134"/>
      <c r="C59" s="1336" t="s">
        <v>1091</v>
      </c>
      <c r="D59" s="1337"/>
      <c r="E59" s="1337"/>
      <c r="F59" s="1337"/>
      <c r="G59" s="1337"/>
      <c r="H59" s="1337"/>
      <c r="I59" s="1337"/>
      <c r="J59" s="1337"/>
      <c r="K59" s="1337"/>
      <c r="L59" s="1337"/>
      <c r="M59" s="1337"/>
      <c r="N59" s="13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5"/>
      <c r="AN59" s="135"/>
      <c r="AO59" s="135"/>
      <c r="AP59" s="135"/>
      <c r="AQ59" s="135"/>
      <c r="AR59" s="135"/>
      <c r="AS59" s="135"/>
      <c r="AT59" s="135"/>
      <c r="AU59" s="135"/>
      <c r="AV59" s="135"/>
      <c r="AW59" s="135"/>
      <c r="AX59" s="135"/>
      <c r="AY59" s="135"/>
    </row>
    <row r="60" spans="1:51" s="154" customFormat="1" ht="62.1" customHeight="1" thickBot="1" x14ac:dyDescent="0.25">
      <c r="A60" s="147"/>
      <c r="B60" s="134"/>
      <c r="C60" s="149">
        <v>1</v>
      </c>
      <c r="D60" s="150">
        <v>2</v>
      </c>
      <c r="E60" s="151">
        <v>3</v>
      </c>
      <c r="F60" s="150">
        <v>4</v>
      </c>
      <c r="G60" s="150">
        <v>5</v>
      </c>
      <c r="H60" s="151">
        <v>6</v>
      </c>
      <c r="I60" s="150">
        <v>7</v>
      </c>
      <c r="J60" s="150">
        <v>8</v>
      </c>
      <c r="K60" s="151">
        <v>9</v>
      </c>
      <c r="L60" s="150">
        <v>10</v>
      </c>
      <c r="M60" s="150">
        <v>11</v>
      </c>
      <c r="N60" s="152">
        <v>12</v>
      </c>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5"/>
      <c r="AN60" s="135"/>
      <c r="AO60" s="135"/>
      <c r="AP60" s="135"/>
      <c r="AQ60" s="135"/>
      <c r="AR60" s="135"/>
      <c r="AS60" s="135"/>
      <c r="AT60" s="135"/>
      <c r="AU60" s="153"/>
      <c r="AV60" s="153"/>
      <c r="AW60" s="153"/>
      <c r="AX60" s="153"/>
      <c r="AY60" s="153"/>
    </row>
    <row r="61" spans="1:51" s="154" customFormat="1" ht="28.35" customHeight="1" x14ac:dyDescent="0.25">
      <c r="A61" s="147"/>
      <c r="B61" s="134"/>
      <c r="C61" s="227"/>
      <c r="D61" s="161"/>
      <c r="E61" s="228"/>
      <c r="F61" s="227"/>
      <c r="G61" s="161"/>
      <c r="H61" s="228"/>
      <c r="I61" s="227"/>
      <c r="J61" s="161"/>
      <c r="K61" s="228"/>
      <c r="L61" s="227"/>
      <c r="M61" s="161"/>
      <c r="N61" s="229">
        <v>90</v>
      </c>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5"/>
      <c r="AN61" s="135"/>
      <c r="AO61" s="135"/>
      <c r="AP61" s="135"/>
      <c r="AQ61" s="135"/>
      <c r="AR61" s="135"/>
      <c r="AS61" s="135"/>
      <c r="AT61" s="135"/>
      <c r="AU61" s="153"/>
      <c r="AV61" s="153"/>
      <c r="AW61" s="153"/>
      <c r="AX61" s="153"/>
      <c r="AY61" s="153"/>
    </row>
    <row r="62" spans="1:51" s="6" customFormat="1" ht="25.35" customHeight="1" x14ac:dyDescent="0.2">
      <c r="A62" s="147"/>
      <c r="B62" s="134"/>
      <c r="C62" s="156"/>
      <c r="D62" s="156"/>
      <c r="E62" s="156"/>
      <c r="F62" s="157"/>
      <c r="G62" s="157"/>
      <c r="H62" s="157"/>
      <c r="I62" s="156"/>
      <c r="J62" s="156"/>
      <c r="K62" s="156"/>
      <c r="L62" s="157"/>
      <c r="M62" s="230">
        <v>90</v>
      </c>
      <c r="N62" s="230">
        <v>90</v>
      </c>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5"/>
      <c r="AN62" s="135"/>
      <c r="AO62" s="135"/>
      <c r="AP62" s="135"/>
      <c r="AQ62" s="135"/>
      <c r="AR62" s="135"/>
      <c r="AS62" s="135"/>
      <c r="AT62" s="135"/>
      <c r="AU62" s="1"/>
      <c r="AV62" s="1"/>
      <c r="AW62" s="1"/>
      <c r="AX62" s="1"/>
      <c r="AY62" s="1"/>
    </row>
    <row r="63" spans="1:51" s="6" customFormat="1" ht="25.35" customHeight="1" x14ac:dyDescent="0.2">
      <c r="A63" s="147"/>
      <c r="B63" s="134"/>
      <c r="C63" s="156"/>
      <c r="D63" s="156"/>
      <c r="E63" s="156"/>
      <c r="F63" s="157"/>
      <c r="G63" s="157"/>
      <c r="H63" s="157"/>
      <c r="I63" s="156"/>
      <c r="J63" s="156"/>
      <c r="K63" s="156"/>
      <c r="L63" s="230">
        <v>90</v>
      </c>
      <c r="M63" s="230">
        <v>90</v>
      </c>
      <c r="N63" s="230">
        <v>90</v>
      </c>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5"/>
      <c r="AN63" s="135"/>
      <c r="AO63" s="135"/>
      <c r="AP63" s="135"/>
      <c r="AQ63" s="135"/>
      <c r="AR63" s="135"/>
      <c r="AS63" s="135"/>
      <c r="AT63" s="135"/>
      <c r="AU63" s="1"/>
      <c r="AV63" s="1"/>
      <c r="AW63" s="1"/>
      <c r="AX63" s="1"/>
      <c r="AY63" s="1"/>
    </row>
    <row r="64" spans="1:51" s="6" customFormat="1" ht="25.35" customHeight="1" x14ac:dyDescent="0.2">
      <c r="A64" s="147"/>
      <c r="B64" s="134"/>
      <c r="C64" s="156"/>
      <c r="D64" s="156"/>
      <c r="E64" s="156"/>
      <c r="F64" s="157"/>
      <c r="G64" s="157"/>
      <c r="H64" s="157"/>
      <c r="I64" s="156"/>
      <c r="J64" s="156"/>
      <c r="K64" s="230">
        <v>90</v>
      </c>
      <c r="L64" s="230">
        <v>90</v>
      </c>
      <c r="M64" s="230">
        <v>90</v>
      </c>
      <c r="N64" s="230">
        <v>90</v>
      </c>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5"/>
      <c r="AN64" s="135"/>
      <c r="AO64" s="135"/>
      <c r="AP64" s="135"/>
      <c r="AQ64" s="135"/>
      <c r="AR64" s="135"/>
      <c r="AS64" s="135"/>
      <c r="AT64" s="135"/>
      <c r="AU64" s="1"/>
      <c r="AV64" s="1"/>
      <c r="AW64" s="1"/>
      <c r="AX64" s="1"/>
      <c r="AY64" s="1"/>
    </row>
    <row r="65" spans="1:51" s="6" customFormat="1" ht="25.35" customHeight="1" x14ac:dyDescent="0.25">
      <c r="A65" s="147"/>
      <c r="B65" s="134"/>
      <c r="C65" s="177"/>
      <c r="D65" s="177"/>
      <c r="E65" s="177"/>
      <c r="F65" s="231"/>
      <c r="G65" s="231"/>
      <c r="H65" s="231"/>
      <c r="I65" s="177"/>
      <c r="J65" s="230">
        <v>90</v>
      </c>
      <c r="K65" s="230">
        <v>90</v>
      </c>
      <c r="L65" s="230">
        <v>90</v>
      </c>
      <c r="M65" s="230">
        <v>90</v>
      </c>
      <c r="N65" s="230">
        <v>90</v>
      </c>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5"/>
      <c r="AN65" s="135"/>
      <c r="AO65" s="135"/>
      <c r="AP65" s="135"/>
      <c r="AQ65" s="135"/>
      <c r="AR65" s="135"/>
      <c r="AS65" s="135"/>
      <c r="AT65" s="135"/>
      <c r="AU65" s="1"/>
      <c r="AV65" s="1"/>
      <c r="AW65" s="1"/>
      <c r="AX65" s="1"/>
      <c r="AY65" s="1"/>
    </row>
    <row r="66" spans="1:51" s="6" customFormat="1" ht="25.35" customHeight="1" x14ac:dyDescent="0.2">
      <c r="A66" s="147"/>
      <c r="B66" s="134"/>
      <c r="C66" s="184"/>
      <c r="D66" s="185"/>
      <c r="E66" s="186"/>
      <c r="F66" s="232"/>
      <c r="G66" s="185"/>
      <c r="H66" s="186"/>
      <c r="I66" s="230">
        <v>90</v>
      </c>
      <c r="J66" s="230">
        <v>90</v>
      </c>
      <c r="K66" s="230">
        <v>90</v>
      </c>
      <c r="L66" s="230">
        <v>90</v>
      </c>
      <c r="M66" s="230">
        <v>90</v>
      </c>
      <c r="N66" s="230">
        <v>90</v>
      </c>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5"/>
      <c r="AN66" s="135"/>
      <c r="AO66" s="135"/>
      <c r="AP66" s="135"/>
      <c r="AQ66" s="135"/>
      <c r="AR66" s="135"/>
      <c r="AS66" s="135"/>
      <c r="AT66" s="135"/>
      <c r="AU66" s="1"/>
      <c r="AV66" s="1"/>
      <c r="AW66" s="1"/>
      <c r="AX66" s="1"/>
      <c r="AY66" s="1"/>
    </row>
    <row r="67" spans="1:51" s="6" customFormat="1" ht="25.35" customHeight="1" x14ac:dyDescent="0.2">
      <c r="A67" s="147"/>
      <c r="B67" s="134"/>
      <c r="C67" s="156"/>
      <c r="D67" s="156"/>
      <c r="E67" s="156"/>
      <c r="F67" s="157"/>
      <c r="G67" s="157"/>
      <c r="H67" s="230">
        <v>90</v>
      </c>
      <c r="I67" s="230">
        <v>90</v>
      </c>
      <c r="J67" s="230">
        <v>90</v>
      </c>
      <c r="K67" s="230">
        <v>90</v>
      </c>
      <c r="L67" s="230">
        <v>90</v>
      </c>
      <c r="M67" s="230">
        <v>90</v>
      </c>
      <c r="N67" s="230">
        <v>90</v>
      </c>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5"/>
      <c r="AN67" s="135"/>
      <c r="AO67" s="135"/>
      <c r="AP67" s="135"/>
      <c r="AQ67" s="135"/>
      <c r="AR67" s="135"/>
      <c r="AS67" s="135"/>
      <c r="AT67" s="135"/>
      <c r="AU67" s="1"/>
      <c r="AV67" s="1"/>
      <c r="AW67" s="1"/>
      <c r="AX67" s="1"/>
      <c r="AY67" s="1"/>
    </row>
    <row r="68" spans="1:51" s="6" customFormat="1" ht="25.35" customHeight="1" x14ac:dyDescent="0.2">
      <c r="A68" s="147"/>
      <c r="B68" s="134"/>
      <c r="C68" s="156"/>
      <c r="D68" s="156"/>
      <c r="E68" s="156"/>
      <c r="F68" s="157"/>
      <c r="G68" s="230">
        <v>90</v>
      </c>
      <c r="H68" s="230">
        <v>90</v>
      </c>
      <c r="I68" s="230">
        <v>90</v>
      </c>
      <c r="J68" s="230">
        <v>90</v>
      </c>
      <c r="K68" s="230">
        <v>90</v>
      </c>
      <c r="L68" s="230">
        <v>90</v>
      </c>
      <c r="M68" s="230">
        <v>90</v>
      </c>
      <c r="N68" s="230">
        <v>90</v>
      </c>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5"/>
      <c r="AN68" s="135"/>
      <c r="AO68" s="135"/>
      <c r="AP68" s="135"/>
      <c r="AQ68" s="135"/>
      <c r="AR68" s="135"/>
      <c r="AS68" s="135"/>
      <c r="AT68" s="135"/>
      <c r="AU68" s="1"/>
      <c r="AV68" s="1"/>
      <c r="AW68" s="1"/>
      <c r="AX68" s="1"/>
      <c r="AY68" s="1"/>
    </row>
    <row r="69" spans="1:51" s="6" customFormat="1" ht="25.35" customHeight="1" x14ac:dyDescent="0.2">
      <c r="A69" s="147"/>
      <c r="B69" s="134"/>
      <c r="C69" s="156"/>
      <c r="D69" s="156"/>
      <c r="E69" s="156"/>
      <c r="F69" s="230">
        <v>90</v>
      </c>
      <c r="G69" s="230">
        <v>90</v>
      </c>
      <c r="H69" s="230">
        <v>90</v>
      </c>
      <c r="I69" s="230">
        <v>90</v>
      </c>
      <c r="J69" s="230">
        <v>90</v>
      </c>
      <c r="K69" s="230">
        <v>90</v>
      </c>
      <c r="L69" s="230">
        <v>90</v>
      </c>
      <c r="M69" s="230">
        <v>90</v>
      </c>
      <c r="N69" s="230">
        <v>90</v>
      </c>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5"/>
      <c r="AN69" s="135"/>
      <c r="AO69" s="135"/>
      <c r="AP69" s="135"/>
      <c r="AQ69" s="135"/>
      <c r="AR69" s="135"/>
      <c r="AS69" s="135"/>
      <c r="AT69" s="135"/>
      <c r="AU69" s="1"/>
      <c r="AV69" s="1"/>
      <c r="AW69" s="1"/>
      <c r="AX69" s="1"/>
      <c r="AY69" s="1"/>
    </row>
    <row r="70" spans="1:51" s="6" customFormat="1" ht="25.35" customHeight="1" x14ac:dyDescent="0.2">
      <c r="A70" s="147"/>
      <c r="B70" s="134"/>
      <c r="C70" s="156"/>
      <c r="D70" s="156"/>
      <c r="E70" s="230">
        <v>90</v>
      </c>
      <c r="F70" s="230">
        <v>90</v>
      </c>
      <c r="G70" s="230">
        <v>90</v>
      </c>
      <c r="H70" s="230">
        <v>90</v>
      </c>
      <c r="I70" s="230">
        <v>90</v>
      </c>
      <c r="J70" s="230">
        <v>90</v>
      </c>
      <c r="K70" s="230">
        <v>90</v>
      </c>
      <c r="L70" s="230">
        <v>90</v>
      </c>
      <c r="M70" s="230">
        <v>90</v>
      </c>
      <c r="N70" s="230">
        <v>90</v>
      </c>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5"/>
      <c r="AN70" s="135"/>
      <c r="AO70" s="135"/>
      <c r="AP70" s="135"/>
      <c r="AQ70" s="135"/>
      <c r="AR70" s="135"/>
      <c r="AS70" s="135"/>
      <c r="AT70" s="135"/>
      <c r="AU70" s="1"/>
      <c r="AV70" s="1"/>
      <c r="AW70" s="1"/>
      <c r="AX70" s="1"/>
      <c r="AY70" s="1"/>
    </row>
    <row r="71" spans="1:51" s="154" customFormat="1" ht="25.35" customHeight="1" x14ac:dyDescent="0.2">
      <c r="A71" s="147"/>
      <c r="B71" s="134"/>
      <c r="C71" s="156"/>
      <c r="D71" s="230">
        <v>90</v>
      </c>
      <c r="E71" s="230">
        <v>90</v>
      </c>
      <c r="F71" s="230">
        <v>90</v>
      </c>
      <c r="G71" s="230">
        <v>90</v>
      </c>
      <c r="H71" s="230">
        <v>90</v>
      </c>
      <c r="I71" s="230">
        <v>90</v>
      </c>
      <c r="J71" s="230">
        <v>90</v>
      </c>
      <c r="K71" s="230">
        <v>90</v>
      </c>
      <c r="L71" s="230">
        <v>90</v>
      </c>
      <c r="M71" s="230">
        <v>90</v>
      </c>
      <c r="N71" s="230">
        <v>90</v>
      </c>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5"/>
      <c r="AN71" s="135"/>
      <c r="AO71" s="135"/>
      <c r="AP71" s="135"/>
      <c r="AQ71" s="135"/>
      <c r="AR71" s="135"/>
      <c r="AS71" s="135"/>
      <c r="AT71" s="135"/>
      <c r="AU71" s="153"/>
      <c r="AV71" s="153"/>
      <c r="AW71" s="153"/>
      <c r="AX71" s="153"/>
      <c r="AY71" s="153"/>
    </row>
    <row r="72" spans="1:51" s="233" customFormat="1" ht="25.35" customHeight="1" x14ac:dyDescent="0.25">
      <c r="A72" s="147"/>
      <c r="B72" s="134"/>
      <c r="C72" s="230">
        <v>90</v>
      </c>
      <c r="D72" s="230">
        <v>90</v>
      </c>
      <c r="E72" s="230">
        <v>90</v>
      </c>
      <c r="F72" s="230">
        <v>90</v>
      </c>
      <c r="G72" s="230">
        <v>90</v>
      </c>
      <c r="H72" s="230">
        <v>90</v>
      </c>
      <c r="I72" s="230">
        <v>90</v>
      </c>
      <c r="J72" s="230">
        <v>90</v>
      </c>
      <c r="K72" s="230">
        <v>90</v>
      </c>
      <c r="L72" s="230">
        <v>90</v>
      </c>
      <c r="M72" s="230">
        <v>90</v>
      </c>
      <c r="N72" s="230">
        <v>90</v>
      </c>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5"/>
      <c r="AN72" s="135"/>
      <c r="AO72" s="135"/>
      <c r="AP72" s="135"/>
      <c r="AQ72" s="135"/>
      <c r="AR72" s="135"/>
      <c r="AS72" s="135"/>
      <c r="AT72" s="135"/>
      <c r="AU72" s="8"/>
      <c r="AV72" s="8"/>
      <c r="AW72" s="8"/>
      <c r="AX72" s="8"/>
      <c r="AY72" s="8"/>
    </row>
    <row r="73" spans="1:51" s="6" customFormat="1" ht="33.6" customHeight="1" x14ac:dyDescent="0.2">
      <c r="A73" s="201"/>
      <c r="B73" s="134"/>
      <c r="C73" s="234">
        <f>SUM(C61:C72)</f>
        <v>90</v>
      </c>
      <c r="D73" s="234">
        <f t="shared" ref="D73:N73" si="0">SUM(D61:D72)</f>
        <v>180</v>
      </c>
      <c r="E73" s="234">
        <f t="shared" si="0"/>
        <v>270</v>
      </c>
      <c r="F73" s="234">
        <f t="shared" si="0"/>
        <v>360</v>
      </c>
      <c r="G73" s="234">
        <f t="shared" si="0"/>
        <v>450</v>
      </c>
      <c r="H73" s="234">
        <f t="shared" si="0"/>
        <v>540</v>
      </c>
      <c r="I73" s="234">
        <f t="shared" si="0"/>
        <v>630</v>
      </c>
      <c r="J73" s="234">
        <f t="shared" si="0"/>
        <v>720</v>
      </c>
      <c r="K73" s="234">
        <f t="shared" si="0"/>
        <v>810</v>
      </c>
      <c r="L73" s="234">
        <f t="shared" si="0"/>
        <v>900</v>
      </c>
      <c r="M73" s="234">
        <f t="shared" si="0"/>
        <v>990</v>
      </c>
      <c r="N73" s="234">
        <f t="shared" si="0"/>
        <v>1080</v>
      </c>
      <c r="O73" s="235" t="s">
        <v>1092</v>
      </c>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1"/>
      <c r="AR73" s="1"/>
      <c r="AS73" s="1"/>
      <c r="AT73" s="1"/>
      <c r="AU73" s="1"/>
      <c r="AV73" s="1"/>
      <c r="AW73" s="1"/>
      <c r="AX73" s="1"/>
      <c r="AY73" s="1"/>
    </row>
    <row r="74" spans="1:51" s="6" customFormat="1" x14ac:dyDescent="0.2">
      <c r="A74" s="201"/>
      <c r="B74" s="134"/>
      <c r="C74" s="234"/>
      <c r="D74" s="234"/>
      <c r="E74" s="234"/>
      <c r="F74" s="234"/>
      <c r="G74" s="234"/>
      <c r="H74" s="234"/>
      <c r="I74" s="234"/>
      <c r="J74" s="234"/>
      <c r="K74" s="234"/>
      <c r="L74" s="234"/>
      <c r="M74" s="234"/>
      <c r="N74" s="236" t="s">
        <v>1093</v>
      </c>
      <c r="O74" s="23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1"/>
      <c r="AR74" s="1"/>
      <c r="AS74" s="1"/>
      <c r="AT74" s="1"/>
      <c r="AU74" s="1"/>
      <c r="AV74" s="1"/>
      <c r="AW74" s="1"/>
      <c r="AX74" s="1"/>
      <c r="AY74" s="1"/>
    </row>
    <row r="75" spans="1:51" ht="15.75" x14ac:dyDescent="0.2">
      <c r="A75" s="209"/>
      <c r="B75" s="134"/>
      <c r="C75" s="237">
        <f>C73/$C$54</f>
        <v>7.4999999999999997E-2</v>
      </c>
      <c r="D75" s="237">
        <f t="shared" ref="D75:N75" si="1">D73/$C$54</f>
        <v>0.15</v>
      </c>
      <c r="E75" s="237">
        <f t="shared" si="1"/>
        <v>0.22500000000000001</v>
      </c>
      <c r="F75" s="237">
        <f t="shared" si="1"/>
        <v>0.3</v>
      </c>
      <c r="G75" s="237">
        <f t="shared" si="1"/>
        <v>0.375</v>
      </c>
      <c r="H75" s="237">
        <f t="shared" si="1"/>
        <v>0.45</v>
      </c>
      <c r="I75" s="237">
        <f t="shared" si="1"/>
        <v>0.52500000000000002</v>
      </c>
      <c r="J75" s="237">
        <f t="shared" si="1"/>
        <v>0.6</v>
      </c>
      <c r="K75" s="237">
        <f t="shared" si="1"/>
        <v>0.67500000000000004</v>
      </c>
      <c r="L75" s="237">
        <f t="shared" si="1"/>
        <v>0.75</v>
      </c>
      <c r="M75" s="237">
        <f t="shared" si="1"/>
        <v>0.82499999999999996</v>
      </c>
      <c r="N75" s="237">
        <f t="shared" si="1"/>
        <v>0.9</v>
      </c>
      <c r="O75" s="238" t="s">
        <v>1094</v>
      </c>
      <c r="P75" s="138"/>
      <c r="Q75" s="138"/>
      <c r="R75" s="138"/>
      <c r="S75" s="138"/>
      <c r="T75" s="138"/>
      <c r="U75" s="138"/>
      <c r="V75" s="138"/>
      <c r="W75" s="138"/>
      <c r="X75" s="138"/>
      <c r="Y75" s="138"/>
      <c r="Z75" s="138"/>
      <c r="AA75" s="138"/>
      <c r="AB75" s="239"/>
      <c r="AC75" s="239"/>
      <c r="AD75" s="239"/>
      <c r="AE75" s="239"/>
      <c r="AF75" s="239"/>
      <c r="AG75" s="239"/>
      <c r="AH75" s="239"/>
      <c r="AI75" s="239"/>
      <c r="AJ75" s="239"/>
      <c r="AK75" s="239"/>
      <c r="AL75" s="239"/>
      <c r="AM75" s="239"/>
      <c r="AN75" s="239"/>
      <c r="AO75" s="239"/>
      <c r="AP75" s="239"/>
      <c r="AQ75" s="135"/>
      <c r="AR75" s="135"/>
      <c r="AS75" s="135"/>
      <c r="AT75" s="135"/>
      <c r="AU75" s="135"/>
      <c r="AV75" s="135"/>
      <c r="AW75" s="135"/>
      <c r="AX75" s="135"/>
      <c r="AY75" s="135"/>
    </row>
    <row r="76" spans="1:51" ht="15.75" x14ac:dyDescent="0.2">
      <c r="A76" s="209"/>
      <c r="B76" s="134"/>
      <c r="C76" s="5"/>
      <c r="D76" s="234"/>
      <c r="E76" s="234"/>
      <c r="F76" s="240"/>
      <c r="G76" s="240"/>
      <c r="H76" s="240"/>
      <c r="I76" s="5"/>
      <c r="J76" s="5"/>
      <c r="K76" s="5"/>
      <c r="L76" s="5"/>
      <c r="M76" s="5"/>
      <c r="N76" s="241">
        <f>SUM(C75:N75)</f>
        <v>5.8500000000000005</v>
      </c>
      <c r="O76" s="138"/>
      <c r="P76" s="138"/>
      <c r="Q76" s="138"/>
      <c r="R76" s="138"/>
      <c r="S76" s="138"/>
      <c r="T76" s="138"/>
      <c r="U76" s="138"/>
      <c r="V76" s="138"/>
      <c r="W76" s="138"/>
      <c r="X76" s="138"/>
      <c r="Y76" s="138"/>
      <c r="Z76" s="138"/>
      <c r="AA76" s="138"/>
      <c r="AB76" s="138"/>
      <c r="AC76" s="138"/>
      <c r="AD76" s="155"/>
      <c r="AE76" s="138"/>
      <c r="AF76" s="138"/>
      <c r="AG76" s="138"/>
      <c r="AH76" s="138"/>
      <c r="AI76" s="138"/>
      <c r="AJ76" s="138"/>
      <c r="AK76" s="138"/>
      <c r="AL76" s="138"/>
      <c r="AM76" s="138"/>
      <c r="AN76" s="138"/>
      <c r="AO76" s="138"/>
      <c r="AP76" s="155"/>
      <c r="AQ76" s="135"/>
      <c r="AR76" s="135"/>
      <c r="AS76" s="135"/>
      <c r="AT76" s="135"/>
      <c r="AU76" s="135"/>
      <c r="AV76" s="135"/>
      <c r="AW76" s="135"/>
      <c r="AX76" s="135"/>
      <c r="AY76" s="135"/>
    </row>
    <row r="77" spans="1:51" ht="15.75" x14ac:dyDescent="0.2">
      <c r="A77" s="209"/>
      <c r="B77" s="134"/>
      <c r="C77" s="5"/>
      <c r="D77" s="234"/>
      <c r="E77" s="234"/>
      <c r="F77" s="240"/>
      <c r="G77" s="240"/>
      <c r="H77" s="240"/>
      <c r="I77" s="5"/>
      <c r="J77" s="5"/>
      <c r="K77" s="5"/>
      <c r="L77" s="5"/>
      <c r="M77" s="5"/>
      <c r="N77" s="148" t="s">
        <v>1095</v>
      </c>
      <c r="O77" s="138"/>
      <c r="P77" s="138"/>
      <c r="Q77" s="138"/>
      <c r="R77" s="138"/>
      <c r="S77" s="138"/>
      <c r="T77" s="138"/>
      <c r="U77" s="138"/>
      <c r="V77" s="138"/>
      <c r="W77" s="138"/>
      <c r="X77" s="138"/>
      <c r="Y77" s="138"/>
      <c r="Z77" s="138"/>
      <c r="AA77" s="138"/>
      <c r="AB77" s="138"/>
      <c r="AC77" s="138"/>
      <c r="AD77" s="148"/>
      <c r="AE77" s="138"/>
      <c r="AF77" s="138"/>
      <c r="AG77" s="138"/>
      <c r="AH77" s="138"/>
      <c r="AI77" s="138"/>
      <c r="AJ77" s="138"/>
      <c r="AK77" s="138"/>
      <c r="AL77" s="138"/>
      <c r="AM77" s="138"/>
      <c r="AN77" s="138"/>
      <c r="AO77" s="138"/>
      <c r="AP77" s="148"/>
      <c r="AQ77" s="135"/>
      <c r="AR77" s="135"/>
      <c r="AS77" s="135"/>
      <c r="AT77" s="135"/>
      <c r="AU77" s="135"/>
      <c r="AV77" s="135"/>
      <c r="AW77" s="135"/>
      <c r="AX77" s="135"/>
      <c r="AY77" s="135"/>
    </row>
    <row r="78" spans="1:51" ht="15.75" x14ac:dyDescent="0.25">
      <c r="A78" s="209"/>
      <c r="B78" s="242"/>
      <c r="C78" s="5"/>
      <c r="D78" s="234"/>
      <c r="E78" s="234"/>
      <c r="F78" s="240"/>
      <c r="G78" s="240"/>
      <c r="H78" s="240"/>
      <c r="I78" s="5"/>
      <c r="J78" s="5"/>
      <c r="K78" s="5"/>
      <c r="L78" s="5"/>
      <c r="M78" s="5"/>
      <c r="N78" s="243">
        <f>N76/(12*100%)</f>
        <v>0.48750000000000004</v>
      </c>
      <c r="O78" s="244" t="s">
        <v>1096</v>
      </c>
      <c r="P78" s="138"/>
      <c r="Q78" s="138"/>
      <c r="R78" s="138"/>
      <c r="S78" s="138"/>
      <c r="T78" s="138"/>
      <c r="U78" s="138"/>
      <c r="V78" s="138"/>
      <c r="W78" s="138"/>
      <c r="X78" s="138"/>
      <c r="Y78" s="138"/>
      <c r="Z78" s="138"/>
      <c r="AA78" s="138"/>
      <c r="AB78" s="138"/>
      <c r="AC78" s="138"/>
      <c r="AD78" s="245"/>
      <c r="AE78" s="138"/>
      <c r="AF78" s="138"/>
      <c r="AG78" s="138"/>
      <c r="AH78" s="138"/>
      <c r="AI78" s="138"/>
      <c r="AJ78" s="138"/>
      <c r="AK78" s="138"/>
      <c r="AL78" s="138"/>
      <c r="AM78" s="138"/>
      <c r="AN78" s="138"/>
      <c r="AO78" s="138"/>
      <c r="AP78" s="246"/>
      <c r="AQ78" s="135"/>
      <c r="AR78" s="135"/>
      <c r="AS78" s="135"/>
      <c r="AT78" s="135"/>
      <c r="AU78" s="135"/>
      <c r="AV78" s="135"/>
      <c r="AW78" s="135"/>
      <c r="AX78" s="135"/>
      <c r="AY78" s="135"/>
    </row>
    <row r="79" spans="1:51" ht="15.75" x14ac:dyDescent="0.25">
      <c r="A79" s="209"/>
      <c r="B79" s="242"/>
      <c r="C79" s="138"/>
      <c r="D79" s="247"/>
      <c r="E79" s="247"/>
      <c r="F79" s="242"/>
      <c r="G79" s="242"/>
      <c r="H79" s="242"/>
      <c r="I79" s="138"/>
      <c r="J79" s="138"/>
      <c r="K79" s="138"/>
      <c r="L79" s="138"/>
      <c r="M79" s="138"/>
      <c r="N79" s="148" t="s">
        <v>1097</v>
      </c>
      <c r="O79" s="138"/>
      <c r="P79" s="138"/>
      <c r="Q79" s="138"/>
      <c r="R79" s="138"/>
      <c r="S79" s="138"/>
      <c r="T79" s="138"/>
      <c r="U79" s="138"/>
      <c r="V79" s="138"/>
      <c r="W79" s="138"/>
      <c r="X79" s="138"/>
      <c r="Y79" s="138"/>
      <c r="Z79" s="138"/>
      <c r="AA79" s="138"/>
      <c r="AB79" s="138"/>
      <c r="AC79" s="138"/>
      <c r="AD79" s="223"/>
      <c r="AE79" s="138"/>
      <c r="AF79" s="138"/>
      <c r="AG79" s="138"/>
      <c r="AH79" s="138"/>
      <c r="AI79" s="138"/>
      <c r="AJ79" s="138"/>
      <c r="AK79" s="138"/>
      <c r="AL79" s="138"/>
      <c r="AM79" s="138"/>
      <c r="AN79" s="138"/>
      <c r="AO79" s="138"/>
      <c r="AP79" s="223"/>
      <c r="AQ79" s="135"/>
      <c r="AR79" s="135"/>
      <c r="AS79" s="135"/>
      <c r="AT79" s="135"/>
      <c r="AU79" s="135"/>
      <c r="AV79" s="135"/>
      <c r="AW79" s="135"/>
      <c r="AX79" s="135"/>
      <c r="AY79" s="135"/>
    </row>
    <row r="80" spans="1:51" ht="15.75" x14ac:dyDescent="0.25">
      <c r="A80" s="209"/>
      <c r="B80" s="242"/>
      <c r="C80" s="138"/>
      <c r="D80" s="247"/>
      <c r="E80" s="247"/>
      <c r="F80" s="242"/>
      <c r="G80" s="242"/>
      <c r="H80" s="242"/>
      <c r="I80" s="138"/>
      <c r="J80" s="138"/>
      <c r="K80" s="138"/>
      <c r="L80" s="138"/>
      <c r="M80" s="138"/>
      <c r="N80" s="148" t="s">
        <v>1098</v>
      </c>
      <c r="O80" s="138"/>
      <c r="P80" s="138"/>
      <c r="Q80" s="138"/>
      <c r="R80" s="138"/>
      <c r="S80" s="138"/>
      <c r="T80" s="138"/>
      <c r="U80" s="138"/>
      <c r="V80" s="138"/>
      <c r="W80" s="138"/>
      <c r="X80" s="138"/>
      <c r="Y80" s="138"/>
      <c r="Z80" s="138"/>
      <c r="AA80" s="138"/>
      <c r="AB80" s="138"/>
      <c r="AC80" s="138"/>
      <c r="AD80" s="245"/>
      <c r="AE80" s="138"/>
      <c r="AF80" s="138"/>
      <c r="AG80" s="138"/>
      <c r="AH80" s="138"/>
      <c r="AI80" s="138"/>
      <c r="AJ80" s="138"/>
      <c r="AK80" s="138"/>
      <c r="AL80" s="138"/>
      <c r="AM80" s="138"/>
      <c r="AN80" s="138"/>
      <c r="AO80" s="138"/>
      <c r="AP80" s="246"/>
      <c r="AQ80" s="135"/>
      <c r="AR80" s="135"/>
      <c r="AS80" s="135"/>
      <c r="AT80" s="135"/>
      <c r="AU80" s="135"/>
      <c r="AV80" s="135"/>
      <c r="AW80" s="135"/>
      <c r="AX80" s="135"/>
      <c r="AY80" s="135"/>
    </row>
    <row r="81" spans="1:51" s="137" customFormat="1" ht="15.75" x14ac:dyDescent="0.2">
      <c r="A81" s="133"/>
      <c r="B81" s="134"/>
      <c r="C81" s="135"/>
      <c r="D81" s="136"/>
      <c r="E81" s="13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row>
    <row r="82" spans="1:51" s="137" customFormat="1" ht="15.75" x14ac:dyDescent="0.2">
      <c r="A82" s="225"/>
      <c r="C82" s="139"/>
      <c r="D82" s="248"/>
      <c r="E82" s="248"/>
    </row>
    <row r="83" spans="1:51" s="137" customFormat="1" ht="15.75" x14ac:dyDescent="0.2">
      <c r="A83" s="225"/>
      <c r="C83" s="139"/>
      <c r="D83" s="248"/>
      <c r="E83" s="248"/>
    </row>
    <row r="84" spans="1:51" s="137" customFormat="1" ht="15.75" x14ac:dyDescent="0.2">
      <c r="A84" s="225"/>
      <c r="C84" s="139"/>
      <c r="D84" s="248"/>
      <c r="E84" s="248"/>
    </row>
    <row r="85" spans="1:51" s="137" customFormat="1" ht="15.75" x14ac:dyDescent="0.2">
      <c r="A85" s="225"/>
      <c r="C85" s="139"/>
      <c r="D85" s="248"/>
      <c r="E85" s="248"/>
    </row>
    <row r="86" spans="1:51" s="137" customFormat="1" ht="15.75" x14ac:dyDescent="0.2">
      <c r="A86" s="225"/>
      <c r="C86" s="139"/>
      <c r="D86" s="248"/>
      <c r="E86" s="248"/>
    </row>
    <row r="87" spans="1:51" s="137" customFormat="1" ht="15.75" x14ac:dyDescent="0.2">
      <c r="A87" s="225"/>
      <c r="C87" s="139"/>
      <c r="D87" s="248"/>
      <c r="E87" s="248"/>
    </row>
    <row r="88" spans="1:51" s="137" customFormat="1" ht="15.75" x14ac:dyDescent="0.2">
      <c r="A88" s="225"/>
      <c r="C88" s="139"/>
      <c r="D88" s="248"/>
      <c r="E88" s="248"/>
    </row>
    <row r="89" spans="1:51" s="137" customFormat="1" ht="15.75" x14ac:dyDescent="0.2">
      <c r="A89" s="225"/>
      <c r="C89" s="139"/>
      <c r="D89" s="248"/>
      <c r="E89" s="248"/>
    </row>
    <row r="90" spans="1:51" s="137" customFormat="1" ht="15.75" x14ac:dyDescent="0.2">
      <c r="A90" s="225"/>
      <c r="C90" s="139"/>
      <c r="D90" s="248"/>
      <c r="E90" s="248"/>
    </row>
    <row r="91" spans="1:51" s="137" customFormat="1" ht="15.75" x14ac:dyDescent="0.2">
      <c r="A91" s="225"/>
      <c r="C91" s="139"/>
      <c r="D91" s="248"/>
      <c r="E91" s="248"/>
    </row>
    <row r="92" spans="1:51" s="137" customFormat="1" ht="15.75" x14ac:dyDescent="0.2">
      <c r="A92" s="225"/>
      <c r="C92" s="139"/>
      <c r="D92" s="248"/>
      <c r="E92" s="248"/>
    </row>
    <row r="93" spans="1:51" s="137" customFormat="1" ht="15.75" x14ac:dyDescent="0.2">
      <c r="A93" s="225"/>
      <c r="C93" s="139"/>
      <c r="D93" s="248"/>
      <c r="E93" s="248"/>
    </row>
    <row r="94" spans="1:51" s="137" customFormat="1" ht="15.75" x14ac:dyDescent="0.2">
      <c r="A94" s="225"/>
      <c r="C94" s="139"/>
      <c r="D94" s="248"/>
      <c r="E94" s="248"/>
    </row>
    <row r="95" spans="1:51" s="137" customFormat="1" ht="15.75" x14ac:dyDescent="0.2">
      <c r="A95" s="225"/>
      <c r="C95" s="139"/>
      <c r="D95" s="248"/>
      <c r="E95" s="248"/>
    </row>
    <row r="96" spans="1:51" s="137" customFormat="1" ht="15.75" x14ac:dyDescent="0.2">
      <c r="A96" s="225"/>
      <c r="C96" s="139"/>
      <c r="D96" s="248"/>
      <c r="E96" s="248"/>
    </row>
    <row r="97" spans="1:5" s="137" customFormat="1" ht="15.75" x14ac:dyDescent="0.2">
      <c r="A97" s="225"/>
      <c r="C97" s="139"/>
      <c r="D97" s="248"/>
      <c r="E97" s="248"/>
    </row>
    <row r="98" spans="1:5" s="137" customFormat="1" ht="15.75" x14ac:dyDescent="0.2">
      <c r="A98" s="225"/>
      <c r="C98" s="139"/>
      <c r="D98" s="248"/>
      <c r="E98" s="248"/>
    </row>
    <row r="99" spans="1:5" s="137" customFormat="1" ht="15.75" x14ac:dyDescent="0.2">
      <c r="A99" s="225"/>
      <c r="C99" s="139"/>
      <c r="D99" s="248"/>
      <c r="E99" s="248"/>
    </row>
    <row r="100" spans="1:5" s="137" customFormat="1" ht="15.75" x14ac:dyDescent="0.2">
      <c r="A100" s="225"/>
      <c r="C100" s="139"/>
      <c r="D100" s="248"/>
      <c r="E100" s="248"/>
    </row>
    <row r="101" spans="1:5" s="137" customFormat="1" ht="15.75" x14ac:dyDescent="0.2">
      <c r="A101" s="225"/>
      <c r="C101" s="139"/>
      <c r="D101" s="248"/>
      <c r="E101" s="248"/>
    </row>
    <row r="102" spans="1:5" s="137" customFormat="1" ht="15.75" x14ac:dyDescent="0.2">
      <c r="A102" s="225"/>
      <c r="C102" s="139"/>
      <c r="D102" s="248"/>
      <c r="E102" s="248"/>
    </row>
    <row r="103" spans="1:5" s="137" customFormat="1" ht="15.75" x14ac:dyDescent="0.2">
      <c r="A103" s="225"/>
      <c r="C103" s="139"/>
      <c r="D103" s="248"/>
      <c r="E103" s="248"/>
    </row>
    <row r="104" spans="1:5" s="137" customFormat="1" ht="15.75" x14ac:dyDescent="0.2">
      <c r="A104" s="225"/>
      <c r="C104" s="139"/>
      <c r="D104" s="248"/>
      <c r="E104" s="248"/>
    </row>
    <row r="105" spans="1:5" s="137" customFormat="1" ht="15.75" x14ac:dyDescent="0.2">
      <c r="A105" s="225"/>
      <c r="C105" s="139"/>
      <c r="D105" s="248"/>
      <c r="E105" s="248"/>
    </row>
    <row r="106" spans="1:5" s="137" customFormat="1" ht="15.75" x14ac:dyDescent="0.2">
      <c r="A106" s="225"/>
      <c r="C106" s="139"/>
      <c r="D106" s="248"/>
      <c r="E106" s="248"/>
    </row>
    <row r="107" spans="1:5" s="137" customFormat="1" ht="15.75" x14ac:dyDescent="0.2">
      <c r="A107" s="225"/>
      <c r="C107" s="139"/>
      <c r="D107" s="248"/>
      <c r="E107" s="248"/>
    </row>
    <row r="108" spans="1:5" s="137" customFormat="1" ht="15.75" x14ac:dyDescent="0.2">
      <c r="A108" s="225"/>
      <c r="C108" s="139"/>
      <c r="D108" s="248"/>
      <c r="E108" s="248"/>
    </row>
    <row r="109" spans="1:5" s="137" customFormat="1" ht="15.75" x14ac:dyDescent="0.2">
      <c r="A109" s="225"/>
      <c r="C109" s="139"/>
      <c r="D109" s="248"/>
      <c r="E109" s="248"/>
    </row>
    <row r="110" spans="1:5" s="137" customFormat="1" ht="15.75" x14ac:dyDescent="0.2">
      <c r="A110" s="225"/>
      <c r="C110" s="139"/>
      <c r="D110" s="248"/>
      <c r="E110" s="248"/>
    </row>
    <row r="111" spans="1:5" s="137" customFormat="1" ht="15.75" x14ac:dyDescent="0.2">
      <c r="A111" s="225"/>
      <c r="C111" s="139"/>
      <c r="D111" s="248"/>
      <c r="E111" s="248"/>
    </row>
    <row r="112" spans="1:5" s="137" customFormat="1" ht="15.75" x14ac:dyDescent="0.2">
      <c r="A112" s="225"/>
      <c r="C112" s="139"/>
      <c r="D112" s="248"/>
      <c r="E112" s="248"/>
    </row>
    <row r="113" spans="1:5" s="137" customFormat="1" ht="15.75" x14ac:dyDescent="0.2">
      <c r="A113" s="225"/>
      <c r="C113" s="139"/>
      <c r="D113" s="248"/>
      <c r="E113" s="248"/>
    </row>
    <row r="114" spans="1:5" s="137" customFormat="1" ht="15.75" x14ac:dyDescent="0.2">
      <c r="A114" s="225"/>
      <c r="C114" s="139"/>
      <c r="D114" s="248"/>
      <c r="E114" s="248"/>
    </row>
    <row r="115" spans="1:5" s="137" customFormat="1" ht="15.75" x14ac:dyDescent="0.2">
      <c r="A115" s="225"/>
      <c r="C115" s="139"/>
      <c r="D115" s="248"/>
      <c r="E115" s="248"/>
    </row>
    <row r="116" spans="1:5" s="137" customFormat="1" ht="15.75" x14ac:dyDescent="0.2">
      <c r="A116" s="225"/>
      <c r="C116" s="139"/>
      <c r="D116" s="248"/>
      <c r="E116" s="248"/>
    </row>
    <row r="117" spans="1:5" s="137" customFormat="1" ht="15.75" x14ac:dyDescent="0.2">
      <c r="A117" s="225"/>
      <c r="C117" s="139"/>
      <c r="D117" s="248"/>
      <c r="E117" s="248"/>
    </row>
    <row r="118" spans="1:5" s="137" customFormat="1" ht="15.75" x14ac:dyDescent="0.2">
      <c r="A118" s="225"/>
      <c r="C118" s="139"/>
      <c r="D118" s="248"/>
      <c r="E118" s="248"/>
    </row>
    <row r="119" spans="1:5" s="137" customFormat="1" ht="15.75" x14ac:dyDescent="0.2">
      <c r="A119" s="225"/>
      <c r="C119" s="139"/>
      <c r="D119" s="248"/>
      <c r="E119" s="248"/>
    </row>
    <row r="120" spans="1:5" s="137" customFormat="1" ht="15.75" x14ac:dyDescent="0.2">
      <c r="A120" s="225"/>
      <c r="C120" s="139"/>
      <c r="D120" s="248"/>
      <c r="E120" s="248"/>
    </row>
    <row r="121" spans="1:5" s="137" customFormat="1" ht="15.75" x14ac:dyDescent="0.2">
      <c r="A121" s="225"/>
      <c r="C121" s="139"/>
      <c r="D121" s="248"/>
      <c r="E121" s="248"/>
    </row>
    <row r="122" spans="1:5" s="137" customFormat="1" ht="15.75" x14ac:dyDescent="0.2">
      <c r="A122" s="225"/>
      <c r="C122" s="139"/>
      <c r="D122" s="248"/>
      <c r="E122" s="248"/>
    </row>
    <row r="123" spans="1:5" s="137" customFormat="1" ht="15.75" x14ac:dyDescent="0.2">
      <c r="A123" s="225"/>
      <c r="C123" s="139"/>
      <c r="D123" s="248"/>
      <c r="E123" s="248"/>
    </row>
    <row r="124" spans="1:5" s="137" customFormat="1" ht="15.75" x14ac:dyDescent="0.2">
      <c r="A124" s="225"/>
      <c r="C124" s="139"/>
      <c r="D124" s="248"/>
      <c r="E124" s="248"/>
    </row>
    <row r="125" spans="1:5" s="137" customFormat="1" ht="15.75" x14ac:dyDescent="0.2">
      <c r="A125" s="225"/>
      <c r="C125" s="139"/>
      <c r="D125" s="248"/>
      <c r="E125" s="248"/>
    </row>
    <row r="126" spans="1:5" s="137" customFormat="1" ht="15.75" x14ac:dyDescent="0.2">
      <c r="A126" s="225"/>
      <c r="C126" s="139"/>
      <c r="D126" s="248"/>
      <c r="E126" s="248"/>
    </row>
    <row r="127" spans="1:5" s="137" customFormat="1" ht="15.75" x14ac:dyDescent="0.2">
      <c r="A127" s="225"/>
      <c r="C127" s="139"/>
      <c r="D127" s="248"/>
      <c r="E127" s="248"/>
    </row>
    <row r="128" spans="1:5" s="137" customFormat="1" ht="15.75" x14ac:dyDescent="0.2">
      <c r="A128" s="225"/>
      <c r="C128" s="139"/>
      <c r="D128" s="248"/>
      <c r="E128" s="248"/>
    </row>
    <row r="129" spans="1:5" s="137" customFormat="1" ht="15.75" x14ac:dyDescent="0.2">
      <c r="A129" s="225"/>
      <c r="C129" s="139"/>
      <c r="D129" s="248"/>
      <c r="E129" s="248"/>
    </row>
    <row r="130" spans="1:5" s="137" customFormat="1" ht="15.75" x14ac:dyDescent="0.2">
      <c r="A130" s="225"/>
      <c r="C130" s="139"/>
      <c r="D130" s="248"/>
      <c r="E130" s="248"/>
    </row>
    <row r="131" spans="1:5" s="137" customFormat="1" ht="15.75" x14ac:dyDescent="0.2">
      <c r="A131" s="225"/>
      <c r="C131" s="139"/>
      <c r="D131" s="248"/>
      <c r="E131" s="248"/>
    </row>
    <row r="132" spans="1:5" s="137" customFormat="1" ht="15.75" x14ac:dyDescent="0.2">
      <c r="A132" s="225"/>
      <c r="C132" s="139"/>
      <c r="D132" s="248"/>
      <c r="E132" s="248"/>
    </row>
    <row r="133" spans="1:5" s="137" customFormat="1" ht="15.75" x14ac:dyDescent="0.2">
      <c r="A133" s="225"/>
      <c r="C133" s="139"/>
      <c r="D133" s="248"/>
      <c r="E133" s="248"/>
    </row>
    <row r="134" spans="1:5" s="137" customFormat="1" ht="15.75" x14ac:dyDescent="0.2">
      <c r="A134" s="225"/>
      <c r="C134" s="139"/>
      <c r="D134" s="248"/>
      <c r="E134" s="248"/>
    </row>
    <row r="135" spans="1:5" s="137" customFormat="1" ht="15.75" x14ac:dyDescent="0.2">
      <c r="A135" s="225"/>
      <c r="C135" s="139"/>
      <c r="D135" s="248"/>
      <c r="E135" s="248"/>
    </row>
    <row r="136" spans="1:5" s="137" customFormat="1" ht="15.75" x14ac:dyDescent="0.2">
      <c r="A136" s="225"/>
      <c r="C136" s="139"/>
      <c r="D136" s="248"/>
      <c r="E136" s="248"/>
    </row>
    <row r="137" spans="1:5" s="137" customFormat="1" ht="15.75" x14ac:dyDescent="0.2">
      <c r="A137" s="225"/>
      <c r="C137" s="139"/>
      <c r="D137" s="248"/>
      <c r="E137" s="248"/>
    </row>
    <row r="138" spans="1:5" s="137" customFormat="1" ht="15.75" x14ac:dyDescent="0.2">
      <c r="A138" s="225"/>
      <c r="C138" s="139"/>
      <c r="D138" s="248"/>
      <c r="E138" s="248"/>
    </row>
    <row r="139" spans="1:5" s="137" customFormat="1" ht="15.75" x14ac:dyDescent="0.2">
      <c r="A139" s="225"/>
      <c r="C139" s="139"/>
      <c r="D139" s="248"/>
      <c r="E139" s="248"/>
    </row>
    <row r="140" spans="1:5" s="137" customFormat="1" ht="15.75" x14ac:dyDescent="0.2">
      <c r="A140" s="225"/>
      <c r="C140" s="139"/>
      <c r="D140" s="248"/>
      <c r="E140" s="248"/>
    </row>
    <row r="141" spans="1:5" s="137" customFormat="1" ht="15.75" x14ac:dyDescent="0.2">
      <c r="A141" s="225"/>
      <c r="C141" s="139"/>
      <c r="D141" s="248"/>
      <c r="E141" s="248"/>
    </row>
    <row r="142" spans="1:5" s="137" customFormat="1" ht="15.75" x14ac:dyDescent="0.2">
      <c r="A142" s="225"/>
      <c r="C142" s="139"/>
      <c r="D142" s="248"/>
      <c r="E142" s="248"/>
    </row>
    <row r="143" spans="1:5" s="137" customFormat="1" ht="15.75" x14ac:dyDescent="0.2">
      <c r="A143" s="225"/>
      <c r="C143" s="139"/>
      <c r="D143" s="248"/>
      <c r="E143" s="248"/>
    </row>
    <row r="144" spans="1:5" s="137" customFormat="1" ht="15.75" x14ac:dyDescent="0.2">
      <c r="A144" s="225"/>
      <c r="C144" s="139"/>
      <c r="D144" s="248"/>
      <c r="E144" s="248"/>
    </row>
    <row r="145" spans="1:5" s="137" customFormat="1" ht="15.75" x14ac:dyDescent="0.2">
      <c r="A145" s="225"/>
      <c r="C145" s="139"/>
      <c r="D145" s="248"/>
      <c r="E145" s="248"/>
    </row>
    <row r="146" spans="1:5" s="137" customFormat="1" ht="15.75" x14ac:dyDescent="0.2">
      <c r="A146" s="225"/>
      <c r="C146" s="139"/>
      <c r="D146" s="248"/>
      <c r="E146" s="248"/>
    </row>
    <row r="147" spans="1:5" s="137" customFormat="1" ht="15.75" x14ac:dyDescent="0.2">
      <c r="A147" s="225"/>
      <c r="C147" s="139"/>
      <c r="D147" s="248"/>
      <c r="E147" s="248"/>
    </row>
    <row r="148" spans="1:5" s="137" customFormat="1" ht="15.75" x14ac:dyDescent="0.2">
      <c r="A148" s="225"/>
      <c r="C148" s="139"/>
      <c r="D148" s="248"/>
      <c r="E148" s="248"/>
    </row>
    <row r="149" spans="1:5" s="137" customFormat="1" ht="15.75" x14ac:dyDescent="0.2">
      <c r="A149" s="225"/>
      <c r="C149" s="139"/>
      <c r="D149" s="248"/>
      <c r="E149" s="248"/>
    </row>
    <row r="150" spans="1:5" s="137" customFormat="1" ht="15.75" x14ac:dyDescent="0.2">
      <c r="A150" s="225"/>
      <c r="C150" s="139"/>
      <c r="D150" s="248"/>
      <c r="E150" s="248"/>
    </row>
    <row r="151" spans="1:5" s="137" customFormat="1" ht="15.75" x14ac:dyDescent="0.2">
      <c r="A151" s="225"/>
      <c r="C151" s="139"/>
      <c r="D151" s="248"/>
      <c r="E151" s="248"/>
    </row>
    <row r="152" spans="1:5" s="137" customFormat="1" ht="15.75" x14ac:dyDescent="0.2">
      <c r="A152" s="225"/>
      <c r="C152" s="139"/>
      <c r="D152" s="248"/>
      <c r="E152" s="248"/>
    </row>
    <row r="153" spans="1:5" s="137" customFormat="1" ht="15.75" x14ac:dyDescent="0.2">
      <c r="A153" s="225"/>
      <c r="C153" s="139"/>
      <c r="D153" s="248"/>
      <c r="E153" s="248"/>
    </row>
    <row r="154" spans="1:5" s="137" customFormat="1" ht="15.75" x14ac:dyDescent="0.2">
      <c r="A154" s="225"/>
      <c r="C154" s="139"/>
      <c r="D154" s="248"/>
      <c r="E154" s="248"/>
    </row>
    <row r="155" spans="1:5" s="137" customFormat="1" ht="15.75" x14ac:dyDescent="0.2">
      <c r="A155" s="225"/>
      <c r="C155" s="139"/>
      <c r="D155" s="248"/>
      <c r="E155" s="248"/>
    </row>
    <row r="156" spans="1:5" s="137" customFormat="1" ht="15.75" x14ac:dyDescent="0.2">
      <c r="A156" s="225"/>
      <c r="C156" s="139"/>
      <c r="D156" s="248"/>
      <c r="E156" s="248"/>
    </row>
    <row r="157" spans="1:5" s="137" customFormat="1" ht="15.75" x14ac:dyDescent="0.2">
      <c r="A157" s="225"/>
      <c r="C157" s="139"/>
      <c r="D157" s="248"/>
      <c r="E157" s="248"/>
    </row>
    <row r="158" spans="1:5" s="137" customFormat="1" ht="15.75" x14ac:dyDescent="0.2">
      <c r="A158" s="225"/>
      <c r="C158" s="139"/>
      <c r="D158" s="248"/>
      <c r="E158" s="248"/>
    </row>
    <row r="159" spans="1:5" s="137" customFormat="1" ht="15.75" x14ac:dyDescent="0.2">
      <c r="A159" s="225"/>
      <c r="C159" s="139"/>
      <c r="D159" s="248"/>
      <c r="E159" s="248"/>
    </row>
    <row r="160" spans="1:5" s="137" customFormat="1" ht="15.75" x14ac:dyDescent="0.2">
      <c r="A160" s="225"/>
      <c r="C160" s="139"/>
      <c r="D160" s="248"/>
      <c r="E160" s="248"/>
    </row>
    <row r="161" spans="1:5" s="137" customFormat="1" ht="15.75" x14ac:dyDescent="0.2">
      <c r="A161" s="225"/>
      <c r="C161" s="139"/>
      <c r="D161" s="248"/>
      <c r="E161" s="248"/>
    </row>
    <row r="162" spans="1:5" s="137" customFormat="1" ht="15.75" x14ac:dyDescent="0.2">
      <c r="A162" s="225"/>
      <c r="C162" s="139"/>
      <c r="D162" s="248"/>
      <c r="E162" s="248"/>
    </row>
    <row r="163" spans="1:5" s="137" customFormat="1" ht="15.75" x14ac:dyDescent="0.2">
      <c r="A163" s="225"/>
      <c r="C163" s="139"/>
      <c r="D163" s="248"/>
      <c r="E163" s="248"/>
    </row>
    <row r="164" spans="1:5" s="137" customFormat="1" ht="15.75" x14ac:dyDescent="0.2">
      <c r="A164" s="225"/>
      <c r="C164" s="139"/>
      <c r="D164" s="248"/>
      <c r="E164" s="248"/>
    </row>
    <row r="165" spans="1:5" s="137" customFormat="1" ht="15.75" x14ac:dyDescent="0.2">
      <c r="A165" s="225"/>
      <c r="C165" s="139"/>
      <c r="D165" s="248"/>
      <c r="E165" s="248"/>
    </row>
    <row r="166" spans="1:5" s="137" customFormat="1" ht="15.75" x14ac:dyDescent="0.2">
      <c r="A166" s="225"/>
      <c r="C166" s="139"/>
      <c r="D166" s="248"/>
      <c r="E166" s="248"/>
    </row>
    <row r="167" spans="1:5" s="137" customFormat="1" ht="15.75" x14ac:dyDescent="0.2">
      <c r="A167" s="225"/>
      <c r="C167" s="139"/>
      <c r="D167" s="248"/>
      <c r="E167" s="248"/>
    </row>
    <row r="168" spans="1:5" s="137" customFormat="1" ht="15.75" x14ac:dyDescent="0.2">
      <c r="A168" s="225"/>
      <c r="C168" s="139"/>
      <c r="D168" s="248"/>
      <c r="E168" s="248"/>
    </row>
    <row r="169" spans="1:5" s="137" customFormat="1" ht="15.75" x14ac:dyDescent="0.2">
      <c r="A169" s="225"/>
      <c r="C169" s="139"/>
      <c r="D169" s="248"/>
      <c r="E169" s="248"/>
    </row>
    <row r="170" spans="1:5" s="137" customFormat="1" ht="15.75" x14ac:dyDescent="0.2">
      <c r="A170" s="225"/>
      <c r="C170" s="139"/>
      <c r="D170" s="248"/>
      <c r="E170" s="248"/>
    </row>
    <row r="171" spans="1:5" s="137" customFormat="1" ht="15.75" x14ac:dyDescent="0.2">
      <c r="A171" s="225"/>
      <c r="C171" s="139"/>
      <c r="D171" s="248"/>
      <c r="E171" s="248"/>
    </row>
    <row r="172" spans="1:5" s="137" customFormat="1" ht="15.75" x14ac:dyDescent="0.2">
      <c r="A172" s="225"/>
      <c r="C172" s="139"/>
      <c r="D172" s="248"/>
      <c r="E172" s="248"/>
    </row>
    <row r="173" spans="1:5" s="137" customFormat="1" ht="15.75" x14ac:dyDescent="0.2">
      <c r="A173" s="225"/>
      <c r="C173" s="139"/>
      <c r="D173" s="248"/>
      <c r="E173" s="248"/>
    </row>
    <row r="174" spans="1:5" s="137" customFormat="1" ht="15.75" x14ac:dyDescent="0.2">
      <c r="A174" s="225"/>
      <c r="C174" s="139"/>
      <c r="D174" s="248"/>
      <c r="E174" s="248"/>
    </row>
    <row r="175" spans="1:5" s="137" customFormat="1" ht="15.75" x14ac:dyDescent="0.2">
      <c r="A175" s="225"/>
      <c r="C175" s="139"/>
      <c r="D175" s="248"/>
      <c r="E175" s="248"/>
    </row>
    <row r="176" spans="1:5" s="137" customFormat="1" ht="15.75" x14ac:dyDescent="0.2">
      <c r="A176" s="225"/>
      <c r="C176" s="139"/>
      <c r="D176" s="248"/>
      <c r="E176" s="248"/>
    </row>
    <row r="177" spans="1:5" s="137" customFormat="1" ht="15.75" x14ac:dyDescent="0.2">
      <c r="A177" s="225"/>
      <c r="C177" s="139"/>
      <c r="D177" s="248"/>
      <c r="E177" s="248"/>
    </row>
    <row r="178" spans="1:5" s="137" customFormat="1" ht="15.75" x14ac:dyDescent="0.2">
      <c r="A178" s="225"/>
      <c r="C178" s="139"/>
      <c r="D178" s="248"/>
      <c r="E178" s="248"/>
    </row>
    <row r="179" spans="1:5" s="137" customFormat="1" ht="15.75" x14ac:dyDescent="0.2">
      <c r="A179" s="225"/>
      <c r="C179" s="139"/>
      <c r="D179" s="248"/>
      <c r="E179" s="248"/>
    </row>
    <row r="180" spans="1:5" s="137" customFormat="1" ht="15.75" x14ac:dyDescent="0.2">
      <c r="A180" s="225"/>
      <c r="C180" s="139"/>
      <c r="D180" s="248"/>
      <c r="E180" s="248"/>
    </row>
    <row r="181" spans="1:5" s="137" customFormat="1" ht="15.75" x14ac:dyDescent="0.2">
      <c r="A181" s="225"/>
      <c r="C181" s="139"/>
      <c r="D181" s="248"/>
      <c r="E181" s="248"/>
    </row>
    <row r="182" spans="1:5" s="137" customFormat="1" ht="15.75" x14ac:dyDescent="0.2">
      <c r="A182" s="225"/>
      <c r="C182" s="139"/>
      <c r="D182" s="248"/>
      <c r="E182" s="248"/>
    </row>
    <row r="183" spans="1:5" s="137" customFormat="1" ht="15.75" x14ac:dyDescent="0.2">
      <c r="A183" s="225"/>
      <c r="C183" s="139"/>
      <c r="D183" s="248"/>
      <c r="E183" s="248"/>
    </row>
    <row r="184" spans="1:5" s="137" customFormat="1" ht="15.75" x14ac:dyDescent="0.2">
      <c r="A184" s="225"/>
      <c r="C184" s="139"/>
      <c r="D184" s="248"/>
      <c r="E184" s="248"/>
    </row>
    <row r="185" spans="1:5" s="137" customFormat="1" ht="15.75" x14ac:dyDescent="0.2">
      <c r="A185" s="225"/>
      <c r="C185" s="139"/>
      <c r="D185" s="248"/>
      <c r="E185" s="248"/>
    </row>
    <row r="186" spans="1:5" s="137" customFormat="1" ht="15.75" x14ac:dyDescent="0.2">
      <c r="A186" s="225"/>
      <c r="C186" s="139"/>
      <c r="D186" s="248"/>
      <c r="E186" s="248"/>
    </row>
    <row r="187" spans="1:5" s="137" customFormat="1" ht="15.75" x14ac:dyDescent="0.2">
      <c r="A187" s="225"/>
      <c r="C187" s="139"/>
      <c r="D187" s="248"/>
      <c r="E187" s="248"/>
    </row>
    <row r="188" spans="1:5" s="137" customFormat="1" ht="15.75" x14ac:dyDescent="0.2">
      <c r="A188" s="225"/>
      <c r="C188" s="139"/>
      <c r="D188" s="248"/>
      <c r="E188" s="248"/>
    </row>
    <row r="189" spans="1:5" s="137" customFormat="1" ht="15.75" x14ac:dyDescent="0.2">
      <c r="A189" s="225"/>
      <c r="C189" s="139"/>
      <c r="D189" s="248"/>
      <c r="E189" s="248"/>
    </row>
    <row r="190" spans="1:5" s="137" customFormat="1" ht="15.75" x14ac:dyDescent="0.2">
      <c r="A190" s="225"/>
      <c r="C190" s="139"/>
      <c r="D190" s="248"/>
      <c r="E190" s="248"/>
    </row>
    <row r="191" spans="1:5" s="137" customFormat="1" ht="15.75" x14ac:dyDescent="0.2">
      <c r="A191" s="225"/>
      <c r="C191" s="139"/>
      <c r="D191" s="248"/>
      <c r="E191" s="248"/>
    </row>
    <row r="192" spans="1:5" s="137" customFormat="1" ht="15.75" x14ac:dyDescent="0.2">
      <c r="A192" s="225"/>
      <c r="C192" s="139"/>
      <c r="D192" s="248"/>
      <c r="E192" s="248"/>
    </row>
    <row r="193" spans="1:5" s="137" customFormat="1" ht="15.75" x14ac:dyDescent="0.2">
      <c r="A193" s="225"/>
      <c r="C193" s="139"/>
      <c r="D193" s="248"/>
      <c r="E193" s="248"/>
    </row>
    <row r="194" spans="1:5" s="137" customFormat="1" ht="15.75" x14ac:dyDescent="0.2">
      <c r="A194" s="225"/>
      <c r="C194" s="139"/>
      <c r="D194" s="248"/>
      <c r="E194" s="248"/>
    </row>
    <row r="195" spans="1:5" s="137" customFormat="1" ht="15.75" x14ac:dyDescent="0.2">
      <c r="A195" s="225"/>
      <c r="C195" s="139"/>
      <c r="D195" s="248"/>
      <c r="E195" s="248"/>
    </row>
    <row r="196" spans="1:5" s="137" customFormat="1" ht="15.75" x14ac:dyDescent="0.2">
      <c r="A196" s="225"/>
      <c r="C196" s="139"/>
      <c r="D196" s="248"/>
      <c r="E196" s="248"/>
    </row>
    <row r="197" spans="1:5" s="137" customFormat="1" ht="15.75" x14ac:dyDescent="0.2">
      <c r="A197" s="225"/>
      <c r="C197" s="139"/>
      <c r="D197" s="248"/>
      <c r="E197" s="248"/>
    </row>
    <row r="198" spans="1:5" s="137" customFormat="1" ht="15.75" x14ac:dyDescent="0.2">
      <c r="A198" s="225"/>
      <c r="C198" s="139"/>
      <c r="D198" s="248"/>
      <c r="E198" s="248"/>
    </row>
    <row r="199" spans="1:5" s="137" customFormat="1" ht="15.75" x14ac:dyDescent="0.2">
      <c r="A199" s="225"/>
      <c r="C199" s="139"/>
      <c r="D199" s="248"/>
      <c r="E199" s="248"/>
    </row>
    <row r="200" spans="1:5" s="137" customFormat="1" ht="15.75" x14ac:dyDescent="0.2">
      <c r="A200" s="225"/>
      <c r="C200" s="139"/>
      <c r="D200" s="248"/>
      <c r="E200" s="248"/>
    </row>
    <row r="201" spans="1:5" s="137" customFormat="1" ht="15.75" x14ac:dyDescent="0.2">
      <c r="A201" s="225"/>
      <c r="C201" s="139"/>
      <c r="D201" s="248"/>
      <c r="E201" s="248"/>
    </row>
    <row r="202" spans="1:5" s="137" customFormat="1" ht="15.75" x14ac:dyDescent="0.2">
      <c r="A202" s="225"/>
      <c r="C202" s="139"/>
      <c r="D202" s="248"/>
      <c r="E202" s="248"/>
    </row>
    <row r="203" spans="1:5" s="137" customFormat="1" ht="15.75" x14ac:dyDescent="0.2">
      <c r="A203" s="225"/>
      <c r="C203" s="139"/>
      <c r="D203" s="248"/>
      <c r="E203" s="248"/>
    </row>
    <row r="204" spans="1:5" s="137" customFormat="1" ht="15.75" x14ac:dyDescent="0.2">
      <c r="A204" s="225"/>
      <c r="C204" s="139"/>
      <c r="D204" s="248"/>
      <c r="E204" s="248"/>
    </row>
    <row r="205" spans="1:5" s="137" customFormat="1" ht="15.75" x14ac:dyDescent="0.2">
      <c r="A205" s="225"/>
      <c r="C205" s="139"/>
      <c r="D205" s="248"/>
      <c r="E205" s="248"/>
    </row>
    <row r="206" spans="1:5" s="137" customFormat="1" ht="15.75" x14ac:dyDescent="0.2">
      <c r="A206" s="225"/>
      <c r="C206" s="139"/>
      <c r="D206" s="248"/>
      <c r="E206" s="248"/>
    </row>
    <row r="207" spans="1:5" s="137" customFormat="1" ht="15.75" x14ac:dyDescent="0.2">
      <c r="A207" s="225"/>
      <c r="C207" s="139"/>
      <c r="D207" s="248"/>
      <c r="E207" s="248"/>
    </row>
    <row r="208" spans="1:5" s="137" customFormat="1" ht="15.75" x14ac:dyDescent="0.2">
      <c r="A208" s="225"/>
      <c r="C208" s="139"/>
      <c r="D208" s="248"/>
      <c r="E208" s="248"/>
    </row>
    <row r="209" spans="1:5" s="137" customFormat="1" ht="15.75" x14ac:dyDescent="0.2">
      <c r="A209" s="225"/>
      <c r="C209" s="139"/>
      <c r="D209" s="248"/>
      <c r="E209" s="248"/>
    </row>
    <row r="210" spans="1:5" s="137" customFormat="1" ht="15.75" x14ac:dyDescent="0.2">
      <c r="A210" s="225"/>
      <c r="C210" s="139"/>
      <c r="D210" s="248"/>
      <c r="E210" s="248"/>
    </row>
    <row r="211" spans="1:5" s="137" customFormat="1" ht="15.75" x14ac:dyDescent="0.2">
      <c r="A211" s="225"/>
      <c r="C211" s="139"/>
      <c r="D211" s="248"/>
      <c r="E211" s="248"/>
    </row>
    <row r="212" spans="1:5" s="137" customFormat="1" ht="15.75" x14ac:dyDescent="0.2">
      <c r="A212" s="225"/>
      <c r="C212" s="139"/>
      <c r="D212" s="248"/>
      <c r="E212" s="248"/>
    </row>
    <row r="213" spans="1:5" s="137" customFormat="1" ht="15.75" x14ac:dyDescent="0.2">
      <c r="A213" s="225"/>
      <c r="C213" s="139"/>
      <c r="D213" s="248"/>
      <c r="E213" s="248"/>
    </row>
    <row r="214" spans="1:5" s="137" customFormat="1" ht="15.75" x14ac:dyDescent="0.2">
      <c r="A214" s="225"/>
      <c r="C214" s="139"/>
      <c r="D214" s="248"/>
      <c r="E214" s="248"/>
    </row>
    <row r="215" spans="1:5" s="137" customFormat="1" ht="15.75" x14ac:dyDescent="0.2">
      <c r="A215" s="225"/>
      <c r="C215" s="139"/>
      <c r="D215" s="248"/>
      <c r="E215" s="248"/>
    </row>
    <row r="216" spans="1:5" s="137" customFormat="1" ht="15.75" x14ac:dyDescent="0.2">
      <c r="A216" s="225"/>
      <c r="C216" s="139"/>
      <c r="D216" s="248"/>
      <c r="E216" s="248"/>
    </row>
    <row r="217" spans="1:5" s="137" customFormat="1" ht="15.75" x14ac:dyDescent="0.2">
      <c r="A217" s="225"/>
      <c r="C217" s="139"/>
      <c r="D217" s="248"/>
      <c r="E217" s="248"/>
    </row>
    <row r="218" spans="1:5" s="137" customFormat="1" ht="15.75" x14ac:dyDescent="0.2">
      <c r="A218" s="225"/>
      <c r="C218" s="139"/>
      <c r="D218" s="248"/>
      <c r="E218" s="248"/>
    </row>
    <row r="219" spans="1:5" s="137" customFormat="1" ht="15.75" x14ac:dyDescent="0.2">
      <c r="A219" s="225"/>
      <c r="C219" s="139"/>
      <c r="D219" s="248"/>
      <c r="E219" s="248"/>
    </row>
    <row r="220" spans="1:5" s="137" customFormat="1" ht="15.75" x14ac:dyDescent="0.2">
      <c r="A220" s="225"/>
      <c r="C220" s="139"/>
      <c r="D220" s="248"/>
      <c r="E220" s="248"/>
    </row>
    <row r="221" spans="1:5" s="137" customFormat="1" ht="15.75" x14ac:dyDescent="0.2">
      <c r="A221" s="225"/>
      <c r="C221" s="139"/>
      <c r="D221" s="248"/>
      <c r="E221" s="248"/>
    </row>
    <row r="222" spans="1:5" s="137" customFormat="1" ht="15.75" x14ac:dyDescent="0.2">
      <c r="A222" s="225"/>
      <c r="C222" s="139"/>
      <c r="D222" s="248"/>
      <c r="E222" s="248"/>
    </row>
    <row r="223" spans="1:5" s="137" customFormat="1" ht="15.75" x14ac:dyDescent="0.2">
      <c r="A223" s="225"/>
      <c r="C223" s="139"/>
      <c r="D223" s="248"/>
      <c r="E223" s="248"/>
    </row>
    <row r="224" spans="1:5" s="137" customFormat="1" ht="15.75" x14ac:dyDescent="0.2">
      <c r="A224" s="225"/>
      <c r="C224" s="139"/>
      <c r="D224" s="248"/>
      <c r="E224" s="248"/>
    </row>
    <row r="225" spans="1:5" s="137" customFormat="1" ht="15.75" x14ac:dyDescent="0.2">
      <c r="A225" s="225"/>
      <c r="C225" s="139"/>
      <c r="D225" s="248"/>
      <c r="E225" s="248"/>
    </row>
    <row r="226" spans="1:5" s="137" customFormat="1" ht="15.75" x14ac:dyDescent="0.2">
      <c r="A226" s="225"/>
      <c r="C226" s="139"/>
      <c r="D226" s="248"/>
      <c r="E226" s="248"/>
    </row>
    <row r="227" spans="1:5" s="137" customFormat="1" ht="15.75" x14ac:dyDescent="0.2">
      <c r="A227" s="225"/>
      <c r="C227" s="139"/>
      <c r="D227" s="248"/>
      <c r="E227" s="248"/>
    </row>
    <row r="228" spans="1:5" s="137" customFormat="1" ht="15.75" x14ac:dyDescent="0.2">
      <c r="A228" s="225"/>
      <c r="C228" s="139"/>
      <c r="D228" s="248"/>
      <c r="E228" s="248"/>
    </row>
    <row r="229" spans="1:5" s="137" customFormat="1" ht="15.75" x14ac:dyDescent="0.2">
      <c r="A229" s="225"/>
      <c r="C229" s="139"/>
      <c r="D229" s="248"/>
      <c r="E229" s="248"/>
    </row>
    <row r="230" spans="1:5" s="137" customFormat="1" ht="15.75" x14ac:dyDescent="0.2">
      <c r="A230" s="225"/>
      <c r="C230" s="139"/>
      <c r="D230" s="248"/>
      <c r="E230" s="248"/>
    </row>
    <row r="231" spans="1:5" s="137" customFormat="1" ht="15.75" x14ac:dyDescent="0.2">
      <c r="A231" s="225"/>
      <c r="C231" s="139"/>
      <c r="D231" s="248"/>
      <c r="E231" s="248"/>
    </row>
    <row r="232" spans="1:5" s="137" customFormat="1" ht="15.75" x14ac:dyDescent="0.2">
      <c r="A232" s="225"/>
      <c r="C232" s="139"/>
      <c r="D232" s="248"/>
      <c r="E232" s="248"/>
    </row>
    <row r="233" spans="1:5" s="137" customFormat="1" ht="15.75" x14ac:dyDescent="0.2">
      <c r="A233" s="225"/>
      <c r="C233" s="139"/>
      <c r="D233" s="248"/>
      <c r="E233" s="248"/>
    </row>
    <row r="234" spans="1:5" s="137" customFormat="1" ht="15.75" x14ac:dyDescent="0.2">
      <c r="A234" s="225"/>
      <c r="C234" s="139"/>
      <c r="D234" s="248"/>
      <c r="E234" s="248"/>
    </row>
    <row r="235" spans="1:5" s="137" customFormat="1" ht="15.75" x14ac:dyDescent="0.2">
      <c r="A235" s="225"/>
      <c r="C235" s="139"/>
      <c r="D235" s="248"/>
      <c r="E235" s="248"/>
    </row>
    <row r="236" spans="1:5" s="137" customFormat="1" ht="15.75" x14ac:dyDescent="0.2">
      <c r="A236" s="225"/>
      <c r="C236" s="139"/>
      <c r="D236" s="248"/>
      <c r="E236" s="248"/>
    </row>
    <row r="237" spans="1:5" s="137" customFormat="1" ht="15.75" x14ac:dyDescent="0.2">
      <c r="A237" s="225"/>
      <c r="C237" s="139"/>
      <c r="D237" s="248"/>
      <c r="E237" s="248"/>
    </row>
    <row r="238" spans="1:5" s="137" customFormat="1" ht="15.75" x14ac:dyDescent="0.2">
      <c r="A238" s="225"/>
      <c r="C238" s="139"/>
      <c r="D238" s="248"/>
      <c r="E238" s="248"/>
    </row>
    <row r="239" spans="1:5" s="137" customFormat="1" ht="15.75" x14ac:dyDescent="0.2">
      <c r="A239" s="225"/>
      <c r="C239" s="139"/>
      <c r="D239" s="248"/>
      <c r="E239" s="248"/>
    </row>
    <row r="240" spans="1:5" s="137" customFormat="1" ht="15.75" x14ac:dyDescent="0.2">
      <c r="A240" s="225"/>
      <c r="C240" s="139"/>
      <c r="D240" s="248"/>
      <c r="E240" s="248"/>
    </row>
    <row r="241" spans="1:5" s="137" customFormat="1" ht="15.75" x14ac:dyDescent="0.2">
      <c r="A241" s="225"/>
      <c r="C241" s="139"/>
      <c r="D241" s="248"/>
      <c r="E241" s="248"/>
    </row>
    <row r="242" spans="1:5" s="137" customFormat="1" ht="15.75" x14ac:dyDescent="0.2">
      <c r="A242" s="225"/>
      <c r="C242" s="139"/>
      <c r="D242" s="248"/>
      <c r="E242" s="248"/>
    </row>
    <row r="243" spans="1:5" s="137" customFormat="1" ht="15.75" x14ac:dyDescent="0.2">
      <c r="A243" s="225"/>
      <c r="C243" s="139"/>
      <c r="D243" s="248"/>
      <c r="E243" s="248"/>
    </row>
    <row r="244" spans="1:5" s="137" customFormat="1" ht="15.75" x14ac:dyDescent="0.2">
      <c r="A244" s="225"/>
      <c r="C244" s="139"/>
      <c r="D244" s="248"/>
      <c r="E244" s="248"/>
    </row>
    <row r="245" spans="1:5" s="137" customFormat="1" ht="15.75" x14ac:dyDescent="0.2">
      <c r="A245" s="225"/>
      <c r="C245" s="139"/>
      <c r="D245" s="248"/>
      <c r="E245" s="248"/>
    </row>
    <row r="246" spans="1:5" s="137" customFormat="1" ht="15.75" x14ac:dyDescent="0.2">
      <c r="A246" s="225"/>
      <c r="C246" s="139"/>
      <c r="D246" s="248"/>
      <c r="E246" s="248"/>
    </row>
    <row r="247" spans="1:5" s="137" customFormat="1" ht="15.75" x14ac:dyDescent="0.2">
      <c r="A247" s="225"/>
      <c r="C247" s="139"/>
      <c r="D247" s="248"/>
      <c r="E247" s="248"/>
    </row>
    <row r="248" spans="1:5" s="137" customFormat="1" ht="15.75" x14ac:dyDescent="0.2">
      <c r="A248" s="225"/>
      <c r="C248" s="139"/>
      <c r="D248" s="248"/>
      <c r="E248" s="248"/>
    </row>
    <row r="249" spans="1:5" s="137" customFormat="1" ht="15.75" x14ac:dyDescent="0.2">
      <c r="A249" s="225"/>
      <c r="C249" s="139"/>
      <c r="D249" s="248"/>
      <c r="E249" s="248"/>
    </row>
    <row r="250" spans="1:5" s="137" customFormat="1" ht="15.75" x14ac:dyDescent="0.2">
      <c r="A250" s="225"/>
      <c r="C250" s="139"/>
      <c r="D250" s="248"/>
      <c r="E250" s="248"/>
    </row>
    <row r="251" spans="1:5" s="137" customFormat="1" ht="15.75" x14ac:dyDescent="0.2">
      <c r="A251" s="225"/>
      <c r="C251" s="139"/>
      <c r="D251" s="248"/>
      <c r="E251" s="248"/>
    </row>
    <row r="252" spans="1:5" s="137" customFormat="1" ht="15.75" x14ac:dyDescent="0.2">
      <c r="A252" s="225"/>
      <c r="C252" s="139"/>
      <c r="D252" s="248"/>
      <c r="E252" s="248"/>
    </row>
    <row r="253" spans="1:5" s="137" customFormat="1" ht="15.75" x14ac:dyDescent="0.2">
      <c r="A253" s="225"/>
      <c r="C253" s="139"/>
      <c r="D253" s="248"/>
      <c r="E253" s="248"/>
    </row>
    <row r="254" spans="1:5" s="137" customFormat="1" ht="15.75" x14ac:dyDescent="0.2">
      <c r="A254" s="225"/>
      <c r="C254" s="139"/>
      <c r="D254" s="248"/>
      <c r="E254" s="248"/>
    </row>
    <row r="255" spans="1:5" s="137" customFormat="1" ht="15.75" x14ac:dyDescent="0.2">
      <c r="A255" s="225"/>
      <c r="C255" s="139"/>
      <c r="D255" s="248"/>
      <c r="E255" s="248"/>
    </row>
    <row r="256" spans="1:5" s="137" customFormat="1" ht="15.75" x14ac:dyDescent="0.2">
      <c r="A256" s="225"/>
      <c r="C256" s="139"/>
      <c r="D256" s="248"/>
      <c r="E256" s="248"/>
    </row>
    <row r="257" spans="1:5" s="137" customFormat="1" ht="15.75" x14ac:dyDescent="0.2">
      <c r="A257" s="225"/>
      <c r="C257" s="139"/>
      <c r="D257" s="248"/>
      <c r="E257" s="248"/>
    </row>
    <row r="258" spans="1:5" s="137" customFormat="1" ht="15.75" x14ac:dyDescent="0.2">
      <c r="A258" s="225"/>
      <c r="C258" s="139"/>
      <c r="D258" s="248"/>
      <c r="E258" s="248"/>
    </row>
    <row r="259" spans="1:5" s="137" customFormat="1" ht="15.75" x14ac:dyDescent="0.2">
      <c r="A259" s="225"/>
      <c r="C259" s="139"/>
      <c r="D259" s="248"/>
      <c r="E259" s="248"/>
    </row>
    <row r="260" spans="1:5" s="137" customFormat="1" ht="15.75" x14ac:dyDescent="0.2">
      <c r="A260" s="225"/>
      <c r="C260" s="139"/>
      <c r="D260" s="248"/>
      <c r="E260" s="248"/>
    </row>
    <row r="261" spans="1:5" s="137" customFormat="1" ht="15.75" x14ac:dyDescent="0.2">
      <c r="A261" s="225"/>
      <c r="C261" s="139"/>
      <c r="D261" s="248"/>
      <c r="E261" s="248"/>
    </row>
    <row r="262" spans="1:5" s="137" customFormat="1" ht="15.75" x14ac:dyDescent="0.2">
      <c r="A262" s="225"/>
      <c r="C262" s="139"/>
      <c r="D262" s="248"/>
      <c r="E262" s="248"/>
    </row>
    <row r="263" spans="1:5" s="137" customFormat="1" ht="15.75" x14ac:dyDescent="0.2">
      <c r="A263" s="225"/>
      <c r="C263" s="139"/>
      <c r="D263" s="248"/>
      <c r="E263" s="248"/>
    </row>
    <row r="264" spans="1:5" s="137" customFormat="1" ht="15.75" x14ac:dyDescent="0.2">
      <c r="A264" s="225"/>
      <c r="C264" s="139"/>
      <c r="D264" s="248"/>
      <c r="E264" s="248"/>
    </row>
    <row r="265" spans="1:5" s="137" customFormat="1" ht="15.75" x14ac:dyDescent="0.2">
      <c r="A265" s="225"/>
      <c r="C265" s="139"/>
      <c r="D265" s="248"/>
      <c r="E265" s="248"/>
    </row>
    <row r="266" spans="1:5" s="137" customFormat="1" ht="15.75" x14ac:dyDescent="0.2">
      <c r="A266" s="225"/>
      <c r="C266" s="139"/>
      <c r="D266" s="248"/>
      <c r="E266" s="248"/>
    </row>
    <row r="267" spans="1:5" s="137" customFormat="1" ht="15.75" x14ac:dyDescent="0.2">
      <c r="A267" s="225"/>
      <c r="C267" s="139"/>
      <c r="D267" s="248"/>
      <c r="E267" s="248"/>
    </row>
    <row r="268" spans="1:5" s="137" customFormat="1" ht="15.75" x14ac:dyDescent="0.2">
      <c r="A268" s="225"/>
      <c r="C268" s="139"/>
      <c r="D268" s="248"/>
      <c r="E268" s="248"/>
    </row>
    <row r="269" spans="1:5" s="137" customFormat="1" ht="15.75" x14ac:dyDescent="0.2">
      <c r="A269" s="225"/>
      <c r="C269" s="139"/>
      <c r="D269" s="248"/>
      <c r="E269" s="248"/>
    </row>
    <row r="270" spans="1:5" s="137" customFormat="1" ht="15.75" x14ac:dyDescent="0.2">
      <c r="A270" s="225"/>
      <c r="C270" s="139"/>
      <c r="D270" s="248"/>
      <c r="E270" s="248"/>
    </row>
    <row r="271" spans="1:5" s="137" customFormat="1" ht="15.75" x14ac:dyDescent="0.2">
      <c r="A271" s="225"/>
      <c r="C271" s="139"/>
      <c r="D271" s="248"/>
      <c r="E271" s="248"/>
    </row>
    <row r="272" spans="1:5" s="137" customFormat="1" ht="15.75" x14ac:dyDescent="0.2">
      <c r="A272" s="225"/>
      <c r="C272" s="139"/>
      <c r="D272" s="248"/>
      <c r="E272" s="248"/>
    </row>
    <row r="273" spans="1:5" s="137" customFormat="1" ht="15.75" x14ac:dyDescent="0.2">
      <c r="A273" s="225"/>
      <c r="C273" s="139"/>
      <c r="D273" s="248"/>
      <c r="E273" s="248"/>
    </row>
    <row r="274" spans="1:5" s="137" customFormat="1" ht="15.75" x14ac:dyDescent="0.2">
      <c r="A274" s="225"/>
      <c r="C274" s="139"/>
      <c r="D274" s="248"/>
      <c r="E274" s="248"/>
    </row>
    <row r="275" spans="1:5" s="137" customFormat="1" ht="15.75" x14ac:dyDescent="0.2">
      <c r="A275" s="225"/>
      <c r="C275" s="139"/>
      <c r="D275" s="248"/>
      <c r="E275" s="248"/>
    </row>
    <row r="276" spans="1:5" s="137" customFormat="1" ht="15.75" x14ac:dyDescent="0.2">
      <c r="A276" s="225"/>
      <c r="C276" s="139"/>
      <c r="D276" s="248"/>
      <c r="E276" s="248"/>
    </row>
    <row r="277" spans="1:5" s="137" customFormat="1" ht="15.75" x14ac:dyDescent="0.2">
      <c r="A277" s="225"/>
      <c r="C277" s="139"/>
      <c r="D277" s="248"/>
      <c r="E277" s="248"/>
    </row>
    <row r="278" spans="1:5" s="137" customFormat="1" ht="15.75" x14ac:dyDescent="0.2">
      <c r="A278" s="225"/>
      <c r="C278" s="139"/>
      <c r="D278" s="248"/>
      <c r="E278" s="248"/>
    </row>
    <row r="279" spans="1:5" s="137" customFormat="1" ht="15.75" x14ac:dyDescent="0.2">
      <c r="A279" s="225"/>
      <c r="C279" s="139"/>
      <c r="D279" s="248"/>
      <c r="E279" s="248"/>
    </row>
    <row r="280" spans="1:5" s="137" customFormat="1" ht="15.75" x14ac:dyDescent="0.2">
      <c r="A280" s="225"/>
      <c r="C280" s="139"/>
      <c r="D280" s="248"/>
      <c r="E280" s="248"/>
    </row>
    <row r="281" spans="1:5" s="137" customFormat="1" ht="15.75" x14ac:dyDescent="0.2">
      <c r="A281" s="225"/>
      <c r="C281" s="139"/>
      <c r="D281" s="248"/>
      <c r="E281" s="248"/>
    </row>
    <row r="282" spans="1:5" s="137" customFormat="1" ht="15.75" x14ac:dyDescent="0.2">
      <c r="A282" s="225"/>
      <c r="C282" s="139"/>
      <c r="D282" s="248"/>
      <c r="E282" s="248"/>
    </row>
    <row r="283" spans="1:5" s="137" customFormat="1" ht="15.75" x14ac:dyDescent="0.2">
      <c r="A283" s="225"/>
      <c r="C283" s="139"/>
      <c r="D283" s="248"/>
      <c r="E283" s="248"/>
    </row>
    <row r="284" spans="1:5" s="137" customFormat="1" ht="15.75" x14ac:dyDescent="0.2">
      <c r="A284" s="225"/>
      <c r="C284" s="139"/>
      <c r="D284" s="248"/>
      <c r="E284" s="248"/>
    </row>
    <row r="285" spans="1:5" s="137" customFormat="1" ht="15.75" x14ac:dyDescent="0.2">
      <c r="A285" s="225"/>
      <c r="C285" s="139"/>
      <c r="D285" s="248"/>
      <c r="E285" s="248"/>
    </row>
    <row r="286" spans="1:5" s="137" customFormat="1" ht="15.75" x14ac:dyDescent="0.2">
      <c r="A286" s="225"/>
      <c r="C286" s="139"/>
      <c r="D286" s="248"/>
      <c r="E286" s="248"/>
    </row>
    <row r="287" spans="1:5" s="137" customFormat="1" ht="15.75" x14ac:dyDescent="0.2">
      <c r="A287" s="225"/>
      <c r="C287" s="139"/>
      <c r="D287" s="248"/>
      <c r="E287" s="248"/>
    </row>
    <row r="288" spans="1:5" s="137" customFormat="1" ht="15.75" x14ac:dyDescent="0.2">
      <c r="A288" s="225"/>
      <c r="C288" s="139"/>
      <c r="D288" s="248"/>
      <c r="E288" s="248"/>
    </row>
    <row r="289" spans="1:5" s="137" customFormat="1" ht="15.75" x14ac:dyDescent="0.2">
      <c r="A289" s="225"/>
      <c r="C289" s="139"/>
      <c r="D289" s="248"/>
      <c r="E289" s="248"/>
    </row>
    <row r="290" spans="1:5" s="137" customFormat="1" ht="15.75" x14ac:dyDescent="0.2">
      <c r="A290" s="225"/>
      <c r="C290" s="139"/>
      <c r="D290" s="248"/>
      <c r="E290" s="248"/>
    </row>
    <row r="291" spans="1:5" s="137" customFormat="1" ht="15.75" x14ac:dyDescent="0.2">
      <c r="A291" s="225"/>
      <c r="C291" s="139"/>
      <c r="D291" s="248"/>
      <c r="E291" s="248"/>
    </row>
    <row r="292" spans="1:5" s="137" customFormat="1" ht="15.75" x14ac:dyDescent="0.2">
      <c r="A292" s="225"/>
      <c r="C292" s="139"/>
      <c r="D292" s="248"/>
      <c r="E292" s="248"/>
    </row>
    <row r="293" spans="1:5" s="137" customFormat="1" ht="15.75" x14ac:dyDescent="0.2">
      <c r="A293" s="225"/>
      <c r="C293" s="139"/>
      <c r="D293" s="248"/>
      <c r="E293" s="248"/>
    </row>
    <row r="294" spans="1:5" s="137" customFormat="1" ht="15.75" x14ac:dyDescent="0.2">
      <c r="A294" s="225"/>
      <c r="C294" s="139"/>
      <c r="D294" s="248"/>
      <c r="E294" s="248"/>
    </row>
    <row r="295" spans="1:5" s="137" customFormat="1" ht="15.75" x14ac:dyDescent="0.2">
      <c r="A295" s="225"/>
      <c r="C295" s="139"/>
      <c r="D295" s="248"/>
      <c r="E295" s="248"/>
    </row>
    <row r="296" spans="1:5" s="137" customFormat="1" ht="15.75" x14ac:dyDescent="0.2">
      <c r="A296" s="225"/>
      <c r="C296" s="139"/>
      <c r="D296" s="248"/>
      <c r="E296" s="248"/>
    </row>
    <row r="297" spans="1:5" s="137" customFormat="1" ht="15.75" x14ac:dyDescent="0.2">
      <c r="A297" s="225"/>
      <c r="C297" s="139"/>
      <c r="D297" s="248"/>
      <c r="E297" s="248"/>
    </row>
    <row r="298" spans="1:5" s="137" customFormat="1" ht="15.75" x14ac:dyDescent="0.2">
      <c r="A298" s="225"/>
      <c r="C298" s="139"/>
      <c r="D298" s="248"/>
      <c r="E298" s="248"/>
    </row>
    <row r="299" spans="1:5" s="137" customFormat="1" ht="15.75" x14ac:dyDescent="0.2">
      <c r="A299" s="225"/>
      <c r="C299" s="139"/>
      <c r="D299" s="248"/>
      <c r="E299" s="248"/>
    </row>
    <row r="300" spans="1:5" s="137" customFormat="1" ht="15.75" x14ac:dyDescent="0.2">
      <c r="A300" s="225"/>
      <c r="C300" s="139"/>
      <c r="D300" s="248"/>
      <c r="E300" s="248"/>
    </row>
    <row r="301" spans="1:5" s="137" customFormat="1" ht="15.75" x14ac:dyDescent="0.2">
      <c r="A301" s="225"/>
      <c r="C301" s="139"/>
      <c r="D301" s="248"/>
      <c r="E301" s="248"/>
    </row>
    <row r="302" spans="1:5" s="137" customFormat="1" ht="15.75" x14ac:dyDescent="0.2">
      <c r="A302" s="225"/>
      <c r="C302" s="139"/>
      <c r="D302" s="248"/>
      <c r="E302" s="248"/>
    </row>
    <row r="303" spans="1:5" s="137" customFormat="1" ht="15.75" x14ac:dyDescent="0.2">
      <c r="A303" s="225"/>
      <c r="C303" s="139"/>
      <c r="D303" s="248"/>
      <c r="E303" s="248"/>
    </row>
    <row r="304" spans="1:5" s="137" customFormat="1" ht="15.75" x14ac:dyDescent="0.2">
      <c r="A304" s="225"/>
      <c r="C304" s="139"/>
      <c r="D304" s="248"/>
      <c r="E304" s="248"/>
    </row>
    <row r="305" spans="1:5" s="137" customFormat="1" ht="15.75" x14ac:dyDescent="0.2">
      <c r="A305" s="225"/>
      <c r="C305" s="139"/>
      <c r="D305" s="248"/>
      <c r="E305" s="248"/>
    </row>
    <row r="306" spans="1:5" s="137" customFormat="1" ht="15.75" x14ac:dyDescent="0.2">
      <c r="A306" s="225"/>
      <c r="C306" s="139"/>
      <c r="D306" s="248"/>
      <c r="E306" s="248"/>
    </row>
    <row r="307" spans="1:5" s="137" customFormat="1" ht="15.75" x14ac:dyDescent="0.2">
      <c r="A307" s="225"/>
      <c r="C307" s="139"/>
      <c r="D307" s="248"/>
      <c r="E307" s="248"/>
    </row>
    <row r="308" spans="1:5" s="137" customFormat="1" ht="15.75" x14ac:dyDescent="0.2">
      <c r="A308" s="225"/>
      <c r="C308" s="139"/>
      <c r="D308" s="248"/>
      <c r="E308" s="248"/>
    </row>
    <row r="309" spans="1:5" s="137" customFormat="1" ht="15.75" x14ac:dyDescent="0.2">
      <c r="A309" s="225"/>
      <c r="C309" s="139"/>
      <c r="D309" s="248"/>
      <c r="E309" s="248"/>
    </row>
    <row r="310" spans="1:5" s="137" customFormat="1" ht="15.75" x14ac:dyDescent="0.2">
      <c r="A310" s="225"/>
      <c r="C310" s="139"/>
      <c r="D310" s="248"/>
      <c r="E310" s="248"/>
    </row>
    <row r="311" spans="1:5" s="137" customFormat="1" ht="15.75" x14ac:dyDescent="0.2">
      <c r="A311" s="225"/>
      <c r="C311" s="139"/>
      <c r="D311" s="248"/>
      <c r="E311" s="248"/>
    </row>
    <row r="312" spans="1:5" s="137" customFormat="1" ht="15.75" x14ac:dyDescent="0.2">
      <c r="A312" s="225"/>
      <c r="C312" s="139"/>
      <c r="D312" s="248"/>
      <c r="E312" s="248"/>
    </row>
    <row r="313" spans="1:5" s="137" customFormat="1" ht="15.75" x14ac:dyDescent="0.2">
      <c r="A313" s="225"/>
      <c r="C313" s="139"/>
      <c r="D313" s="248"/>
      <c r="E313" s="248"/>
    </row>
    <row r="314" spans="1:5" s="137" customFormat="1" ht="15.75" x14ac:dyDescent="0.2">
      <c r="A314" s="225"/>
      <c r="C314" s="139"/>
      <c r="D314" s="248"/>
      <c r="E314" s="248"/>
    </row>
    <row r="315" spans="1:5" s="137" customFormat="1" ht="15.75" x14ac:dyDescent="0.2">
      <c r="A315" s="225"/>
      <c r="C315" s="139"/>
      <c r="D315" s="248"/>
      <c r="E315" s="248"/>
    </row>
    <row r="316" spans="1:5" s="137" customFormat="1" ht="15.75" x14ac:dyDescent="0.2">
      <c r="A316" s="225"/>
      <c r="C316" s="139"/>
      <c r="D316" s="248"/>
      <c r="E316" s="248"/>
    </row>
    <row r="317" spans="1:5" s="137" customFormat="1" ht="15.75" x14ac:dyDescent="0.2">
      <c r="A317" s="225"/>
      <c r="C317" s="139"/>
      <c r="D317" s="248"/>
      <c r="E317" s="248"/>
    </row>
    <row r="318" spans="1:5" s="137" customFormat="1" ht="15.75" x14ac:dyDescent="0.2">
      <c r="A318" s="225"/>
      <c r="C318" s="139"/>
      <c r="D318" s="248"/>
      <c r="E318" s="248"/>
    </row>
    <row r="319" spans="1:5" s="137" customFormat="1" ht="15.75" x14ac:dyDescent="0.2">
      <c r="A319" s="225"/>
      <c r="C319" s="139"/>
      <c r="D319" s="248"/>
      <c r="E319" s="248"/>
    </row>
    <row r="320" spans="1:5" s="137" customFormat="1" ht="15.75" x14ac:dyDescent="0.2">
      <c r="A320" s="225"/>
      <c r="C320" s="139"/>
      <c r="D320" s="248"/>
      <c r="E320" s="248"/>
    </row>
    <row r="321" spans="1:5" s="137" customFormat="1" ht="15.75" x14ac:dyDescent="0.2">
      <c r="A321" s="225"/>
      <c r="C321" s="139"/>
      <c r="D321" s="248"/>
      <c r="E321" s="248"/>
    </row>
    <row r="322" spans="1:5" s="137" customFormat="1" ht="15.75" x14ac:dyDescent="0.2">
      <c r="A322" s="225"/>
      <c r="C322" s="139"/>
      <c r="D322" s="248"/>
      <c r="E322" s="248"/>
    </row>
    <row r="323" spans="1:5" s="137" customFormat="1" ht="15.75" x14ac:dyDescent="0.2">
      <c r="A323" s="225"/>
      <c r="C323" s="139"/>
      <c r="D323" s="248"/>
      <c r="E323" s="248"/>
    </row>
    <row r="324" spans="1:5" s="137" customFormat="1" ht="15.75" x14ac:dyDescent="0.2">
      <c r="A324" s="225"/>
      <c r="C324" s="139"/>
      <c r="D324" s="248"/>
      <c r="E324" s="248"/>
    </row>
    <row r="325" spans="1:5" s="137" customFormat="1" ht="15.75" x14ac:dyDescent="0.2">
      <c r="A325" s="225"/>
      <c r="C325" s="139"/>
      <c r="D325" s="248"/>
      <c r="E325" s="248"/>
    </row>
    <row r="326" spans="1:5" s="137" customFormat="1" ht="15.75" x14ac:dyDescent="0.2">
      <c r="A326" s="225"/>
      <c r="C326" s="139"/>
      <c r="D326" s="248"/>
      <c r="E326" s="248"/>
    </row>
    <row r="327" spans="1:5" s="137" customFormat="1" ht="15.75" x14ac:dyDescent="0.2">
      <c r="A327" s="225"/>
      <c r="C327" s="139"/>
      <c r="D327" s="248"/>
      <c r="E327" s="248"/>
    </row>
    <row r="328" spans="1:5" s="137" customFormat="1" ht="15.75" x14ac:dyDescent="0.2">
      <c r="A328" s="225"/>
      <c r="C328" s="139"/>
      <c r="D328" s="248"/>
      <c r="E328" s="248"/>
    </row>
    <row r="329" spans="1:5" s="137" customFormat="1" ht="15.75" x14ac:dyDescent="0.2">
      <c r="A329" s="225"/>
      <c r="C329" s="139"/>
      <c r="D329" s="248"/>
      <c r="E329" s="248"/>
    </row>
    <row r="330" spans="1:5" s="137" customFormat="1" ht="15.75" x14ac:dyDescent="0.2">
      <c r="A330" s="225"/>
      <c r="C330" s="139"/>
      <c r="D330" s="248"/>
      <c r="E330" s="248"/>
    </row>
    <row r="331" spans="1:5" s="137" customFormat="1" ht="15.75" x14ac:dyDescent="0.2">
      <c r="A331" s="225"/>
      <c r="C331" s="139"/>
      <c r="D331" s="248"/>
      <c r="E331" s="248"/>
    </row>
    <row r="332" spans="1:5" s="137" customFormat="1" ht="15.75" x14ac:dyDescent="0.2">
      <c r="A332" s="225"/>
      <c r="C332" s="139"/>
      <c r="D332" s="248"/>
      <c r="E332" s="248"/>
    </row>
    <row r="333" spans="1:5" s="137" customFormat="1" ht="15.75" x14ac:dyDescent="0.2">
      <c r="A333" s="225"/>
      <c r="C333" s="139"/>
      <c r="D333" s="248"/>
      <c r="E333" s="248"/>
    </row>
    <row r="334" spans="1:5" s="137" customFormat="1" ht="15.75" x14ac:dyDescent="0.2">
      <c r="A334" s="225"/>
      <c r="C334" s="139"/>
      <c r="D334" s="248"/>
      <c r="E334" s="248"/>
    </row>
    <row r="335" spans="1:5" s="137" customFormat="1" ht="15.75" x14ac:dyDescent="0.2">
      <c r="A335" s="225"/>
      <c r="C335" s="139"/>
      <c r="D335" s="248"/>
      <c r="E335" s="248"/>
    </row>
    <row r="336" spans="1:5" s="137" customFormat="1" ht="15.75" x14ac:dyDescent="0.2">
      <c r="A336" s="225"/>
      <c r="C336" s="139"/>
      <c r="D336" s="248"/>
      <c r="E336" s="248"/>
    </row>
    <row r="337" spans="1:5" s="137" customFormat="1" ht="15.75" x14ac:dyDescent="0.2">
      <c r="A337" s="225"/>
      <c r="C337" s="139"/>
      <c r="D337" s="248"/>
      <c r="E337" s="248"/>
    </row>
    <row r="338" spans="1:5" s="137" customFormat="1" ht="15.75" x14ac:dyDescent="0.2">
      <c r="A338" s="225"/>
      <c r="C338" s="139"/>
      <c r="D338" s="248"/>
      <c r="E338" s="248"/>
    </row>
    <row r="339" spans="1:5" s="137" customFormat="1" ht="15.75" x14ac:dyDescent="0.2">
      <c r="A339" s="225"/>
      <c r="C339" s="139"/>
      <c r="D339" s="248"/>
      <c r="E339" s="248"/>
    </row>
    <row r="340" spans="1:5" s="137" customFormat="1" ht="15.75" x14ac:dyDescent="0.2">
      <c r="A340" s="225"/>
      <c r="C340" s="139"/>
      <c r="D340" s="248"/>
      <c r="E340" s="248"/>
    </row>
    <row r="341" spans="1:5" s="137" customFormat="1" ht="15.75" x14ac:dyDescent="0.2">
      <c r="A341" s="225"/>
      <c r="C341" s="139"/>
      <c r="D341" s="248"/>
      <c r="E341" s="248"/>
    </row>
    <row r="342" spans="1:5" s="137" customFormat="1" ht="15.75" x14ac:dyDescent="0.2">
      <c r="A342" s="225"/>
      <c r="C342" s="139"/>
      <c r="D342" s="248"/>
      <c r="E342" s="248"/>
    </row>
    <row r="343" spans="1:5" s="137" customFormat="1" ht="15.75" x14ac:dyDescent="0.2">
      <c r="A343" s="225"/>
      <c r="C343" s="139"/>
      <c r="D343" s="248"/>
      <c r="E343" s="248"/>
    </row>
    <row r="344" spans="1:5" s="137" customFormat="1" ht="15.75" x14ac:dyDescent="0.2">
      <c r="A344" s="225"/>
      <c r="C344" s="139"/>
      <c r="D344" s="248"/>
      <c r="E344" s="248"/>
    </row>
    <row r="345" spans="1:5" s="137" customFormat="1" ht="15.75" x14ac:dyDescent="0.2">
      <c r="A345" s="225"/>
      <c r="C345" s="139"/>
      <c r="D345" s="248"/>
      <c r="E345" s="248"/>
    </row>
    <row r="346" spans="1:5" s="137" customFormat="1" ht="15.75" x14ac:dyDescent="0.2">
      <c r="A346" s="225"/>
      <c r="C346" s="139"/>
      <c r="D346" s="248"/>
      <c r="E346" s="248"/>
    </row>
    <row r="347" spans="1:5" s="137" customFormat="1" ht="15.75" x14ac:dyDescent="0.2">
      <c r="A347" s="225"/>
      <c r="C347" s="139"/>
      <c r="D347" s="248"/>
      <c r="E347" s="248"/>
    </row>
    <row r="348" spans="1:5" s="137" customFormat="1" ht="15.75" x14ac:dyDescent="0.2">
      <c r="A348" s="225"/>
      <c r="C348" s="139"/>
      <c r="D348" s="248"/>
      <c r="E348" s="248"/>
    </row>
    <row r="349" spans="1:5" s="137" customFormat="1" ht="15.75" x14ac:dyDescent="0.2">
      <c r="A349" s="225"/>
      <c r="C349" s="139"/>
      <c r="D349" s="248"/>
      <c r="E349" s="248"/>
    </row>
    <row r="350" spans="1:5" s="137" customFormat="1" ht="15.75" x14ac:dyDescent="0.2">
      <c r="A350" s="225"/>
      <c r="C350" s="139"/>
      <c r="D350" s="248"/>
      <c r="E350" s="248"/>
    </row>
    <row r="351" spans="1:5" s="137" customFormat="1" ht="15.75" x14ac:dyDescent="0.2">
      <c r="A351" s="225"/>
      <c r="C351" s="139"/>
      <c r="D351" s="248"/>
      <c r="E351" s="248"/>
    </row>
    <row r="352" spans="1:5" s="137" customFormat="1" ht="15.75" x14ac:dyDescent="0.2">
      <c r="A352" s="225"/>
      <c r="C352" s="139"/>
      <c r="D352" s="248"/>
      <c r="E352" s="248"/>
    </row>
    <row r="353" spans="1:5" s="137" customFormat="1" ht="15.75" x14ac:dyDescent="0.2">
      <c r="A353" s="225"/>
      <c r="C353" s="139"/>
      <c r="D353" s="248"/>
      <c r="E353" s="248"/>
    </row>
    <row r="354" spans="1:5" s="137" customFormat="1" ht="15.75" x14ac:dyDescent="0.2">
      <c r="A354" s="225"/>
      <c r="C354" s="139"/>
      <c r="D354" s="248"/>
      <c r="E354" s="248"/>
    </row>
    <row r="355" spans="1:5" s="137" customFormat="1" ht="15.75" x14ac:dyDescent="0.2">
      <c r="A355" s="225"/>
      <c r="C355" s="139"/>
      <c r="D355" s="248"/>
      <c r="E355" s="248"/>
    </row>
    <row r="356" spans="1:5" s="137" customFormat="1" ht="15.75" x14ac:dyDescent="0.2">
      <c r="A356" s="225"/>
      <c r="C356" s="139"/>
      <c r="D356" s="248"/>
      <c r="E356" s="248"/>
    </row>
    <row r="357" spans="1:5" s="137" customFormat="1" ht="15.75" x14ac:dyDescent="0.2">
      <c r="A357" s="225"/>
      <c r="C357" s="139"/>
      <c r="D357" s="248"/>
      <c r="E357" s="248"/>
    </row>
    <row r="358" spans="1:5" s="137" customFormat="1" ht="15.75" x14ac:dyDescent="0.2">
      <c r="A358" s="225"/>
      <c r="C358" s="139"/>
      <c r="D358" s="248"/>
      <c r="E358" s="248"/>
    </row>
    <row r="359" spans="1:5" s="137" customFormat="1" ht="15.75" x14ac:dyDescent="0.2">
      <c r="A359" s="225"/>
      <c r="C359" s="139"/>
      <c r="D359" s="248"/>
      <c r="E359" s="248"/>
    </row>
    <row r="360" spans="1:5" s="137" customFormat="1" ht="15.75" x14ac:dyDescent="0.2">
      <c r="A360" s="225"/>
      <c r="C360" s="139"/>
      <c r="D360" s="248"/>
      <c r="E360" s="248"/>
    </row>
    <row r="361" spans="1:5" s="137" customFormat="1" ht="15.75" x14ac:dyDescent="0.2">
      <c r="A361" s="225"/>
      <c r="C361" s="139"/>
      <c r="D361" s="248"/>
      <c r="E361" s="248"/>
    </row>
    <row r="362" spans="1:5" s="137" customFormat="1" ht="15.75" x14ac:dyDescent="0.2">
      <c r="A362" s="225"/>
      <c r="C362" s="139"/>
      <c r="D362" s="248"/>
      <c r="E362" s="248"/>
    </row>
    <row r="363" spans="1:5" s="137" customFormat="1" ht="15.75" x14ac:dyDescent="0.2">
      <c r="A363" s="225"/>
      <c r="C363" s="139"/>
      <c r="D363" s="248"/>
      <c r="E363" s="248"/>
    </row>
    <row r="364" spans="1:5" s="137" customFormat="1" ht="15.75" x14ac:dyDescent="0.2">
      <c r="A364" s="225"/>
      <c r="C364" s="139"/>
      <c r="D364" s="248"/>
      <c r="E364" s="248"/>
    </row>
    <row r="365" spans="1:5" s="137" customFormat="1" ht="15.75" x14ac:dyDescent="0.2">
      <c r="A365" s="225"/>
      <c r="C365" s="139"/>
      <c r="D365" s="248"/>
      <c r="E365" s="248"/>
    </row>
    <row r="366" spans="1:5" s="137" customFormat="1" ht="15.75" x14ac:dyDescent="0.2">
      <c r="A366" s="225"/>
      <c r="C366" s="139"/>
      <c r="D366" s="248"/>
      <c r="E366" s="248"/>
    </row>
    <row r="367" spans="1:5" s="137" customFormat="1" ht="15.75" x14ac:dyDescent="0.2">
      <c r="A367" s="225"/>
      <c r="C367" s="139"/>
      <c r="D367" s="248"/>
      <c r="E367" s="248"/>
    </row>
    <row r="368" spans="1:5" s="137" customFormat="1" ht="15.75" x14ac:dyDescent="0.2">
      <c r="A368" s="225"/>
      <c r="C368" s="139"/>
      <c r="D368" s="248"/>
      <c r="E368" s="248"/>
    </row>
    <row r="369" spans="1:5" s="137" customFormat="1" ht="15.75" x14ac:dyDescent="0.2">
      <c r="A369" s="225"/>
      <c r="C369" s="139"/>
      <c r="D369" s="248"/>
      <c r="E369" s="248"/>
    </row>
    <row r="370" spans="1:5" s="137" customFormat="1" ht="15.75" x14ac:dyDescent="0.2">
      <c r="A370" s="225"/>
      <c r="C370" s="139"/>
      <c r="D370" s="248"/>
      <c r="E370" s="248"/>
    </row>
    <row r="371" spans="1:5" s="137" customFormat="1" ht="15.75" x14ac:dyDescent="0.2">
      <c r="A371" s="225"/>
      <c r="C371" s="139"/>
      <c r="D371" s="248"/>
      <c r="E371" s="248"/>
    </row>
    <row r="372" spans="1:5" s="137" customFormat="1" ht="15.75" x14ac:dyDescent="0.2">
      <c r="A372" s="225"/>
      <c r="C372" s="139"/>
      <c r="D372" s="248"/>
      <c r="E372" s="248"/>
    </row>
    <row r="373" spans="1:5" s="137" customFormat="1" ht="15.75" x14ac:dyDescent="0.2">
      <c r="A373" s="225"/>
      <c r="C373" s="139"/>
      <c r="D373" s="248"/>
      <c r="E373" s="248"/>
    </row>
    <row r="374" spans="1:5" s="137" customFormat="1" ht="15.75" x14ac:dyDescent="0.2">
      <c r="A374" s="225"/>
      <c r="C374" s="139"/>
      <c r="D374" s="248"/>
      <c r="E374" s="248"/>
    </row>
    <row r="375" spans="1:5" s="137" customFormat="1" ht="15.75" x14ac:dyDescent="0.2">
      <c r="A375" s="225"/>
      <c r="C375" s="139"/>
      <c r="D375" s="248"/>
      <c r="E375" s="248"/>
    </row>
    <row r="376" spans="1:5" s="137" customFormat="1" ht="15.75" x14ac:dyDescent="0.2">
      <c r="A376" s="225"/>
      <c r="C376" s="139"/>
      <c r="D376" s="248"/>
      <c r="E376" s="248"/>
    </row>
    <row r="377" spans="1:5" s="137" customFormat="1" ht="15.75" x14ac:dyDescent="0.2">
      <c r="A377" s="225"/>
      <c r="C377" s="139"/>
      <c r="D377" s="248"/>
      <c r="E377" s="248"/>
    </row>
    <row r="378" spans="1:5" s="137" customFormat="1" ht="15.75" x14ac:dyDescent="0.2">
      <c r="A378" s="225"/>
      <c r="C378" s="139"/>
      <c r="D378" s="248"/>
      <c r="E378" s="248"/>
    </row>
    <row r="379" spans="1:5" s="137" customFormat="1" ht="15.75" x14ac:dyDescent="0.2">
      <c r="A379" s="225"/>
      <c r="C379" s="139"/>
      <c r="D379" s="248"/>
      <c r="E379" s="248"/>
    </row>
    <row r="380" spans="1:5" s="137" customFormat="1" ht="15.75" x14ac:dyDescent="0.2">
      <c r="A380" s="225"/>
      <c r="C380" s="139"/>
      <c r="D380" s="248"/>
      <c r="E380" s="248"/>
    </row>
    <row r="381" spans="1:5" s="137" customFormat="1" ht="15.75" x14ac:dyDescent="0.2">
      <c r="A381" s="225"/>
      <c r="C381" s="139"/>
      <c r="D381" s="248"/>
      <c r="E381" s="248"/>
    </row>
    <row r="382" spans="1:5" s="137" customFormat="1" ht="15.75" x14ac:dyDescent="0.2">
      <c r="A382" s="225"/>
      <c r="C382" s="139"/>
      <c r="D382" s="248"/>
      <c r="E382" s="248"/>
    </row>
    <row r="383" spans="1:5" s="137" customFormat="1" ht="15.75" x14ac:dyDescent="0.2">
      <c r="A383" s="225"/>
      <c r="C383" s="139"/>
      <c r="D383" s="248"/>
      <c r="E383" s="248"/>
    </row>
    <row r="384" spans="1:5" s="137" customFormat="1" ht="15.75" x14ac:dyDescent="0.2">
      <c r="A384" s="225"/>
      <c r="C384" s="139"/>
      <c r="D384" s="248"/>
      <c r="E384" s="248"/>
    </row>
    <row r="385" spans="1:5" s="137" customFormat="1" ht="15.75" x14ac:dyDescent="0.2">
      <c r="A385" s="225"/>
      <c r="C385" s="139"/>
      <c r="D385" s="248"/>
      <c r="E385" s="248"/>
    </row>
    <row r="386" spans="1:5" s="137" customFormat="1" ht="15.75" x14ac:dyDescent="0.2">
      <c r="A386" s="225"/>
      <c r="C386" s="139"/>
      <c r="D386" s="248"/>
      <c r="E386" s="248"/>
    </row>
    <row r="387" spans="1:5" s="137" customFormat="1" ht="15.75" x14ac:dyDescent="0.2">
      <c r="A387" s="225"/>
      <c r="C387" s="139"/>
      <c r="D387" s="248"/>
      <c r="E387" s="248"/>
    </row>
    <row r="388" spans="1:5" s="137" customFormat="1" ht="15.75" x14ac:dyDescent="0.2">
      <c r="A388" s="225"/>
      <c r="C388" s="139"/>
      <c r="D388" s="248"/>
      <c r="E388" s="248"/>
    </row>
    <row r="389" spans="1:5" s="137" customFormat="1" ht="15.75" x14ac:dyDescent="0.2">
      <c r="A389" s="225"/>
      <c r="C389" s="139"/>
      <c r="D389" s="248"/>
      <c r="E389" s="248"/>
    </row>
    <row r="390" spans="1:5" s="137" customFormat="1" ht="15.75" x14ac:dyDescent="0.2">
      <c r="A390" s="225"/>
      <c r="C390" s="139"/>
      <c r="D390" s="248"/>
      <c r="E390" s="248"/>
    </row>
    <row r="391" spans="1:5" s="137" customFormat="1" ht="15.75" x14ac:dyDescent="0.2">
      <c r="A391" s="225"/>
      <c r="C391" s="139"/>
      <c r="D391" s="248"/>
      <c r="E391" s="248"/>
    </row>
    <row r="392" spans="1:5" s="137" customFormat="1" ht="15.75" x14ac:dyDescent="0.2">
      <c r="A392" s="225"/>
      <c r="C392" s="139"/>
      <c r="D392" s="248"/>
      <c r="E392" s="248"/>
    </row>
    <row r="393" spans="1:5" s="137" customFormat="1" ht="15.75" x14ac:dyDescent="0.2">
      <c r="A393" s="225"/>
      <c r="C393" s="139"/>
      <c r="D393" s="248"/>
      <c r="E393" s="248"/>
    </row>
    <row r="394" spans="1:5" s="137" customFormat="1" ht="15.75" x14ac:dyDescent="0.2">
      <c r="A394" s="225"/>
      <c r="C394" s="139"/>
      <c r="D394" s="248"/>
      <c r="E394" s="248"/>
    </row>
    <row r="395" spans="1:5" s="137" customFormat="1" ht="15.75" x14ac:dyDescent="0.2">
      <c r="A395" s="225"/>
      <c r="C395" s="139"/>
      <c r="D395" s="248"/>
      <c r="E395" s="248"/>
    </row>
    <row r="396" spans="1:5" s="137" customFormat="1" ht="15.75" x14ac:dyDescent="0.2">
      <c r="A396" s="225"/>
      <c r="C396" s="139"/>
      <c r="D396" s="248"/>
      <c r="E396" s="248"/>
    </row>
    <row r="397" spans="1:5" s="137" customFormat="1" ht="15.75" x14ac:dyDescent="0.2">
      <c r="A397" s="225"/>
      <c r="C397" s="139"/>
      <c r="D397" s="248"/>
      <c r="E397" s="248"/>
    </row>
    <row r="398" spans="1:5" s="137" customFormat="1" ht="15.75" x14ac:dyDescent="0.2">
      <c r="A398" s="225"/>
      <c r="C398" s="139"/>
      <c r="D398" s="248"/>
      <c r="E398" s="248"/>
    </row>
    <row r="399" spans="1:5" s="137" customFormat="1" ht="15.75" x14ac:dyDescent="0.2">
      <c r="A399" s="225"/>
      <c r="C399" s="139"/>
      <c r="D399" s="248"/>
      <c r="E399" s="248"/>
    </row>
    <row r="400" spans="1:5" s="137" customFormat="1" ht="15.75" x14ac:dyDescent="0.2">
      <c r="A400" s="225"/>
      <c r="C400" s="139"/>
      <c r="D400" s="248"/>
      <c r="E400" s="248"/>
    </row>
    <row r="401" spans="1:5" s="137" customFormat="1" ht="15.75" x14ac:dyDescent="0.2">
      <c r="A401" s="225"/>
      <c r="C401" s="139"/>
      <c r="D401" s="248"/>
      <c r="E401" s="248"/>
    </row>
    <row r="402" spans="1:5" s="137" customFormat="1" ht="15.75" x14ac:dyDescent="0.2">
      <c r="A402" s="225"/>
      <c r="C402" s="139"/>
      <c r="D402" s="248"/>
      <c r="E402" s="248"/>
    </row>
    <row r="403" spans="1:5" s="137" customFormat="1" ht="15.75" x14ac:dyDescent="0.2">
      <c r="A403" s="225"/>
      <c r="C403" s="139"/>
      <c r="D403" s="248"/>
      <c r="E403" s="248"/>
    </row>
    <row r="404" spans="1:5" s="137" customFormat="1" ht="15.75" x14ac:dyDescent="0.2">
      <c r="A404" s="225"/>
      <c r="C404" s="139"/>
      <c r="D404" s="248"/>
      <c r="E404" s="248"/>
    </row>
    <row r="405" spans="1:5" s="137" customFormat="1" ht="15.75" x14ac:dyDescent="0.2">
      <c r="A405" s="225"/>
      <c r="C405" s="139"/>
      <c r="D405" s="248"/>
      <c r="E405" s="248"/>
    </row>
    <row r="406" spans="1:5" s="137" customFormat="1" ht="15.75" x14ac:dyDescent="0.2">
      <c r="A406" s="225"/>
      <c r="C406" s="139"/>
      <c r="D406" s="248"/>
      <c r="E406" s="248"/>
    </row>
    <row r="407" spans="1:5" s="137" customFormat="1" ht="15.75" x14ac:dyDescent="0.2">
      <c r="A407" s="225"/>
      <c r="C407" s="139"/>
      <c r="D407" s="248"/>
      <c r="E407" s="248"/>
    </row>
    <row r="408" spans="1:5" s="137" customFormat="1" ht="15.75" x14ac:dyDescent="0.2">
      <c r="A408" s="225"/>
      <c r="C408" s="139"/>
      <c r="D408" s="248"/>
      <c r="E408" s="248"/>
    </row>
    <row r="409" spans="1:5" s="137" customFormat="1" ht="15.75" x14ac:dyDescent="0.2">
      <c r="A409" s="225"/>
      <c r="C409" s="139"/>
      <c r="D409" s="248"/>
      <c r="E409" s="248"/>
    </row>
    <row r="410" spans="1:5" s="137" customFormat="1" ht="15.75" x14ac:dyDescent="0.2">
      <c r="A410" s="225"/>
      <c r="C410" s="139"/>
      <c r="D410" s="248"/>
      <c r="E410" s="248"/>
    </row>
    <row r="411" spans="1:5" s="137" customFormat="1" ht="15.75" x14ac:dyDescent="0.2">
      <c r="A411" s="225"/>
      <c r="C411" s="139"/>
      <c r="D411" s="248"/>
      <c r="E411" s="248"/>
    </row>
    <row r="412" spans="1:5" s="137" customFormat="1" ht="15.75" x14ac:dyDescent="0.2">
      <c r="A412" s="225"/>
      <c r="C412" s="139"/>
      <c r="D412" s="248"/>
      <c r="E412" s="248"/>
    </row>
    <row r="413" spans="1:5" s="137" customFormat="1" ht="15.75" x14ac:dyDescent="0.2">
      <c r="A413" s="225"/>
      <c r="C413" s="139"/>
      <c r="D413" s="248"/>
      <c r="E413" s="248"/>
    </row>
    <row r="414" spans="1:5" s="137" customFormat="1" ht="15.75" x14ac:dyDescent="0.2">
      <c r="A414" s="225"/>
      <c r="C414" s="139"/>
      <c r="D414" s="248"/>
      <c r="E414" s="248"/>
    </row>
    <row r="415" spans="1:5" s="137" customFormat="1" ht="15.75" x14ac:dyDescent="0.2">
      <c r="A415" s="225"/>
      <c r="C415" s="139"/>
      <c r="D415" s="248"/>
      <c r="E415" s="248"/>
    </row>
    <row r="416" spans="1:5" s="137" customFormat="1" ht="15.75" x14ac:dyDescent="0.2">
      <c r="A416" s="225"/>
      <c r="C416" s="139"/>
      <c r="D416" s="248"/>
      <c r="E416" s="248"/>
    </row>
    <row r="417" spans="1:5" s="137" customFormat="1" ht="15.75" x14ac:dyDescent="0.2">
      <c r="A417" s="225"/>
      <c r="C417" s="139"/>
      <c r="D417" s="248"/>
      <c r="E417" s="248"/>
    </row>
    <row r="418" spans="1:5" s="137" customFormat="1" ht="15.75" x14ac:dyDescent="0.2">
      <c r="A418" s="225"/>
      <c r="C418" s="139"/>
      <c r="D418" s="248"/>
      <c r="E418" s="248"/>
    </row>
    <row r="419" spans="1:5" s="137" customFormat="1" ht="15.75" x14ac:dyDescent="0.2">
      <c r="A419" s="225"/>
      <c r="C419" s="139"/>
      <c r="D419" s="248"/>
      <c r="E419" s="248"/>
    </row>
    <row r="420" spans="1:5" s="137" customFormat="1" ht="15.75" x14ac:dyDescent="0.2">
      <c r="A420" s="225"/>
      <c r="C420" s="139"/>
      <c r="D420" s="248"/>
      <c r="E420" s="248"/>
    </row>
    <row r="421" spans="1:5" s="137" customFormat="1" ht="15.75" x14ac:dyDescent="0.2">
      <c r="A421" s="225"/>
      <c r="C421" s="139"/>
      <c r="D421" s="248"/>
      <c r="E421" s="248"/>
    </row>
    <row r="422" spans="1:5" s="137" customFormat="1" ht="15.75" x14ac:dyDescent="0.2">
      <c r="A422" s="225"/>
      <c r="C422" s="139"/>
      <c r="D422" s="248"/>
      <c r="E422" s="248"/>
    </row>
    <row r="423" spans="1:5" s="137" customFormat="1" ht="15.75" x14ac:dyDescent="0.2">
      <c r="A423" s="225"/>
      <c r="C423" s="139"/>
      <c r="D423" s="248"/>
      <c r="E423" s="248"/>
    </row>
    <row r="424" spans="1:5" s="137" customFormat="1" ht="15.75" x14ac:dyDescent="0.2">
      <c r="A424" s="225"/>
      <c r="C424" s="139"/>
      <c r="D424" s="248"/>
      <c r="E424" s="248"/>
    </row>
    <row r="425" spans="1:5" s="137" customFormat="1" ht="15.75" x14ac:dyDescent="0.2">
      <c r="A425" s="225"/>
      <c r="C425" s="139"/>
      <c r="D425" s="248"/>
      <c r="E425" s="248"/>
    </row>
    <row r="426" spans="1:5" s="137" customFormat="1" ht="15.75" x14ac:dyDescent="0.2">
      <c r="A426" s="225"/>
      <c r="C426" s="139"/>
      <c r="D426" s="248"/>
      <c r="E426" s="248"/>
    </row>
    <row r="427" spans="1:5" s="137" customFormat="1" ht="15.75" x14ac:dyDescent="0.2">
      <c r="A427" s="225"/>
      <c r="C427" s="139"/>
      <c r="D427" s="248"/>
      <c r="E427" s="248"/>
    </row>
    <row r="428" spans="1:5" s="137" customFormat="1" ht="15.75" x14ac:dyDescent="0.2">
      <c r="A428" s="225"/>
      <c r="C428" s="139"/>
      <c r="D428" s="248"/>
      <c r="E428" s="248"/>
    </row>
    <row r="429" spans="1:5" s="137" customFormat="1" ht="15.75" x14ac:dyDescent="0.2">
      <c r="A429" s="225"/>
      <c r="C429" s="139"/>
      <c r="D429" s="248"/>
      <c r="E429" s="248"/>
    </row>
    <row r="430" spans="1:5" s="137" customFormat="1" ht="15.75" x14ac:dyDescent="0.2">
      <c r="A430" s="225"/>
      <c r="C430" s="139"/>
      <c r="D430" s="248"/>
      <c r="E430" s="248"/>
    </row>
    <row r="431" spans="1:5" s="137" customFormat="1" ht="15.75" x14ac:dyDescent="0.2">
      <c r="A431" s="225"/>
      <c r="C431" s="139"/>
      <c r="D431" s="248"/>
      <c r="E431" s="248"/>
    </row>
    <row r="432" spans="1:5" s="137" customFormat="1" ht="15.75" x14ac:dyDescent="0.2">
      <c r="A432" s="225"/>
      <c r="C432" s="139"/>
      <c r="D432" s="248"/>
      <c r="E432" s="248"/>
    </row>
    <row r="433" spans="1:5" s="137" customFormat="1" ht="15.75" x14ac:dyDescent="0.2">
      <c r="A433" s="225"/>
      <c r="C433" s="139"/>
      <c r="D433" s="248"/>
      <c r="E433" s="248"/>
    </row>
    <row r="434" spans="1:5" s="137" customFormat="1" ht="15.75" x14ac:dyDescent="0.2">
      <c r="A434" s="225"/>
      <c r="C434" s="139"/>
      <c r="D434" s="248"/>
      <c r="E434" s="248"/>
    </row>
    <row r="435" spans="1:5" s="137" customFormat="1" ht="15.75" x14ac:dyDescent="0.2">
      <c r="A435" s="225"/>
      <c r="C435" s="139"/>
      <c r="D435" s="248"/>
      <c r="E435" s="248"/>
    </row>
    <row r="436" spans="1:5" s="137" customFormat="1" ht="15.75" x14ac:dyDescent="0.2">
      <c r="A436" s="225"/>
      <c r="C436" s="139"/>
      <c r="D436" s="248"/>
      <c r="E436" s="248"/>
    </row>
    <row r="437" spans="1:5" s="137" customFormat="1" ht="15.75" x14ac:dyDescent="0.2">
      <c r="A437" s="225"/>
      <c r="C437" s="139"/>
      <c r="D437" s="248"/>
      <c r="E437" s="248"/>
    </row>
    <row r="438" spans="1:5" s="137" customFormat="1" ht="15.75" x14ac:dyDescent="0.2">
      <c r="A438" s="225"/>
      <c r="C438" s="139"/>
      <c r="D438" s="248"/>
      <c r="E438" s="248"/>
    </row>
    <row r="439" spans="1:5" s="137" customFormat="1" ht="15.75" x14ac:dyDescent="0.2">
      <c r="A439" s="225"/>
      <c r="C439" s="139"/>
      <c r="D439" s="248"/>
      <c r="E439" s="248"/>
    </row>
    <row r="440" spans="1:5" s="137" customFormat="1" ht="15.75" x14ac:dyDescent="0.2">
      <c r="A440" s="225"/>
      <c r="C440" s="139"/>
      <c r="D440" s="248"/>
      <c r="E440" s="248"/>
    </row>
    <row r="441" spans="1:5" s="137" customFormat="1" ht="15.75" x14ac:dyDescent="0.2">
      <c r="A441" s="225"/>
      <c r="C441" s="139"/>
      <c r="D441" s="248"/>
      <c r="E441" s="248"/>
    </row>
    <row r="442" spans="1:5" s="137" customFormat="1" ht="15.75" x14ac:dyDescent="0.2">
      <c r="A442" s="225"/>
      <c r="C442" s="139"/>
      <c r="D442" s="248"/>
      <c r="E442" s="248"/>
    </row>
    <row r="443" spans="1:5" s="137" customFormat="1" ht="15.75" x14ac:dyDescent="0.2">
      <c r="A443" s="225"/>
      <c r="C443" s="139"/>
      <c r="D443" s="248"/>
      <c r="E443" s="248"/>
    </row>
    <row r="444" spans="1:5" s="137" customFormat="1" ht="15.75" x14ac:dyDescent="0.2">
      <c r="A444" s="225"/>
      <c r="C444" s="139"/>
      <c r="D444" s="248"/>
      <c r="E444" s="248"/>
    </row>
    <row r="445" spans="1:5" s="137" customFormat="1" ht="15.75" x14ac:dyDescent="0.2">
      <c r="A445" s="225"/>
      <c r="C445" s="139"/>
      <c r="D445" s="248"/>
      <c r="E445" s="248"/>
    </row>
    <row r="446" spans="1:5" s="137" customFormat="1" ht="15.75" x14ac:dyDescent="0.2">
      <c r="A446" s="225"/>
      <c r="C446" s="139"/>
      <c r="D446" s="248"/>
      <c r="E446" s="248"/>
    </row>
    <row r="447" spans="1:5" s="137" customFormat="1" ht="15.75" x14ac:dyDescent="0.2">
      <c r="A447" s="225"/>
      <c r="C447" s="139"/>
      <c r="D447" s="248"/>
      <c r="E447" s="248"/>
    </row>
    <row r="448" spans="1:5" s="137" customFormat="1" ht="15.75" x14ac:dyDescent="0.2">
      <c r="A448" s="225"/>
      <c r="C448" s="139"/>
      <c r="D448" s="248"/>
      <c r="E448" s="248"/>
    </row>
    <row r="449" spans="1:5" s="137" customFormat="1" ht="15.75" x14ac:dyDescent="0.2">
      <c r="A449" s="225"/>
      <c r="C449" s="139"/>
      <c r="D449" s="248"/>
      <c r="E449" s="248"/>
    </row>
    <row r="450" spans="1:5" s="137" customFormat="1" ht="15.75" x14ac:dyDescent="0.2">
      <c r="A450" s="225"/>
      <c r="C450" s="139"/>
      <c r="D450" s="248"/>
      <c r="E450" s="248"/>
    </row>
    <row r="451" spans="1:5" s="137" customFormat="1" ht="15.75" x14ac:dyDescent="0.2">
      <c r="A451" s="225"/>
      <c r="C451" s="139"/>
      <c r="D451" s="248"/>
      <c r="E451" s="248"/>
    </row>
    <row r="452" spans="1:5" s="137" customFormat="1" ht="15.75" x14ac:dyDescent="0.2">
      <c r="A452" s="225"/>
      <c r="C452" s="139"/>
      <c r="D452" s="248"/>
      <c r="E452" s="248"/>
    </row>
    <row r="453" spans="1:5" s="137" customFormat="1" ht="15.75" x14ac:dyDescent="0.2">
      <c r="A453" s="225"/>
      <c r="C453" s="139"/>
      <c r="D453" s="248"/>
      <c r="E453" s="248"/>
    </row>
    <row r="454" spans="1:5" s="137" customFormat="1" ht="15.75" x14ac:dyDescent="0.2">
      <c r="A454" s="225"/>
      <c r="C454" s="139"/>
      <c r="D454" s="248"/>
      <c r="E454" s="248"/>
    </row>
    <row r="455" spans="1:5" s="137" customFormat="1" ht="15.75" x14ac:dyDescent="0.2">
      <c r="A455" s="225"/>
      <c r="C455" s="139"/>
      <c r="D455" s="248"/>
      <c r="E455" s="248"/>
    </row>
    <row r="456" spans="1:5" s="137" customFormat="1" ht="15.75" x14ac:dyDescent="0.2">
      <c r="A456" s="225"/>
      <c r="C456" s="139"/>
      <c r="D456" s="248"/>
      <c r="E456" s="248"/>
    </row>
    <row r="457" spans="1:5" s="137" customFormat="1" ht="15.75" x14ac:dyDescent="0.2">
      <c r="A457" s="225"/>
      <c r="C457" s="139"/>
      <c r="D457" s="248"/>
      <c r="E457" s="248"/>
    </row>
    <row r="458" spans="1:5" s="137" customFormat="1" ht="15.75" x14ac:dyDescent="0.2">
      <c r="A458" s="225"/>
      <c r="C458" s="139"/>
      <c r="D458" s="248"/>
      <c r="E458" s="248"/>
    </row>
    <row r="459" spans="1:5" s="137" customFormat="1" ht="15.75" x14ac:dyDescent="0.2">
      <c r="A459" s="225"/>
      <c r="C459" s="139"/>
      <c r="D459" s="248"/>
      <c r="E459" s="248"/>
    </row>
    <row r="460" spans="1:5" s="137" customFormat="1" ht="15.75" x14ac:dyDescent="0.2">
      <c r="A460" s="225"/>
      <c r="C460" s="139"/>
      <c r="D460" s="248"/>
      <c r="E460" s="248"/>
    </row>
    <row r="461" spans="1:5" s="137" customFormat="1" ht="15.75" x14ac:dyDescent="0.2">
      <c r="A461" s="225"/>
      <c r="C461" s="139"/>
      <c r="D461" s="248"/>
      <c r="E461" s="248"/>
    </row>
    <row r="462" spans="1:5" s="137" customFormat="1" ht="15.75" x14ac:dyDescent="0.2">
      <c r="A462" s="225"/>
      <c r="C462" s="139"/>
      <c r="D462" s="248"/>
      <c r="E462" s="248"/>
    </row>
    <row r="463" spans="1:5" s="137" customFormat="1" ht="15.75" x14ac:dyDescent="0.2">
      <c r="A463" s="225"/>
      <c r="C463" s="139"/>
      <c r="D463" s="248"/>
      <c r="E463" s="248"/>
    </row>
    <row r="464" spans="1:5" s="137" customFormat="1" ht="15.75" x14ac:dyDescent="0.2">
      <c r="A464" s="225"/>
      <c r="C464" s="139"/>
      <c r="D464" s="248"/>
      <c r="E464" s="248"/>
    </row>
    <row r="465" spans="1:5" s="137" customFormat="1" ht="15.75" x14ac:dyDescent="0.2">
      <c r="A465" s="225"/>
      <c r="C465" s="139"/>
      <c r="D465" s="248"/>
      <c r="E465" s="248"/>
    </row>
    <row r="466" spans="1:5" s="137" customFormat="1" ht="15.75" x14ac:dyDescent="0.2">
      <c r="A466" s="225"/>
      <c r="C466" s="139"/>
      <c r="D466" s="248"/>
      <c r="E466" s="248"/>
    </row>
    <row r="467" spans="1:5" s="137" customFormat="1" ht="15.75" x14ac:dyDescent="0.2">
      <c r="A467" s="225"/>
      <c r="C467" s="139"/>
      <c r="D467" s="248"/>
      <c r="E467" s="248"/>
    </row>
    <row r="468" spans="1:5" s="137" customFormat="1" ht="15.75" x14ac:dyDescent="0.2">
      <c r="A468" s="225"/>
      <c r="C468" s="139"/>
      <c r="D468" s="248"/>
      <c r="E468" s="248"/>
    </row>
    <row r="469" spans="1:5" s="137" customFormat="1" ht="15.75" x14ac:dyDescent="0.2">
      <c r="A469" s="225"/>
      <c r="C469" s="139"/>
      <c r="D469" s="248"/>
      <c r="E469" s="248"/>
    </row>
    <row r="470" spans="1:5" s="137" customFormat="1" ht="15.75" x14ac:dyDescent="0.2">
      <c r="A470" s="225"/>
      <c r="C470" s="139"/>
      <c r="D470" s="248"/>
      <c r="E470" s="248"/>
    </row>
    <row r="471" spans="1:5" s="137" customFormat="1" ht="15.75" x14ac:dyDescent="0.2">
      <c r="A471" s="225"/>
      <c r="C471" s="139"/>
      <c r="D471" s="248"/>
      <c r="E471" s="24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139" customWidth="1"/>
    <col min="2" max="3" width="10.85546875" style="248" customWidth="1"/>
    <col min="4" max="6" width="10.85546875" style="137" customWidth="1"/>
    <col min="7" max="12" width="10.85546875" style="139" customWidth="1"/>
    <col min="13" max="17" width="8.140625" style="139" customWidth="1"/>
    <col min="18" max="18" width="11.5703125" style="139" customWidth="1"/>
    <col min="19" max="16384" width="9.140625" style="139"/>
  </cols>
  <sheetData>
    <row r="1" spans="1:18" s="249" customFormat="1" ht="30" customHeight="1" thickBot="1" x14ac:dyDescent="0.3">
      <c r="A1" s="250" t="s">
        <v>1086</v>
      </c>
      <c r="B1" s="251"/>
      <c r="C1" s="251"/>
      <c r="D1" s="251"/>
      <c r="E1" s="251"/>
      <c r="F1" s="251"/>
      <c r="G1" s="251"/>
      <c r="H1" s="251"/>
      <c r="I1" s="251"/>
      <c r="J1" s="251"/>
      <c r="K1" s="251"/>
      <c r="L1" s="251"/>
      <c r="M1" s="254" t="s">
        <v>1051</v>
      </c>
      <c r="N1" s="255"/>
      <c r="O1" s="255"/>
      <c r="P1" s="255"/>
      <c r="Q1" s="255"/>
      <c r="R1" s="256"/>
    </row>
    <row r="2" spans="1:18" ht="15.75" customHeight="1" x14ac:dyDescent="0.2">
      <c r="A2" s="142"/>
      <c r="B2" s="136"/>
      <c r="C2" s="135"/>
      <c r="D2" s="135"/>
      <c r="E2" s="135"/>
      <c r="F2" s="138"/>
      <c r="G2" s="138"/>
      <c r="H2" s="138"/>
      <c r="I2" s="138"/>
      <c r="J2" s="138"/>
      <c r="K2" s="138"/>
      <c r="L2" s="138"/>
      <c r="M2" s="138"/>
      <c r="N2" s="138"/>
      <c r="O2" s="138"/>
      <c r="P2" s="138"/>
      <c r="Q2" s="138"/>
      <c r="R2" s="138"/>
    </row>
    <row r="3" spans="1:18" x14ac:dyDescent="0.2">
      <c r="A3" s="144">
        <v>1200</v>
      </c>
      <c r="B3" s="144" t="s">
        <v>1087</v>
      </c>
      <c r="C3" s="135"/>
      <c r="D3" s="135"/>
      <c r="E3" s="135"/>
      <c r="F3" s="138"/>
      <c r="G3" s="138"/>
      <c r="H3" s="138"/>
      <c r="I3" s="138"/>
      <c r="J3" s="138"/>
      <c r="K3" s="138"/>
      <c r="L3" s="138"/>
      <c r="M3" s="138"/>
      <c r="N3" s="138"/>
      <c r="O3" s="138"/>
      <c r="P3" s="138"/>
      <c r="Q3" s="138"/>
      <c r="R3" s="138"/>
    </row>
    <row r="4" spans="1:18" x14ac:dyDescent="0.2">
      <c r="A4" s="144" t="s">
        <v>1099</v>
      </c>
      <c r="B4" s="136"/>
      <c r="C4" s="135"/>
      <c r="D4" s="135"/>
      <c r="E4" s="135"/>
      <c r="F4" s="138"/>
      <c r="G4" s="138"/>
      <c r="H4" s="138"/>
      <c r="I4" s="138"/>
      <c r="J4" s="138"/>
      <c r="K4" s="138"/>
      <c r="L4" s="138"/>
      <c r="M4" s="138"/>
      <c r="N4" s="138"/>
      <c r="O4" s="138"/>
      <c r="P4" s="138"/>
      <c r="Q4" s="138"/>
      <c r="R4" s="138"/>
    </row>
    <row r="5" spans="1:18" x14ac:dyDescent="0.2">
      <c r="A5" s="144" t="s">
        <v>1100</v>
      </c>
      <c r="B5" s="136"/>
      <c r="C5" s="135"/>
      <c r="D5" s="135"/>
      <c r="E5" s="135"/>
      <c r="F5" s="138"/>
      <c r="G5" s="138"/>
      <c r="H5" s="138"/>
      <c r="I5" s="138"/>
      <c r="J5" s="138"/>
      <c r="K5" s="138"/>
      <c r="L5" s="138"/>
      <c r="M5" s="138"/>
      <c r="N5" s="138"/>
      <c r="O5" s="138"/>
      <c r="P5" s="138"/>
      <c r="Q5" s="138"/>
      <c r="R5" s="138"/>
    </row>
    <row r="6" spans="1:18" x14ac:dyDescent="0.2">
      <c r="A6" s="142" t="s">
        <v>1090</v>
      </c>
      <c r="B6" s="136"/>
      <c r="C6" s="135"/>
      <c r="D6" s="135"/>
      <c r="E6" s="135"/>
      <c r="F6" s="138"/>
      <c r="G6" s="138"/>
      <c r="H6" s="138"/>
      <c r="I6" s="138"/>
      <c r="J6" s="138"/>
      <c r="K6" s="138"/>
      <c r="L6" s="138"/>
      <c r="M6" s="138"/>
      <c r="N6" s="138"/>
      <c r="O6" s="138"/>
      <c r="P6" s="138"/>
      <c r="Q6" s="138"/>
      <c r="R6" s="138"/>
    </row>
    <row r="7" spans="1:18" ht="15.75" thickBot="1" x14ac:dyDescent="0.25">
      <c r="A7" s="135"/>
      <c r="B7" s="135"/>
      <c r="C7" s="135"/>
      <c r="D7" s="135"/>
      <c r="E7" s="135"/>
      <c r="F7" s="138"/>
      <c r="G7" s="138"/>
      <c r="H7" s="138"/>
      <c r="I7" s="138"/>
      <c r="J7" s="138"/>
      <c r="K7" s="138"/>
      <c r="L7" s="138"/>
      <c r="M7" s="138"/>
      <c r="N7" s="138"/>
      <c r="O7" s="138"/>
      <c r="P7" s="138"/>
      <c r="Q7" s="138"/>
      <c r="R7" s="138"/>
    </row>
    <row r="8" spans="1:18" ht="15.75" x14ac:dyDescent="0.25">
      <c r="A8" s="1336" t="s">
        <v>1091</v>
      </c>
      <c r="B8" s="1337"/>
      <c r="C8" s="1337"/>
      <c r="D8" s="1337"/>
      <c r="E8" s="1337"/>
      <c r="F8" s="1337"/>
      <c r="G8" s="1337"/>
      <c r="H8" s="1337"/>
      <c r="I8" s="1337"/>
      <c r="J8" s="1337"/>
      <c r="K8" s="1337"/>
      <c r="L8" s="1338"/>
      <c r="M8" s="138"/>
      <c r="N8" s="138"/>
      <c r="O8" s="138"/>
      <c r="P8" s="138"/>
      <c r="Q8" s="138"/>
      <c r="R8" s="138"/>
    </row>
    <row r="9" spans="1:18" s="154" customFormat="1" ht="62.1" customHeight="1" thickBot="1" x14ac:dyDescent="0.25">
      <c r="A9" s="149">
        <v>1</v>
      </c>
      <c r="B9" s="150">
        <v>2</v>
      </c>
      <c r="C9" s="151">
        <v>3</v>
      </c>
      <c r="D9" s="150">
        <v>4</v>
      </c>
      <c r="E9" s="150">
        <v>5</v>
      </c>
      <c r="F9" s="151">
        <v>6</v>
      </c>
      <c r="G9" s="150">
        <v>7</v>
      </c>
      <c r="H9" s="150">
        <v>8</v>
      </c>
      <c r="I9" s="151">
        <v>9</v>
      </c>
      <c r="J9" s="150">
        <v>10</v>
      </c>
      <c r="K9" s="150">
        <v>11</v>
      </c>
      <c r="L9" s="152">
        <v>12</v>
      </c>
      <c r="M9" s="138"/>
      <c r="N9" s="138"/>
      <c r="O9" s="138"/>
      <c r="P9" s="138"/>
      <c r="Q9" s="138"/>
      <c r="R9" s="138"/>
    </row>
    <row r="10" spans="1:18" s="154" customFormat="1" ht="28.35" customHeight="1" x14ac:dyDescent="0.25">
      <c r="A10" s="227"/>
      <c r="B10" s="161"/>
      <c r="C10" s="228"/>
      <c r="D10" s="227"/>
      <c r="E10" s="161"/>
      <c r="F10" s="228"/>
      <c r="G10" s="227"/>
      <c r="H10" s="161"/>
      <c r="I10" s="228"/>
      <c r="J10" s="227"/>
      <c r="K10" s="161"/>
      <c r="L10" s="229">
        <v>90</v>
      </c>
      <c r="M10" s="138"/>
      <c r="N10" s="138"/>
      <c r="O10" s="138"/>
      <c r="P10" s="138"/>
      <c r="Q10" s="138"/>
      <c r="R10" s="138"/>
    </row>
    <row r="11" spans="1:18" s="6" customFormat="1" ht="25.35" customHeight="1" x14ac:dyDescent="0.2">
      <c r="A11" s="156"/>
      <c r="B11" s="156"/>
      <c r="C11" s="156"/>
      <c r="D11" s="157"/>
      <c r="E11" s="157"/>
      <c r="F11" s="157"/>
      <c r="G11" s="156"/>
      <c r="H11" s="156"/>
      <c r="I11" s="156"/>
      <c r="J11" s="157"/>
      <c r="K11" s="230">
        <v>90</v>
      </c>
      <c r="L11" s="230">
        <v>90</v>
      </c>
      <c r="M11" s="138"/>
      <c r="N11" s="138"/>
      <c r="O11" s="138"/>
      <c r="P11" s="138"/>
      <c r="Q11" s="138"/>
      <c r="R11" s="138"/>
    </row>
    <row r="12" spans="1:18" s="6" customFormat="1" ht="25.35" customHeight="1" x14ac:dyDescent="0.2">
      <c r="A12" s="156"/>
      <c r="B12" s="156"/>
      <c r="C12" s="156"/>
      <c r="D12" s="157"/>
      <c r="E12" s="157"/>
      <c r="F12" s="157"/>
      <c r="G12" s="156"/>
      <c r="H12" s="156"/>
      <c r="I12" s="156"/>
      <c r="J12" s="230">
        <v>90</v>
      </c>
      <c r="K12" s="230">
        <v>90</v>
      </c>
      <c r="L12" s="230">
        <v>90</v>
      </c>
      <c r="M12" s="138"/>
      <c r="N12" s="138"/>
      <c r="O12" s="138"/>
      <c r="P12" s="138"/>
      <c r="Q12" s="138"/>
      <c r="R12" s="138"/>
    </row>
    <row r="13" spans="1:18" s="6" customFormat="1" ht="25.35" customHeight="1" x14ac:dyDescent="0.2">
      <c r="A13" s="156"/>
      <c r="B13" s="156"/>
      <c r="C13" s="156"/>
      <c r="D13" s="157"/>
      <c r="E13" s="157"/>
      <c r="F13" s="157"/>
      <c r="G13" s="156"/>
      <c r="H13" s="156"/>
      <c r="I13" s="230">
        <v>90</v>
      </c>
      <c r="J13" s="230">
        <v>90</v>
      </c>
      <c r="K13" s="230">
        <v>90</v>
      </c>
      <c r="L13" s="230">
        <v>90</v>
      </c>
      <c r="M13" s="138"/>
      <c r="N13" s="138"/>
      <c r="O13" s="138"/>
      <c r="P13" s="138"/>
      <c r="Q13" s="138"/>
      <c r="R13" s="138"/>
    </row>
    <row r="14" spans="1:18" s="6" customFormat="1" ht="25.35" customHeight="1" x14ac:dyDescent="0.25">
      <c r="A14" s="177"/>
      <c r="B14" s="177"/>
      <c r="C14" s="177"/>
      <c r="D14" s="231"/>
      <c r="E14" s="231"/>
      <c r="F14" s="231"/>
      <c r="G14" s="177"/>
      <c r="H14" s="230">
        <v>90</v>
      </c>
      <c r="I14" s="230">
        <v>90</v>
      </c>
      <c r="J14" s="230">
        <v>90</v>
      </c>
      <c r="K14" s="230">
        <v>90</v>
      </c>
      <c r="L14" s="230">
        <v>90</v>
      </c>
      <c r="M14" s="138"/>
      <c r="N14" s="138"/>
      <c r="O14" s="138"/>
      <c r="P14" s="138"/>
      <c r="Q14" s="138"/>
      <c r="R14" s="138"/>
    </row>
    <row r="15" spans="1:18" s="6" customFormat="1" ht="25.35" customHeight="1" x14ac:dyDescent="0.2">
      <c r="A15" s="184"/>
      <c r="B15" s="185"/>
      <c r="C15" s="186"/>
      <c r="D15" s="232"/>
      <c r="E15" s="185"/>
      <c r="F15" s="186"/>
      <c r="G15" s="230">
        <v>90</v>
      </c>
      <c r="H15" s="230">
        <v>90</v>
      </c>
      <c r="I15" s="230">
        <v>90</v>
      </c>
      <c r="J15" s="230">
        <v>90</v>
      </c>
      <c r="K15" s="230">
        <v>90</v>
      </c>
      <c r="L15" s="230">
        <v>90</v>
      </c>
      <c r="M15" s="138"/>
      <c r="N15" s="138"/>
      <c r="O15" s="138"/>
      <c r="P15" s="138"/>
      <c r="Q15" s="138"/>
      <c r="R15" s="138"/>
    </row>
    <row r="16" spans="1:18" s="6" customFormat="1" ht="25.35" customHeight="1" x14ac:dyDescent="0.2">
      <c r="A16" s="156"/>
      <c r="B16" s="156"/>
      <c r="C16" s="156"/>
      <c r="D16" s="157"/>
      <c r="E16" s="157"/>
      <c r="F16" s="230">
        <v>90</v>
      </c>
      <c r="G16" s="230">
        <v>90</v>
      </c>
      <c r="H16" s="230">
        <v>90</v>
      </c>
      <c r="I16" s="230">
        <v>90</v>
      </c>
      <c r="J16" s="230">
        <v>90</v>
      </c>
      <c r="K16" s="230">
        <v>90</v>
      </c>
      <c r="L16" s="230">
        <v>90</v>
      </c>
      <c r="M16" s="138"/>
      <c r="N16" s="138"/>
      <c r="O16" s="138"/>
      <c r="P16" s="138"/>
      <c r="Q16" s="138"/>
      <c r="R16" s="138"/>
    </row>
    <row r="17" spans="1:18" s="6" customFormat="1" ht="25.35" customHeight="1" x14ac:dyDescent="0.2">
      <c r="A17" s="156"/>
      <c r="B17" s="156"/>
      <c r="C17" s="156"/>
      <c r="D17" s="157"/>
      <c r="E17" s="230">
        <v>90</v>
      </c>
      <c r="F17" s="230">
        <v>90</v>
      </c>
      <c r="G17" s="230">
        <v>90</v>
      </c>
      <c r="H17" s="230">
        <v>90</v>
      </c>
      <c r="I17" s="230">
        <v>90</v>
      </c>
      <c r="J17" s="230">
        <v>90</v>
      </c>
      <c r="K17" s="230">
        <v>90</v>
      </c>
      <c r="L17" s="230">
        <v>90</v>
      </c>
      <c r="M17" s="138"/>
      <c r="N17" s="138"/>
      <c r="O17" s="138"/>
      <c r="P17" s="138"/>
      <c r="Q17" s="138"/>
      <c r="R17" s="138"/>
    </row>
    <row r="18" spans="1:18" s="6" customFormat="1" ht="25.35" customHeight="1" x14ac:dyDescent="0.2">
      <c r="A18" s="156"/>
      <c r="B18" s="156"/>
      <c r="C18" s="156"/>
      <c r="D18" s="230">
        <v>90</v>
      </c>
      <c r="E18" s="230">
        <v>90</v>
      </c>
      <c r="F18" s="230">
        <v>90</v>
      </c>
      <c r="G18" s="230">
        <v>90</v>
      </c>
      <c r="H18" s="230">
        <v>90</v>
      </c>
      <c r="I18" s="230">
        <v>90</v>
      </c>
      <c r="J18" s="230">
        <v>90</v>
      </c>
      <c r="K18" s="230">
        <v>90</v>
      </c>
      <c r="L18" s="230">
        <v>90</v>
      </c>
      <c r="M18" s="138"/>
      <c r="N18" s="138"/>
      <c r="O18" s="138"/>
      <c r="P18" s="138"/>
      <c r="Q18" s="138"/>
      <c r="R18" s="138"/>
    </row>
    <row r="19" spans="1:18" s="6" customFormat="1" ht="25.35" customHeight="1" x14ac:dyDescent="0.2">
      <c r="A19" s="156"/>
      <c r="B19" s="156"/>
      <c r="C19" s="230">
        <v>90</v>
      </c>
      <c r="D19" s="230">
        <v>90</v>
      </c>
      <c r="E19" s="230">
        <v>90</v>
      </c>
      <c r="F19" s="230">
        <v>90</v>
      </c>
      <c r="G19" s="230">
        <v>90</v>
      </c>
      <c r="H19" s="230">
        <v>90</v>
      </c>
      <c r="I19" s="230">
        <v>90</v>
      </c>
      <c r="J19" s="230">
        <v>90</v>
      </c>
      <c r="K19" s="230">
        <v>90</v>
      </c>
      <c r="L19" s="230">
        <v>90</v>
      </c>
      <c r="M19" s="138"/>
      <c r="N19" s="138"/>
      <c r="O19" s="138"/>
      <c r="P19" s="138"/>
      <c r="Q19" s="138"/>
      <c r="R19" s="138"/>
    </row>
    <row r="20" spans="1:18" s="154" customFormat="1" ht="25.35" customHeight="1" x14ac:dyDescent="0.2">
      <c r="A20" s="156"/>
      <c r="B20" s="230">
        <v>90</v>
      </c>
      <c r="C20" s="230">
        <v>90</v>
      </c>
      <c r="D20" s="230">
        <v>90</v>
      </c>
      <c r="E20" s="230">
        <v>90</v>
      </c>
      <c r="F20" s="230">
        <v>90</v>
      </c>
      <c r="G20" s="230">
        <v>90</v>
      </c>
      <c r="H20" s="230">
        <v>90</v>
      </c>
      <c r="I20" s="230">
        <v>90</v>
      </c>
      <c r="J20" s="230">
        <v>90</v>
      </c>
      <c r="K20" s="230">
        <v>90</v>
      </c>
      <c r="L20" s="230">
        <v>90</v>
      </c>
      <c r="M20" s="138"/>
      <c r="N20" s="138"/>
      <c r="O20" s="138"/>
      <c r="P20" s="138"/>
      <c r="Q20" s="138"/>
      <c r="R20" s="138"/>
    </row>
    <row r="21" spans="1:18" s="233" customFormat="1" ht="25.35" customHeight="1" x14ac:dyDescent="0.25">
      <c r="A21" s="230">
        <v>90</v>
      </c>
      <c r="B21" s="230">
        <v>90</v>
      </c>
      <c r="C21" s="230">
        <v>90</v>
      </c>
      <c r="D21" s="230">
        <v>90</v>
      </c>
      <c r="E21" s="230">
        <v>90</v>
      </c>
      <c r="F21" s="230">
        <v>90</v>
      </c>
      <c r="G21" s="230">
        <v>90</v>
      </c>
      <c r="H21" s="230">
        <v>90</v>
      </c>
      <c r="I21" s="230">
        <v>90</v>
      </c>
      <c r="J21" s="230">
        <v>90</v>
      </c>
      <c r="K21" s="230">
        <v>90</v>
      </c>
      <c r="L21" s="230">
        <v>90</v>
      </c>
      <c r="M21" s="138"/>
      <c r="N21" s="138"/>
      <c r="O21" s="138"/>
      <c r="P21" s="138"/>
      <c r="Q21" s="138"/>
      <c r="R21" s="138"/>
    </row>
    <row r="22" spans="1:18" s="6" customFormat="1" ht="30" customHeight="1" x14ac:dyDescent="0.2">
      <c r="A22" s="234">
        <f>SUM(A10:A21)</f>
        <v>90</v>
      </c>
      <c r="B22" s="234">
        <f t="shared" ref="B22:L22" si="0">SUM(B10:B21)</f>
        <v>180</v>
      </c>
      <c r="C22" s="234">
        <f t="shared" si="0"/>
        <v>270</v>
      </c>
      <c r="D22" s="234">
        <f t="shared" si="0"/>
        <v>360</v>
      </c>
      <c r="E22" s="234">
        <f t="shared" si="0"/>
        <v>450</v>
      </c>
      <c r="F22" s="234">
        <f t="shared" si="0"/>
        <v>540</v>
      </c>
      <c r="G22" s="234">
        <f t="shared" si="0"/>
        <v>630</v>
      </c>
      <c r="H22" s="234">
        <f t="shared" si="0"/>
        <v>720</v>
      </c>
      <c r="I22" s="234">
        <f t="shared" si="0"/>
        <v>810</v>
      </c>
      <c r="J22" s="234">
        <f t="shared" si="0"/>
        <v>900</v>
      </c>
      <c r="K22" s="234">
        <f t="shared" si="0"/>
        <v>990</v>
      </c>
      <c r="L22" s="234">
        <f t="shared" si="0"/>
        <v>1080</v>
      </c>
      <c r="M22" s="235" t="s">
        <v>1092</v>
      </c>
      <c r="N22" s="5"/>
      <c r="O22" s="5"/>
      <c r="P22" s="5"/>
      <c r="Q22" s="5"/>
      <c r="R22" s="5"/>
    </row>
    <row r="23" spans="1:18" s="6" customFormat="1" ht="30" customHeight="1" x14ac:dyDescent="0.2">
      <c r="A23" s="234"/>
      <c r="B23" s="234"/>
      <c r="C23" s="234"/>
      <c r="D23" s="234"/>
      <c r="E23" s="234"/>
      <c r="F23" s="234"/>
      <c r="G23" s="234"/>
      <c r="H23" s="234"/>
      <c r="I23" s="234"/>
      <c r="J23" s="234"/>
      <c r="K23" s="234"/>
      <c r="L23" s="236" t="s">
        <v>1093</v>
      </c>
      <c r="M23" s="235"/>
      <c r="N23" s="5"/>
      <c r="O23" s="5"/>
      <c r="P23" s="5"/>
      <c r="Q23" s="5"/>
      <c r="R23" s="5"/>
    </row>
    <row r="24" spans="1:18" ht="30" customHeight="1" x14ac:dyDescent="0.2">
      <c r="A24" s="237">
        <f>A22/$A$3</f>
        <v>7.4999999999999997E-2</v>
      </c>
      <c r="B24" s="237">
        <f t="shared" ref="B24:L24" si="1">B22/$A$3</f>
        <v>0.15</v>
      </c>
      <c r="C24" s="237">
        <f t="shared" si="1"/>
        <v>0.22500000000000001</v>
      </c>
      <c r="D24" s="237">
        <f t="shared" si="1"/>
        <v>0.3</v>
      </c>
      <c r="E24" s="237">
        <f t="shared" si="1"/>
        <v>0.375</v>
      </c>
      <c r="F24" s="237">
        <f t="shared" si="1"/>
        <v>0.45</v>
      </c>
      <c r="G24" s="237">
        <f t="shared" si="1"/>
        <v>0.52500000000000002</v>
      </c>
      <c r="H24" s="237">
        <f t="shared" si="1"/>
        <v>0.6</v>
      </c>
      <c r="I24" s="237">
        <f t="shared" si="1"/>
        <v>0.67500000000000004</v>
      </c>
      <c r="J24" s="237">
        <f t="shared" si="1"/>
        <v>0.75</v>
      </c>
      <c r="K24" s="237">
        <f t="shared" si="1"/>
        <v>0.82499999999999996</v>
      </c>
      <c r="L24" s="237">
        <f t="shared" si="1"/>
        <v>0.9</v>
      </c>
      <c r="M24" s="238" t="s">
        <v>1094</v>
      </c>
      <c r="N24" s="138"/>
      <c r="O24" s="138"/>
      <c r="P24" s="138"/>
      <c r="Q24" s="138"/>
      <c r="R24" s="138"/>
    </row>
    <row r="25" spans="1:18" ht="30" customHeight="1" x14ac:dyDescent="0.2">
      <c r="A25" s="5"/>
      <c r="B25" s="234"/>
      <c r="C25" s="234"/>
      <c r="D25" s="240"/>
      <c r="E25" s="240"/>
      <c r="F25" s="240"/>
      <c r="G25" s="5"/>
      <c r="H25" s="5"/>
      <c r="I25" s="5"/>
      <c r="J25" s="5"/>
      <c r="K25" s="5"/>
      <c r="L25" s="241">
        <f>SUM(A24:L24)</f>
        <v>5.8500000000000005</v>
      </c>
      <c r="M25" s="138"/>
      <c r="N25" s="138"/>
      <c r="O25" s="138"/>
      <c r="P25" s="138"/>
      <c r="Q25" s="138"/>
      <c r="R25" s="138"/>
    </row>
    <row r="26" spans="1:18" ht="30" customHeight="1" x14ac:dyDescent="0.2">
      <c r="A26" s="5"/>
      <c r="B26" s="234"/>
      <c r="C26" s="234"/>
      <c r="D26" s="240"/>
      <c r="E26" s="240"/>
      <c r="F26" s="240"/>
      <c r="G26" s="5"/>
      <c r="H26" s="5"/>
      <c r="I26" s="5"/>
      <c r="J26" s="5"/>
      <c r="K26" s="5"/>
      <c r="L26" s="148" t="s">
        <v>1095</v>
      </c>
      <c r="M26" s="138"/>
      <c r="N26" s="138"/>
      <c r="O26" s="138"/>
      <c r="P26" s="138"/>
      <c r="Q26" s="138"/>
      <c r="R26" s="138"/>
    </row>
    <row r="27" spans="1:18" ht="30" customHeight="1" x14ac:dyDescent="0.25">
      <c r="A27" s="5"/>
      <c r="B27" s="234"/>
      <c r="C27" s="234"/>
      <c r="D27" s="240"/>
      <c r="E27" s="240"/>
      <c r="F27" s="240"/>
      <c r="G27" s="5"/>
      <c r="H27" s="5"/>
      <c r="I27" s="5"/>
      <c r="J27" s="5"/>
      <c r="K27" s="5"/>
      <c r="L27" s="243">
        <f>L25/(12*100%)</f>
        <v>0.48750000000000004</v>
      </c>
      <c r="M27" s="244" t="s">
        <v>1096</v>
      </c>
      <c r="N27" s="138"/>
      <c r="O27" s="138"/>
      <c r="P27" s="138"/>
      <c r="Q27" s="138"/>
      <c r="R27" s="138"/>
    </row>
    <row r="28" spans="1:18" x14ac:dyDescent="0.2">
      <c r="A28" s="138"/>
      <c r="B28" s="247"/>
      <c r="C28" s="247"/>
      <c r="D28" s="242"/>
      <c r="E28" s="242"/>
      <c r="F28" s="242"/>
      <c r="G28" s="138"/>
      <c r="H28" s="138"/>
      <c r="I28" s="138"/>
      <c r="J28" s="138"/>
      <c r="K28" s="138"/>
      <c r="L28" s="148" t="s">
        <v>1097</v>
      </c>
      <c r="M28" s="138"/>
      <c r="N28" s="138"/>
      <c r="O28" s="138"/>
      <c r="P28" s="138"/>
      <c r="Q28" s="138"/>
      <c r="R28" s="138"/>
    </row>
    <row r="29" spans="1:18" x14ac:dyDescent="0.2">
      <c r="A29" s="138"/>
      <c r="B29" s="247"/>
      <c r="C29" s="247"/>
      <c r="D29" s="242"/>
      <c r="E29" s="242"/>
      <c r="F29" s="242"/>
      <c r="G29" s="138"/>
      <c r="H29" s="138"/>
      <c r="I29" s="138"/>
      <c r="J29" s="138"/>
      <c r="K29" s="138"/>
      <c r="L29" s="148" t="s">
        <v>1098</v>
      </c>
      <c r="M29" s="138"/>
      <c r="N29" s="138"/>
      <c r="O29" s="138"/>
      <c r="P29" s="138"/>
      <c r="Q29" s="138"/>
      <c r="R29" s="138"/>
    </row>
    <row r="30" spans="1:18" s="137" customFormat="1" x14ac:dyDescent="0.2">
      <c r="A30" s="135"/>
      <c r="B30" s="136"/>
      <c r="C30" s="136"/>
      <c r="D30" s="134"/>
      <c r="E30" s="134"/>
      <c r="F30" s="134"/>
      <c r="G30" s="134"/>
      <c r="H30" s="134"/>
      <c r="I30" s="134"/>
      <c r="J30" s="134"/>
      <c r="K30" s="134"/>
      <c r="L30" s="134"/>
      <c r="M30" s="134"/>
      <c r="N30" s="134"/>
      <c r="O30" s="134"/>
      <c r="P30" s="134"/>
      <c r="Q30" s="134"/>
      <c r="R30" s="134"/>
    </row>
    <row r="31" spans="1:18" s="137" customFormat="1" x14ac:dyDescent="0.2">
      <c r="A31" s="139"/>
      <c r="B31" s="248"/>
      <c r="C31" s="248"/>
    </row>
    <row r="32" spans="1:18" s="137" customFormat="1" x14ac:dyDescent="0.2">
      <c r="A32" s="139"/>
      <c r="B32" s="248"/>
      <c r="C32" s="248"/>
    </row>
    <row r="33" spans="1:3" s="137" customFormat="1" x14ac:dyDescent="0.2">
      <c r="A33" s="139"/>
      <c r="B33" s="248"/>
      <c r="C33" s="248"/>
    </row>
    <row r="34" spans="1:3" s="137" customFormat="1" x14ac:dyDescent="0.2">
      <c r="A34" s="139"/>
      <c r="B34" s="248"/>
      <c r="C34" s="248"/>
    </row>
    <row r="35" spans="1:3" s="137" customFormat="1" x14ac:dyDescent="0.2">
      <c r="A35" s="139"/>
      <c r="B35" s="248"/>
      <c r="C35" s="248"/>
    </row>
    <row r="36" spans="1:3" s="137" customFormat="1" x14ac:dyDescent="0.2">
      <c r="A36" s="139"/>
      <c r="B36" s="248"/>
      <c r="C36" s="248"/>
    </row>
    <row r="37" spans="1:3" s="137" customFormat="1" x14ac:dyDescent="0.2">
      <c r="A37" s="139"/>
      <c r="B37" s="248"/>
      <c r="C37" s="248"/>
    </row>
    <row r="38" spans="1:3" s="137" customFormat="1" x14ac:dyDescent="0.2">
      <c r="A38" s="139"/>
      <c r="B38" s="248"/>
      <c r="C38" s="248"/>
    </row>
    <row r="39" spans="1:3" s="137" customFormat="1" x14ac:dyDescent="0.2">
      <c r="A39" s="139"/>
      <c r="B39" s="248"/>
      <c r="C39" s="248"/>
    </row>
    <row r="40" spans="1:3" s="137" customFormat="1" x14ac:dyDescent="0.2">
      <c r="A40" s="139"/>
      <c r="B40" s="248"/>
      <c r="C40" s="248"/>
    </row>
    <row r="41" spans="1:3" s="137" customFormat="1" x14ac:dyDescent="0.2">
      <c r="A41" s="139"/>
      <c r="B41" s="248"/>
      <c r="C41" s="248"/>
    </row>
    <row r="42" spans="1:3" s="137" customFormat="1" x14ac:dyDescent="0.2">
      <c r="A42" s="139"/>
      <c r="B42" s="248"/>
      <c r="C42" s="248"/>
    </row>
    <row r="43" spans="1:3" s="137" customFormat="1" x14ac:dyDescent="0.2">
      <c r="A43" s="139"/>
      <c r="B43" s="248"/>
      <c r="C43" s="248"/>
    </row>
    <row r="44" spans="1:3" s="137" customFormat="1" x14ac:dyDescent="0.2">
      <c r="A44" s="139"/>
      <c r="B44" s="248"/>
      <c r="C44" s="248"/>
    </row>
    <row r="45" spans="1:3" s="137" customFormat="1" x14ac:dyDescent="0.2">
      <c r="A45" s="139"/>
      <c r="B45" s="248"/>
      <c r="C45" s="248"/>
    </row>
    <row r="46" spans="1:3" s="137" customFormat="1" x14ac:dyDescent="0.2">
      <c r="A46" s="139"/>
      <c r="B46" s="248"/>
      <c r="C46" s="248"/>
    </row>
    <row r="47" spans="1:3" s="137" customFormat="1" x14ac:dyDescent="0.2">
      <c r="A47" s="139"/>
      <c r="B47" s="248"/>
      <c r="C47" s="248"/>
    </row>
    <row r="48" spans="1:3" s="137" customFormat="1" x14ac:dyDescent="0.2">
      <c r="A48" s="139"/>
      <c r="B48" s="248"/>
      <c r="C48" s="248"/>
    </row>
    <row r="49" spans="1:3" s="137" customFormat="1" x14ac:dyDescent="0.2">
      <c r="A49" s="139"/>
      <c r="B49" s="248"/>
      <c r="C49" s="248"/>
    </row>
    <row r="50" spans="1:3" s="137" customFormat="1" x14ac:dyDescent="0.2">
      <c r="A50" s="139"/>
      <c r="B50" s="248"/>
      <c r="C50" s="248"/>
    </row>
    <row r="51" spans="1:3" s="137" customFormat="1" x14ac:dyDescent="0.2">
      <c r="A51" s="139"/>
      <c r="B51" s="248"/>
      <c r="C51" s="248"/>
    </row>
    <row r="52" spans="1:3" s="137" customFormat="1" x14ac:dyDescent="0.2">
      <c r="A52" s="139"/>
      <c r="B52" s="248"/>
      <c r="C52" s="248"/>
    </row>
    <row r="53" spans="1:3" s="137" customFormat="1" x14ac:dyDescent="0.2">
      <c r="A53" s="139"/>
      <c r="B53" s="248"/>
      <c r="C53" s="248"/>
    </row>
    <row r="54" spans="1:3" s="137" customFormat="1" x14ac:dyDescent="0.2">
      <c r="A54" s="139"/>
      <c r="B54" s="248"/>
      <c r="C54" s="248"/>
    </row>
    <row r="55" spans="1:3" s="137" customFormat="1" x14ac:dyDescent="0.2">
      <c r="A55" s="139"/>
      <c r="B55" s="248"/>
      <c r="C55" s="248"/>
    </row>
    <row r="56" spans="1:3" s="137" customFormat="1" x14ac:dyDescent="0.2">
      <c r="A56" s="139"/>
      <c r="B56" s="248"/>
      <c r="C56" s="248"/>
    </row>
    <row r="57" spans="1:3" s="137" customFormat="1" x14ac:dyDescent="0.2">
      <c r="A57" s="139"/>
      <c r="B57" s="248"/>
      <c r="C57" s="248"/>
    </row>
    <row r="58" spans="1:3" s="137" customFormat="1" x14ac:dyDescent="0.2">
      <c r="A58" s="139"/>
      <c r="B58" s="248"/>
      <c r="C58" s="248"/>
    </row>
    <row r="59" spans="1:3" s="137" customFormat="1" x14ac:dyDescent="0.2">
      <c r="A59" s="139"/>
      <c r="B59" s="248"/>
      <c r="C59" s="248"/>
    </row>
    <row r="60" spans="1:3" s="137" customFormat="1" x14ac:dyDescent="0.2">
      <c r="A60" s="139"/>
      <c r="B60" s="248"/>
      <c r="C60" s="248"/>
    </row>
    <row r="61" spans="1:3" s="137" customFormat="1" x14ac:dyDescent="0.2">
      <c r="A61" s="139"/>
      <c r="B61" s="248"/>
      <c r="C61" s="248"/>
    </row>
    <row r="62" spans="1:3" s="137" customFormat="1" x14ac:dyDescent="0.2">
      <c r="A62" s="139"/>
      <c r="B62" s="248"/>
      <c r="C62" s="248"/>
    </row>
    <row r="63" spans="1:3" s="137" customFormat="1" x14ac:dyDescent="0.2">
      <c r="A63" s="139"/>
      <c r="B63" s="248"/>
      <c r="C63" s="248"/>
    </row>
    <row r="64" spans="1:3" s="137" customFormat="1" x14ac:dyDescent="0.2">
      <c r="A64" s="139"/>
      <c r="B64" s="248"/>
      <c r="C64" s="248"/>
    </row>
    <row r="65" spans="1:3" s="137" customFormat="1" x14ac:dyDescent="0.2">
      <c r="A65" s="139"/>
      <c r="B65" s="248"/>
      <c r="C65" s="248"/>
    </row>
    <row r="66" spans="1:3" s="137" customFormat="1" x14ac:dyDescent="0.2">
      <c r="A66" s="139"/>
      <c r="B66" s="248"/>
      <c r="C66" s="248"/>
    </row>
    <row r="67" spans="1:3" s="137" customFormat="1" x14ac:dyDescent="0.2">
      <c r="A67" s="139"/>
      <c r="B67" s="248"/>
      <c r="C67" s="248"/>
    </row>
    <row r="68" spans="1:3" s="137" customFormat="1" x14ac:dyDescent="0.2">
      <c r="A68" s="139"/>
      <c r="B68" s="248"/>
      <c r="C68" s="248"/>
    </row>
    <row r="69" spans="1:3" s="137" customFormat="1" x14ac:dyDescent="0.2">
      <c r="A69" s="139"/>
      <c r="B69" s="248"/>
      <c r="C69" s="248"/>
    </row>
    <row r="70" spans="1:3" s="137" customFormat="1" x14ac:dyDescent="0.2">
      <c r="A70" s="139"/>
      <c r="B70" s="248"/>
      <c r="C70" s="248"/>
    </row>
    <row r="71" spans="1:3" s="137" customFormat="1" x14ac:dyDescent="0.2">
      <c r="A71" s="139"/>
      <c r="B71" s="248"/>
      <c r="C71" s="248"/>
    </row>
    <row r="72" spans="1:3" s="137" customFormat="1" x14ac:dyDescent="0.2">
      <c r="A72" s="139"/>
      <c r="B72" s="248"/>
      <c r="C72" s="248"/>
    </row>
    <row r="73" spans="1:3" s="137" customFormat="1" x14ac:dyDescent="0.2">
      <c r="A73" s="139"/>
      <c r="B73" s="248"/>
      <c r="C73" s="248"/>
    </row>
    <row r="74" spans="1:3" s="137" customFormat="1" x14ac:dyDescent="0.2">
      <c r="A74" s="139"/>
      <c r="B74" s="248"/>
      <c r="C74" s="248"/>
    </row>
    <row r="75" spans="1:3" s="137" customFormat="1" x14ac:dyDescent="0.2">
      <c r="A75" s="139"/>
      <c r="B75" s="248"/>
      <c r="C75" s="248"/>
    </row>
    <row r="76" spans="1:3" s="137" customFormat="1" x14ac:dyDescent="0.2">
      <c r="A76" s="139"/>
      <c r="B76" s="248"/>
      <c r="C76" s="248"/>
    </row>
    <row r="77" spans="1:3" s="137" customFormat="1" x14ac:dyDescent="0.2">
      <c r="A77" s="139"/>
      <c r="B77" s="248"/>
      <c r="C77" s="248"/>
    </row>
    <row r="78" spans="1:3" s="137" customFormat="1" x14ac:dyDescent="0.2">
      <c r="A78" s="139"/>
      <c r="B78" s="248"/>
      <c r="C78" s="248"/>
    </row>
    <row r="79" spans="1:3" s="137" customFormat="1" x14ac:dyDescent="0.2">
      <c r="A79" s="139"/>
      <c r="B79" s="248"/>
      <c r="C79" s="248"/>
    </row>
    <row r="80" spans="1:3" s="137" customFormat="1" x14ac:dyDescent="0.2">
      <c r="A80" s="139"/>
      <c r="B80" s="248"/>
      <c r="C80" s="248"/>
    </row>
    <row r="81" spans="1:3" s="137" customFormat="1" x14ac:dyDescent="0.2">
      <c r="A81" s="139"/>
      <c r="B81" s="248"/>
      <c r="C81" s="248"/>
    </row>
    <row r="82" spans="1:3" s="137" customFormat="1" x14ac:dyDescent="0.2">
      <c r="A82" s="139"/>
      <c r="B82" s="248"/>
      <c r="C82" s="248"/>
    </row>
    <row r="83" spans="1:3" s="137" customFormat="1" x14ac:dyDescent="0.2">
      <c r="A83" s="139"/>
      <c r="B83" s="248"/>
      <c r="C83" s="248"/>
    </row>
    <row r="84" spans="1:3" s="137" customFormat="1" x14ac:dyDescent="0.2">
      <c r="A84" s="139"/>
      <c r="B84" s="248"/>
      <c r="C84" s="248"/>
    </row>
    <row r="85" spans="1:3" s="137" customFormat="1" x14ac:dyDescent="0.2">
      <c r="A85" s="139"/>
      <c r="B85" s="248"/>
      <c r="C85" s="248"/>
    </row>
    <row r="86" spans="1:3" s="137" customFormat="1" x14ac:dyDescent="0.2">
      <c r="A86" s="139"/>
      <c r="B86" s="248"/>
      <c r="C86" s="248"/>
    </row>
    <row r="87" spans="1:3" s="137" customFormat="1" x14ac:dyDescent="0.2">
      <c r="A87" s="139"/>
      <c r="B87" s="248"/>
      <c r="C87" s="248"/>
    </row>
    <row r="88" spans="1:3" s="137" customFormat="1" x14ac:dyDescent="0.2">
      <c r="A88" s="139"/>
      <c r="B88" s="248"/>
      <c r="C88" s="248"/>
    </row>
    <row r="89" spans="1:3" s="137" customFormat="1" x14ac:dyDescent="0.2">
      <c r="A89" s="139"/>
      <c r="B89" s="248"/>
      <c r="C89" s="248"/>
    </row>
    <row r="90" spans="1:3" s="137" customFormat="1" x14ac:dyDescent="0.2">
      <c r="A90" s="139"/>
      <c r="B90" s="248"/>
      <c r="C90" s="248"/>
    </row>
    <row r="91" spans="1:3" s="137" customFormat="1" x14ac:dyDescent="0.2">
      <c r="A91" s="139"/>
      <c r="B91" s="248"/>
      <c r="C91" s="248"/>
    </row>
    <row r="92" spans="1:3" s="137" customFormat="1" x14ac:dyDescent="0.2">
      <c r="A92" s="139"/>
      <c r="B92" s="248"/>
      <c r="C92" s="248"/>
    </row>
    <row r="93" spans="1:3" s="137" customFormat="1" x14ac:dyDescent="0.2">
      <c r="A93" s="139"/>
      <c r="B93" s="248"/>
      <c r="C93" s="248"/>
    </row>
    <row r="94" spans="1:3" s="137" customFormat="1" x14ac:dyDescent="0.2">
      <c r="A94" s="139"/>
      <c r="B94" s="248"/>
      <c r="C94" s="248"/>
    </row>
    <row r="95" spans="1:3" s="137" customFormat="1" x14ac:dyDescent="0.2">
      <c r="A95" s="139"/>
      <c r="B95" s="248"/>
      <c r="C95" s="248"/>
    </row>
    <row r="96" spans="1:3" s="137" customFormat="1" x14ac:dyDescent="0.2">
      <c r="A96" s="139"/>
      <c r="B96" s="248"/>
      <c r="C96" s="248"/>
    </row>
    <row r="97" spans="1:3" s="137" customFormat="1" x14ac:dyDescent="0.2">
      <c r="A97" s="139"/>
      <c r="B97" s="248"/>
      <c r="C97" s="248"/>
    </row>
    <row r="98" spans="1:3" s="137" customFormat="1" x14ac:dyDescent="0.2">
      <c r="A98" s="139"/>
      <c r="B98" s="248"/>
      <c r="C98" s="248"/>
    </row>
    <row r="99" spans="1:3" s="137" customFormat="1" x14ac:dyDescent="0.2">
      <c r="A99" s="139"/>
      <c r="B99" s="248"/>
      <c r="C99" s="248"/>
    </row>
    <row r="100" spans="1:3" s="137" customFormat="1" x14ac:dyDescent="0.2">
      <c r="A100" s="139"/>
      <c r="B100" s="248"/>
      <c r="C100" s="248"/>
    </row>
    <row r="101" spans="1:3" s="137" customFormat="1" x14ac:dyDescent="0.2">
      <c r="A101" s="139"/>
      <c r="B101" s="248"/>
      <c r="C101" s="248"/>
    </row>
    <row r="102" spans="1:3" s="137" customFormat="1" x14ac:dyDescent="0.2">
      <c r="A102" s="139"/>
      <c r="B102" s="248"/>
      <c r="C102" s="248"/>
    </row>
    <row r="103" spans="1:3" s="137" customFormat="1" x14ac:dyDescent="0.2">
      <c r="A103" s="139"/>
      <c r="B103" s="248"/>
      <c r="C103" s="248"/>
    </row>
    <row r="104" spans="1:3" s="137" customFormat="1" x14ac:dyDescent="0.2">
      <c r="A104" s="139"/>
      <c r="B104" s="248"/>
      <c r="C104" s="248"/>
    </row>
    <row r="105" spans="1:3" s="137" customFormat="1" x14ac:dyDescent="0.2">
      <c r="A105" s="139"/>
      <c r="B105" s="248"/>
      <c r="C105" s="248"/>
    </row>
    <row r="106" spans="1:3" s="137" customFormat="1" x14ac:dyDescent="0.2">
      <c r="A106" s="139"/>
      <c r="B106" s="248"/>
      <c r="C106" s="248"/>
    </row>
    <row r="107" spans="1:3" s="137" customFormat="1" x14ac:dyDescent="0.2">
      <c r="A107" s="139"/>
      <c r="B107" s="248"/>
      <c r="C107" s="248"/>
    </row>
    <row r="108" spans="1:3" s="137" customFormat="1" x14ac:dyDescent="0.2">
      <c r="A108" s="139"/>
      <c r="B108" s="248"/>
      <c r="C108" s="248"/>
    </row>
    <row r="109" spans="1:3" s="137" customFormat="1" x14ac:dyDescent="0.2">
      <c r="A109" s="139"/>
      <c r="B109" s="248"/>
      <c r="C109" s="248"/>
    </row>
    <row r="110" spans="1:3" s="137" customFormat="1" x14ac:dyDescent="0.2">
      <c r="A110" s="139"/>
      <c r="B110" s="248"/>
      <c r="C110" s="248"/>
    </row>
    <row r="111" spans="1:3" s="137" customFormat="1" x14ac:dyDescent="0.2">
      <c r="A111" s="139"/>
      <c r="B111" s="248"/>
      <c r="C111" s="248"/>
    </row>
    <row r="112" spans="1:3" s="137" customFormat="1" x14ac:dyDescent="0.2">
      <c r="A112" s="139"/>
      <c r="B112" s="248"/>
      <c r="C112" s="248"/>
    </row>
    <row r="113" spans="1:3" s="137" customFormat="1" x14ac:dyDescent="0.2">
      <c r="A113" s="139"/>
      <c r="B113" s="248"/>
      <c r="C113" s="248"/>
    </row>
    <row r="114" spans="1:3" s="137" customFormat="1" x14ac:dyDescent="0.2">
      <c r="A114" s="139"/>
      <c r="B114" s="248"/>
      <c r="C114" s="248"/>
    </row>
    <row r="115" spans="1:3" s="137" customFormat="1" x14ac:dyDescent="0.2">
      <c r="A115" s="139"/>
      <c r="B115" s="248"/>
      <c r="C115" s="248"/>
    </row>
    <row r="116" spans="1:3" s="137" customFormat="1" x14ac:dyDescent="0.2">
      <c r="A116" s="139"/>
      <c r="B116" s="248"/>
      <c r="C116" s="248"/>
    </row>
    <row r="117" spans="1:3" s="137" customFormat="1" x14ac:dyDescent="0.2">
      <c r="A117" s="139"/>
      <c r="B117" s="248"/>
      <c r="C117" s="248"/>
    </row>
    <row r="118" spans="1:3" s="137" customFormat="1" x14ac:dyDescent="0.2">
      <c r="A118" s="139"/>
      <c r="B118" s="248"/>
      <c r="C118" s="248"/>
    </row>
    <row r="119" spans="1:3" s="137" customFormat="1" x14ac:dyDescent="0.2">
      <c r="A119" s="139"/>
      <c r="B119" s="248"/>
      <c r="C119" s="248"/>
    </row>
    <row r="120" spans="1:3" s="137" customFormat="1" x14ac:dyDescent="0.2">
      <c r="A120" s="139"/>
      <c r="B120" s="248"/>
      <c r="C120" s="248"/>
    </row>
    <row r="121" spans="1:3" s="137" customFormat="1" x14ac:dyDescent="0.2">
      <c r="A121" s="139"/>
      <c r="B121" s="248"/>
      <c r="C121" s="248"/>
    </row>
    <row r="122" spans="1:3" s="137" customFormat="1" x14ac:dyDescent="0.2">
      <c r="A122" s="139"/>
      <c r="B122" s="248"/>
      <c r="C122" s="248"/>
    </row>
    <row r="123" spans="1:3" s="137" customFormat="1" x14ac:dyDescent="0.2">
      <c r="A123" s="139"/>
      <c r="B123" s="248"/>
      <c r="C123" s="248"/>
    </row>
    <row r="124" spans="1:3" s="137" customFormat="1" x14ac:dyDescent="0.2">
      <c r="A124" s="139"/>
      <c r="B124" s="248"/>
      <c r="C124" s="248"/>
    </row>
    <row r="125" spans="1:3" s="137" customFormat="1" x14ac:dyDescent="0.2">
      <c r="A125" s="139"/>
      <c r="B125" s="248"/>
      <c r="C125" s="248"/>
    </row>
    <row r="126" spans="1:3" s="137" customFormat="1" x14ac:dyDescent="0.2">
      <c r="A126" s="139"/>
      <c r="B126" s="248"/>
      <c r="C126" s="248"/>
    </row>
    <row r="127" spans="1:3" s="137" customFormat="1" x14ac:dyDescent="0.2">
      <c r="A127" s="139"/>
      <c r="B127" s="248"/>
      <c r="C127" s="248"/>
    </row>
    <row r="128" spans="1:3" s="137" customFormat="1" x14ac:dyDescent="0.2">
      <c r="A128" s="139"/>
      <c r="B128" s="248"/>
      <c r="C128" s="248"/>
    </row>
    <row r="129" spans="1:3" s="137" customFormat="1" x14ac:dyDescent="0.2">
      <c r="A129" s="139"/>
      <c r="B129" s="248"/>
      <c r="C129" s="248"/>
    </row>
    <row r="130" spans="1:3" s="137" customFormat="1" x14ac:dyDescent="0.2">
      <c r="A130" s="139"/>
      <c r="B130" s="248"/>
      <c r="C130" s="248"/>
    </row>
    <row r="131" spans="1:3" s="137" customFormat="1" x14ac:dyDescent="0.2">
      <c r="A131" s="139"/>
      <c r="B131" s="248"/>
      <c r="C131" s="248"/>
    </row>
    <row r="132" spans="1:3" s="137" customFormat="1" x14ac:dyDescent="0.2">
      <c r="A132" s="139"/>
      <c r="B132" s="248"/>
      <c r="C132" s="248"/>
    </row>
    <row r="133" spans="1:3" s="137" customFormat="1" x14ac:dyDescent="0.2">
      <c r="A133" s="139"/>
      <c r="B133" s="248"/>
      <c r="C133" s="248"/>
    </row>
    <row r="134" spans="1:3" s="137" customFormat="1" x14ac:dyDescent="0.2">
      <c r="A134" s="139"/>
      <c r="B134" s="248"/>
      <c r="C134" s="248"/>
    </row>
    <row r="135" spans="1:3" s="137" customFormat="1" x14ac:dyDescent="0.2">
      <c r="A135" s="139"/>
      <c r="B135" s="248"/>
      <c r="C135" s="248"/>
    </row>
    <row r="136" spans="1:3" s="137" customFormat="1" x14ac:dyDescent="0.2">
      <c r="A136" s="139"/>
      <c r="B136" s="248"/>
      <c r="C136" s="248"/>
    </row>
    <row r="137" spans="1:3" s="137" customFormat="1" x14ac:dyDescent="0.2">
      <c r="A137" s="139"/>
      <c r="B137" s="248"/>
      <c r="C137" s="248"/>
    </row>
    <row r="138" spans="1:3" s="137" customFormat="1" x14ac:dyDescent="0.2">
      <c r="A138" s="139"/>
      <c r="B138" s="248"/>
      <c r="C138" s="248"/>
    </row>
    <row r="139" spans="1:3" s="137" customFormat="1" x14ac:dyDescent="0.2">
      <c r="A139" s="139"/>
      <c r="B139" s="248"/>
      <c r="C139" s="248"/>
    </row>
    <row r="140" spans="1:3" s="137" customFormat="1" x14ac:dyDescent="0.2">
      <c r="A140" s="139"/>
      <c r="B140" s="248"/>
      <c r="C140" s="248"/>
    </row>
    <row r="141" spans="1:3" s="137" customFormat="1" x14ac:dyDescent="0.2">
      <c r="A141" s="139"/>
      <c r="B141" s="248"/>
      <c r="C141" s="248"/>
    </row>
    <row r="142" spans="1:3" s="137" customFormat="1" x14ac:dyDescent="0.2">
      <c r="A142" s="139"/>
      <c r="B142" s="248"/>
      <c r="C142" s="248"/>
    </row>
    <row r="143" spans="1:3" s="137" customFormat="1" x14ac:dyDescent="0.2">
      <c r="A143" s="139"/>
      <c r="B143" s="248"/>
      <c r="C143" s="248"/>
    </row>
    <row r="144" spans="1:3" s="137" customFormat="1" x14ac:dyDescent="0.2">
      <c r="A144" s="139"/>
      <c r="B144" s="248"/>
      <c r="C144" s="248"/>
    </row>
    <row r="145" spans="1:3" s="137" customFormat="1" x14ac:dyDescent="0.2">
      <c r="A145" s="139"/>
      <c r="B145" s="248"/>
      <c r="C145" s="248"/>
    </row>
    <row r="146" spans="1:3" s="137" customFormat="1" x14ac:dyDescent="0.2">
      <c r="A146" s="139"/>
      <c r="B146" s="248"/>
      <c r="C146" s="248"/>
    </row>
    <row r="147" spans="1:3" s="137" customFormat="1" x14ac:dyDescent="0.2">
      <c r="A147" s="139"/>
      <c r="B147" s="248"/>
      <c r="C147" s="248"/>
    </row>
    <row r="148" spans="1:3" s="137" customFormat="1" x14ac:dyDescent="0.2">
      <c r="A148" s="139"/>
      <c r="B148" s="248"/>
      <c r="C148" s="248"/>
    </row>
    <row r="149" spans="1:3" s="137" customFormat="1" x14ac:dyDescent="0.2">
      <c r="A149" s="139"/>
      <c r="B149" s="248"/>
      <c r="C149" s="248"/>
    </row>
    <row r="150" spans="1:3" s="137" customFormat="1" x14ac:dyDescent="0.2">
      <c r="A150" s="139"/>
      <c r="B150" s="248"/>
      <c r="C150" s="248"/>
    </row>
    <row r="151" spans="1:3" s="137" customFormat="1" x14ac:dyDescent="0.2">
      <c r="A151" s="139"/>
      <c r="B151" s="248"/>
      <c r="C151" s="248"/>
    </row>
    <row r="152" spans="1:3" s="137" customFormat="1" x14ac:dyDescent="0.2">
      <c r="A152" s="139"/>
      <c r="B152" s="248"/>
      <c r="C152" s="248"/>
    </row>
    <row r="153" spans="1:3" s="137" customFormat="1" x14ac:dyDescent="0.2">
      <c r="A153" s="139"/>
      <c r="B153" s="248"/>
      <c r="C153" s="248"/>
    </row>
    <row r="154" spans="1:3" s="137" customFormat="1" x14ac:dyDescent="0.2">
      <c r="A154" s="139"/>
      <c r="B154" s="248"/>
      <c r="C154" s="248"/>
    </row>
    <row r="155" spans="1:3" s="137" customFormat="1" x14ac:dyDescent="0.2">
      <c r="A155" s="139"/>
      <c r="B155" s="248"/>
      <c r="C155" s="248"/>
    </row>
    <row r="156" spans="1:3" s="137" customFormat="1" x14ac:dyDescent="0.2">
      <c r="A156" s="139"/>
      <c r="B156" s="248"/>
      <c r="C156" s="248"/>
    </row>
    <row r="157" spans="1:3" s="137" customFormat="1" x14ac:dyDescent="0.2">
      <c r="A157" s="139"/>
      <c r="B157" s="248"/>
      <c r="C157" s="248"/>
    </row>
    <row r="158" spans="1:3" s="137" customFormat="1" x14ac:dyDescent="0.2">
      <c r="A158" s="139"/>
      <c r="B158" s="248"/>
      <c r="C158" s="248"/>
    </row>
    <row r="159" spans="1:3" s="137" customFormat="1" x14ac:dyDescent="0.2">
      <c r="A159" s="139"/>
      <c r="B159" s="248"/>
      <c r="C159" s="248"/>
    </row>
    <row r="160" spans="1:3" s="137" customFormat="1" x14ac:dyDescent="0.2">
      <c r="A160" s="139"/>
      <c r="B160" s="248"/>
      <c r="C160" s="248"/>
    </row>
    <row r="161" spans="1:3" s="137" customFormat="1" x14ac:dyDescent="0.2">
      <c r="A161" s="139"/>
      <c r="B161" s="248"/>
      <c r="C161" s="248"/>
    </row>
    <row r="162" spans="1:3" s="137" customFormat="1" x14ac:dyDescent="0.2">
      <c r="A162" s="139"/>
      <c r="B162" s="248"/>
      <c r="C162" s="248"/>
    </row>
    <row r="163" spans="1:3" s="137" customFormat="1" x14ac:dyDescent="0.2">
      <c r="A163" s="139"/>
      <c r="B163" s="248"/>
      <c r="C163" s="248"/>
    </row>
    <row r="164" spans="1:3" s="137" customFormat="1" x14ac:dyDescent="0.2">
      <c r="A164" s="139"/>
      <c r="B164" s="248"/>
      <c r="C164" s="248"/>
    </row>
    <row r="165" spans="1:3" s="137" customFormat="1" x14ac:dyDescent="0.2">
      <c r="A165" s="139"/>
      <c r="B165" s="248"/>
      <c r="C165" s="248"/>
    </row>
    <row r="166" spans="1:3" s="137" customFormat="1" x14ac:dyDescent="0.2">
      <c r="A166" s="139"/>
      <c r="B166" s="248"/>
      <c r="C166" s="248"/>
    </row>
    <row r="167" spans="1:3" s="137" customFormat="1" x14ac:dyDescent="0.2">
      <c r="A167" s="139"/>
      <c r="B167" s="248"/>
      <c r="C167" s="248"/>
    </row>
    <row r="168" spans="1:3" s="137" customFormat="1" x14ac:dyDescent="0.2">
      <c r="A168" s="139"/>
      <c r="B168" s="248"/>
      <c r="C168" s="248"/>
    </row>
    <row r="169" spans="1:3" s="137" customFormat="1" x14ac:dyDescent="0.2">
      <c r="A169" s="139"/>
      <c r="B169" s="248"/>
      <c r="C169" s="248"/>
    </row>
    <row r="170" spans="1:3" s="137" customFormat="1" x14ac:dyDescent="0.2">
      <c r="A170" s="139"/>
      <c r="B170" s="248"/>
      <c r="C170" s="248"/>
    </row>
    <row r="171" spans="1:3" s="137" customFormat="1" x14ac:dyDescent="0.2">
      <c r="A171" s="139"/>
      <c r="B171" s="248"/>
      <c r="C171" s="248"/>
    </row>
    <row r="172" spans="1:3" s="137" customFormat="1" x14ac:dyDescent="0.2">
      <c r="A172" s="139"/>
      <c r="B172" s="248"/>
      <c r="C172" s="248"/>
    </row>
    <row r="173" spans="1:3" s="137" customFormat="1" x14ac:dyDescent="0.2">
      <c r="A173" s="139"/>
      <c r="B173" s="248"/>
      <c r="C173" s="248"/>
    </row>
    <row r="174" spans="1:3" s="137" customFormat="1" x14ac:dyDescent="0.2">
      <c r="A174" s="139"/>
      <c r="B174" s="248"/>
      <c r="C174" s="248"/>
    </row>
    <row r="175" spans="1:3" s="137" customFormat="1" x14ac:dyDescent="0.2">
      <c r="A175" s="139"/>
      <c r="B175" s="248"/>
      <c r="C175" s="248"/>
    </row>
    <row r="176" spans="1:3" s="137" customFormat="1" x14ac:dyDescent="0.2">
      <c r="A176" s="139"/>
      <c r="B176" s="248"/>
      <c r="C176" s="248"/>
    </row>
    <row r="177" spans="1:3" s="137" customFormat="1" x14ac:dyDescent="0.2">
      <c r="A177" s="139"/>
      <c r="B177" s="248"/>
      <c r="C177" s="248"/>
    </row>
    <row r="178" spans="1:3" s="137" customFormat="1" x14ac:dyDescent="0.2">
      <c r="A178" s="139"/>
      <c r="B178" s="248"/>
      <c r="C178" s="248"/>
    </row>
    <row r="179" spans="1:3" s="137" customFormat="1" x14ac:dyDescent="0.2">
      <c r="A179" s="139"/>
      <c r="B179" s="248"/>
      <c r="C179" s="248"/>
    </row>
    <row r="180" spans="1:3" s="137" customFormat="1" x14ac:dyDescent="0.2">
      <c r="A180" s="139"/>
      <c r="B180" s="248"/>
      <c r="C180" s="248"/>
    </row>
    <row r="181" spans="1:3" s="137" customFormat="1" x14ac:dyDescent="0.2">
      <c r="A181" s="139"/>
      <c r="B181" s="248"/>
      <c r="C181" s="248"/>
    </row>
    <row r="182" spans="1:3" s="137" customFormat="1" x14ac:dyDescent="0.2">
      <c r="A182" s="139"/>
      <c r="B182" s="248"/>
      <c r="C182" s="248"/>
    </row>
    <row r="183" spans="1:3" s="137" customFormat="1" x14ac:dyDescent="0.2">
      <c r="A183" s="139"/>
      <c r="B183" s="248"/>
      <c r="C183" s="248"/>
    </row>
    <row r="184" spans="1:3" s="137" customFormat="1" x14ac:dyDescent="0.2">
      <c r="A184" s="139"/>
      <c r="B184" s="248"/>
      <c r="C184" s="248"/>
    </row>
    <row r="185" spans="1:3" s="137" customFormat="1" x14ac:dyDescent="0.2">
      <c r="A185" s="139"/>
      <c r="B185" s="248"/>
      <c r="C185" s="248"/>
    </row>
    <row r="186" spans="1:3" s="137" customFormat="1" x14ac:dyDescent="0.2">
      <c r="A186" s="139"/>
      <c r="B186" s="248"/>
      <c r="C186" s="248"/>
    </row>
    <row r="187" spans="1:3" s="137" customFormat="1" x14ac:dyDescent="0.2">
      <c r="A187" s="139"/>
      <c r="B187" s="248"/>
      <c r="C187" s="248"/>
    </row>
    <row r="188" spans="1:3" s="137" customFormat="1" x14ac:dyDescent="0.2">
      <c r="A188" s="139"/>
      <c r="B188" s="248"/>
      <c r="C188" s="248"/>
    </row>
    <row r="189" spans="1:3" s="137" customFormat="1" x14ac:dyDescent="0.2">
      <c r="A189" s="139"/>
      <c r="B189" s="248"/>
      <c r="C189" s="248"/>
    </row>
    <row r="190" spans="1:3" s="137" customFormat="1" x14ac:dyDescent="0.2">
      <c r="A190" s="139"/>
      <c r="B190" s="248"/>
      <c r="C190" s="248"/>
    </row>
    <row r="191" spans="1:3" s="137" customFormat="1" x14ac:dyDescent="0.2">
      <c r="A191" s="139"/>
      <c r="B191" s="248"/>
      <c r="C191" s="248"/>
    </row>
    <row r="192" spans="1:3" s="137" customFormat="1" x14ac:dyDescent="0.2">
      <c r="A192" s="139"/>
      <c r="B192" s="248"/>
      <c r="C192" s="248"/>
    </row>
    <row r="193" spans="1:3" s="137" customFormat="1" x14ac:dyDescent="0.2">
      <c r="A193" s="139"/>
      <c r="B193" s="248"/>
      <c r="C193" s="248"/>
    </row>
    <row r="194" spans="1:3" s="137" customFormat="1" x14ac:dyDescent="0.2">
      <c r="A194" s="139"/>
      <c r="B194" s="248"/>
      <c r="C194" s="248"/>
    </row>
    <row r="195" spans="1:3" s="137" customFormat="1" x14ac:dyDescent="0.2">
      <c r="A195" s="139"/>
      <c r="B195" s="248"/>
      <c r="C195" s="248"/>
    </row>
    <row r="196" spans="1:3" s="137" customFormat="1" x14ac:dyDescent="0.2">
      <c r="A196" s="139"/>
      <c r="B196" s="248"/>
      <c r="C196" s="248"/>
    </row>
    <row r="197" spans="1:3" s="137" customFormat="1" x14ac:dyDescent="0.2">
      <c r="A197" s="139"/>
      <c r="B197" s="248"/>
      <c r="C197" s="248"/>
    </row>
    <row r="198" spans="1:3" s="137" customFormat="1" x14ac:dyDescent="0.2">
      <c r="A198" s="139"/>
      <c r="B198" s="248"/>
      <c r="C198" s="248"/>
    </row>
    <row r="199" spans="1:3" s="137" customFormat="1" x14ac:dyDescent="0.2">
      <c r="A199" s="139"/>
      <c r="B199" s="248"/>
      <c r="C199" s="248"/>
    </row>
    <row r="200" spans="1:3" s="137" customFormat="1" x14ac:dyDescent="0.2">
      <c r="A200" s="139"/>
      <c r="B200" s="248"/>
      <c r="C200" s="248"/>
    </row>
    <row r="201" spans="1:3" s="137" customFormat="1" x14ac:dyDescent="0.2">
      <c r="A201" s="139"/>
      <c r="B201" s="248"/>
      <c r="C201" s="248"/>
    </row>
    <row r="202" spans="1:3" s="137" customFormat="1" x14ac:dyDescent="0.2">
      <c r="A202" s="139"/>
      <c r="B202" s="248"/>
      <c r="C202" s="248"/>
    </row>
    <row r="203" spans="1:3" s="137" customFormat="1" x14ac:dyDescent="0.2">
      <c r="A203" s="139"/>
      <c r="B203" s="248"/>
      <c r="C203" s="248"/>
    </row>
    <row r="204" spans="1:3" s="137" customFormat="1" x14ac:dyDescent="0.2">
      <c r="A204" s="139"/>
      <c r="B204" s="248"/>
      <c r="C204" s="248"/>
    </row>
    <row r="205" spans="1:3" s="137" customFormat="1" x14ac:dyDescent="0.2">
      <c r="A205" s="139"/>
      <c r="B205" s="248"/>
      <c r="C205" s="248"/>
    </row>
    <row r="206" spans="1:3" s="137" customFormat="1" x14ac:dyDescent="0.2">
      <c r="A206" s="139"/>
      <c r="B206" s="248"/>
      <c r="C206" s="248"/>
    </row>
    <row r="207" spans="1:3" s="137" customFormat="1" x14ac:dyDescent="0.2">
      <c r="A207" s="139"/>
      <c r="B207" s="248"/>
      <c r="C207" s="248"/>
    </row>
    <row r="208" spans="1:3" s="137" customFormat="1" x14ac:dyDescent="0.2">
      <c r="A208" s="139"/>
      <c r="B208" s="248"/>
      <c r="C208" s="248"/>
    </row>
    <row r="209" spans="1:3" s="137" customFormat="1" x14ac:dyDescent="0.2">
      <c r="A209" s="139"/>
      <c r="B209" s="248"/>
      <c r="C209" s="248"/>
    </row>
    <row r="210" spans="1:3" s="137" customFormat="1" x14ac:dyDescent="0.2">
      <c r="A210" s="139"/>
      <c r="B210" s="248"/>
      <c r="C210" s="248"/>
    </row>
    <row r="211" spans="1:3" s="137" customFormat="1" x14ac:dyDescent="0.2">
      <c r="A211" s="139"/>
      <c r="B211" s="248"/>
      <c r="C211" s="248"/>
    </row>
    <row r="212" spans="1:3" s="137" customFormat="1" x14ac:dyDescent="0.2">
      <c r="A212" s="139"/>
      <c r="B212" s="248"/>
      <c r="C212" s="248"/>
    </row>
    <row r="213" spans="1:3" s="137" customFormat="1" x14ac:dyDescent="0.2">
      <c r="A213" s="139"/>
      <c r="B213" s="248"/>
      <c r="C213" s="248"/>
    </row>
    <row r="214" spans="1:3" s="137" customFormat="1" x14ac:dyDescent="0.2">
      <c r="A214" s="139"/>
      <c r="B214" s="248"/>
      <c r="C214" s="248"/>
    </row>
    <row r="215" spans="1:3" s="137" customFormat="1" x14ac:dyDescent="0.2">
      <c r="A215" s="139"/>
      <c r="B215" s="248"/>
      <c r="C215" s="248"/>
    </row>
    <row r="216" spans="1:3" s="137" customFormat="1" x14ac:dyDescent="0.2">
      <c r="A216" s="139"/>
      <c r="B216" s="248"/>
      <c r="C216" s="248"/>
    </row>
    <row r="217" spans="1:3" s="137" customFormat="1" x14ac:dyDescent="0.2">
      <c r="A217" s="139"/>
      <c r="B217" s="248"/>
      <c r="C217" s="248"/>
    </row>
    <row r="218" spans="1:3" s="137" customFormat="1" x14ac:dyDescent="0.2">
      <c r="A218" s="139"/>
      <c r="B218" s="248"/>
      <c r="C218" s="248"/>
    </row>
    <row r="219" spans="1:3" s="137" customFormat="1" x14ac:dyDescent="0.2">
      <c r="A219" s="139"/>
      <c r="B219" s="248"/>
      <c r="C219" s="248"/>
    </row>
    <row r="220" spans="1:3" s="137" customFormat="1" x14ac:dyDescent="0.2">
      <c r="A220" s="139"/>
      <c r="B220" s="248"/>
      <c r="C220" s="248"/>
    </row>
    <row r="221" spans="1:3" s="137" customFormat="1" x14ac:dyDescent="0.2">
      <c r="A221" s="139"/>
      <c r="B221" s="248"/>
      <c r="C221" s="248"/>
    </row>
    <row r="222" spans="1:3" s="137" customFormat="1" x14ac:dyDescent="0.2">
      <c r="A222" s="139"/>
      <c r="B222" s="248"/>
      <c r="C222" s="248"/>
    </row>
    <row r="223" spans="1:3" s="137" customFormat="1" x14ac:dyDescent="0.2">
      <c r="A223" s="139"/>
      <c r="B223" s="248"/>
      <c r="C223" s="248"/>
    </row>
    <row r="224" spans="1:3" s="137" customFormat="1" x14ac:dyDescent="0.2">
      <c r="A224" s="139"/>
      <c r="B224" s="248"/>
      <c r="C224" s="248"/>
    </row>
    <row r="225" spans="1:3" s="137" customFormat="1" x14ac:dyDescent="0.2">
      <c r="A225" s="139"/>
      <c r="B225" s="248"/>
      <c r="C225" s="248"/>
    </row>
    <row r="226" spans="1:3" s="137" customFormat="1" x14ac:dyDescent="0.2">
      <c r="A226" s="139"/>
      <c r="B226" s="248"/>
      <c r="C226" s="248"/>
    </row>
    <row r="227" spans="1:3" s="137" customFormat="1" x14ac:dyDescent="0.2">
      <c r="A227" s="139"/>
      <c r="B227" s="248"/>
      <c r="C227" s="248"/>
    </row>
    <row r="228" spans="1:3" s="137" customFormat="1" x14ac:dyDescent="0.2">
      <c r="A228" s="139"/>
      <c r="B228" s="248"/>
      <c r="C228" s="248"/>
    </row>
    <row r="229" spans="1:3" s="137" customFormat="1" x14ac:dyDescent="0.2">
      <c r="A229" s="139"/>
      <c r="B229" s="248"/>
      <c r="C229" s="248"/>
    </row>
    <row r="230" spans="1:3" s="137" customFormat="1" x14ac:dyDescent="0.2">
      <c r="A230" s="139"/>
      <c r="B230" s="248"/>
      <c r="C230" s="248"/>
    </row>
    <row r="231" spans="1:3" s="137" customFormat="1" x14ac:dyDescent="0.2">
      <c r="A231" s="139"/>
      <c r="B231" s="248"/>
      <c r="C231" s="248"/>
    </row>
    <row r="232" spans="1:3" s="137" customFormat="1" x14ac:dyDescent="0.2">
      <c r="A232" s="139"/>
      <c r="B232" s="248"/>
      <c r="C232" s="248"/>
    </row>
    <row r="233" spans="1:3" s="137" customFormat="1" x14ac:dyDescent="0.2">
      <c r="A233" s="139"/>
      <c r="B233" s="248"/>
      <c r="C233" s="248"/>
    </row>
    <row r="234" spans="1:3" s="137" customFormat="1" x14ac:dyDescent="0.2">
      <c r="A234" s="139"/>
      <c r="B234" s="248"/>
      <c r="C234" s="248"/>
    </row>
    <row r="235" spans="1:3" s="137" customFormat="1" x14ac:dyDescent="0.2">
      <c r="A235" s="139"/>
      <c r="B235" s="248"/>
      <c r="C235" s="248"/>
    </row>
    <row r="236" spans="1:3" s="137" customFormat="1" x14ac:dyDescent="0.2">
      <c r="A236" s="139"/>
      <c r="B236" s="248"/>
      <c r="C236" s="248"/>
    </row>
    <row r="237" spans="1:3" s="137" customFormat="1" x14ac:dyDescent="0.2">
      <c r="A237" s="139"/>
      <c r="B237" s="248"/>
      <c r="C237" s="248"/>
    </row>
    <row r="238" spans="1:3" s="137" customFormat="1" x14ac:dyDescent="0.2">
      <c r="A238" s="139"/>
      <c r="B238" s="248"/>
      <c r="C238" s="248"/>
    </row>
    <row r="239" spans="1:3" s="137" customFormat="1" x14ac:dyDescent="0.2">
      <c r="A239" s="139"/>
      <c r="B239" s="248"/>
      <c r="C239" s="248"/>
    </row>
    <row r="240" spans="1:3" s="137" customFormat="1" x14ac:dyDescent="0.2">
      <c r="A240" s="139"/>
      <c r="B240" s="248"/>
      <c r="C240" s="248"/>
    </row>
    <row r="241" spans="1:3" s="137" customFormat="1" x14ac:dyDescent="0.2">
      <c r="A241" s="139"/>
      <c r="B241" s="248"/>
      <c r="C241" s="248"/>
    </row>
    <row r="242" spans="1:3" s="137" customFormat="1" x14ac:dyDescent="0.2">
      <c r="A242" s="139"/>
      <c r="B242" s="248"/>
      <c r="C242" s="248"/>
    </row>
    <row r="243" spans="1:3" s="137" customFormat="1" x14ac:dyDescent="0.2">
      <c r="A243" s="139"/>
      <c r="B243" s="248"/>
      <c r="C243" s="248"/>
    </row>
    <row r="244" spans="1:3" s="137" customFormat="1" x14ac:dyDescent="0.2">
      <c r="A244" s="139"/>
      <c r="B244" s="248"/>
      <c r="C244" s="248"/>
    </row>
    <row r="245" spans="1:3" s="137" customFormat="1" x14ac:dyDescent="0.2">
      <c r="A245" s="139"/>
      <c r="B245" s="248"/>
      <c r="C245" s="248"/>
    </row>
    <row r="246" spans="1:3" s="137" customFormat="1" x14ac:dyDescent="0.2">
      <c r="A246" s="139"/>
      <c r="B246" s="248"/>
      <c r="C246" s="248"/>
    </row>
    <row r="247" spans="1:3" s="137" customFormat="1" x14ac:dyDescent="0.2">
      <c r="A247" s="139"/>
      <c r="B247" s="248"/>
      <c r="C247" s="248"/>
    </row>
    <row r="248" spans="1:3" s="137" customFormat="1" x14ac:dyDescent="0.2">
      <c r="A248" s="139"/>
      <c r="B248" s="248"/>
      <c r="C248" s="248"/>
    </row>
    <row r="249" spans="1:3" s="137" customFormat="1" x14ac:dyDescent="0.2">
      <c r="A249" s="139"/>
      <c r="B249" s="248"/>
      <c r="C249" s="248"/>
    </row>
    <row r="250" spans="1:3" s="137" customFormat="1" x14ac:dyDescent="0.2">
      <c r="A250" s="139"/>
      <c r="B250" s="248"/>
      <c r="C250" s="248"/>
    </row>
    <row r="251" spans="1:3" s="137" customFormat="1" x14ac:dyDescent="0.2">
      <c r="A251" s="139"/>
      <c r="B251" s="248"/>
      <c r="C251" s="248"/>
    </row>
    <row r="252" spans="1:3" s="137" customFormat="1" x14ac:dyDescent="0.2">
      <c r="A252" s="139"/>
      <c r="B252" s="248"/>
      <c r="C252" s="248"/>
    </row>
    <row r="253" spans="1:3" s="137" customFormat="1" x14ac:dyDescent="0.2">
      <c r="A253" s="139"/>
      <c r="B253" s="248"/>
      <c r="C253" s="248"/>
    </row>
    <row r="254" spans="1:3" s="137" customFormat="1" x14ac:dyDescent="0.2">
      <c r="A254" s="139"/>
      <c r="B254" s="248"/>
      <c r="C254" s="248"/>
    </row>
    <row r="255" spans="1:3" s="137" customFormat="1" x14ac:dyDescent="0.2">
      <c r="A255" s="139"/>
      <c r="B255" s="248"/>
      <c r="C255" s="248"/>
    </row>
    <row r="256" spans="1:3" s="137" customFormat="1" x14ac:dyDescent="0.2">
      <c r="A256" s="139"/>
      <c r="B256" s="248"/>
      <c r="C256" s="248"/>
    </row>
    <row r="257" spans="1:3" s="137" customFormat="1" x14ac:dyDescent="0.2">
      <c r="A257" s="139"/>
      <c r="B257" s="248"/>
      <c r="C257" s="248"/>
    </row>
    <row r="258" spans="1:3" s="137" customFormat="1" x14ac:dyDescent="0.2">
      <c r="A258" s="139"/>
      <c r="B258" s="248"/>
      <c r="C258" s="248"/>
    </row>
    <row r="259" spans="1:3" s="137" customFormat="1" x14ac:dyDescent="0.2">
      <c r="A259" s="139"/>
      <c r="B259" s="248"/>
      <c r="C259" s="248"/>
    </row>
    <row r="260" spans="1:3" s="137" customFormat="1" x14ac:dyDescent="0.2">
      <c r="A260" s="139"/>
      <c r="B260" s="248"/>
      <c r="C260" s="248"/>
    </row>
    <row r="261" spans="1:3" s="137" customFormat="1" x14ac:dyDescent="0.2">
      <c r="A261" s="139"/>
      <c r="B261" s="248"/>
      <c r="C261" s="248"/>
    </row>
    <row r="262" spans="1:3" s="137" customFormat="1" x14ac:dyDescent="0.2">
      <c r="A262" s="139"/>
      <c r="B262" s="248"/>
      <c r="C262" s="248"/>
    </row>
    <row r="263" spans="1:3" s="137" customFormat="1" x14ac:dyDescent="0.2">
      <c r="A263" s="139"/>
      <c r="B263" s="248"/>
      <c r="C263" s="248"/>
    </row>
    <row r="264" spans="1:3" s="137" customFormat="1" x14ac:dyDescent="0.2">
      <c r="A264" s="139"/>
      <c r="B264" s="248"/>
      <c r="C264" s="248"/>
    </row>
    <row r="265" spans="1:3" s="137" customFormat="1" x14ac:dyDescent="0.2">
      <c r="A265" s="139"/>
      <c r="B265" s="248"/>
      <c r="C265" s="248"/>
    </row>
    <row r="266" spans="1:3" s="137" customFormat="1" x14ac:dyDescent="0.2">
      <c r="A266" s="139"/>
      <c r="B266" s="248"/>
      <c r="C266" s="248"/>
    </row>
    <row r="267" spans="1:3" s="137" customFormat="1" x14ac:dyDescent="0.2">
      <c r="A267" s="139"/>
      <c r="B267" s="248"/>
      <c r="C267" s="248"/>
    </row>
    <row r="268" spans="1:3" s="137" customFormat="1" x14ac:dyDescent="0.2">
      <c r="A268" s="139"/>
      <c r="B268" s="248"/>
      <c r="C268" s="248"/>
    </row>
    <row r="269" spans="1:3" s="137" customFormat="1" x14ac:dyDescent="0.2">
      <c r="A269" s="139"/>
      <c r="B269" s="248"/>
      <c r="C269" s="248"/>
    </row>
    <row r="270" spans="1:3" s="137" customFormat="1" x14ac:dyDescent="0.2">
      <c r="A270" s="139"/>
      <c r="B270" s="248"/>
      <c r="C270" s="248"/>
    </row>
    <row r="271" spans="1:3" s="137" customFormat="1" x14ac:dyDescent="0.2">
      <c r="A271" s="139"/>
      <c r="B271" s="248"/>
      <c r="C271" s="248"/>
    </row>
    <row r="272" spans="1:3" s="137" customFormat="1" x14ac:dyDescent="0.2">
      <c r="A272" s="139"/>
      <c r="B272" s="248"/>
      <c r="C272" s="248"/>
    </row>
    <row r="273" spans="1:3" s="137" customFormat="1" x14ac:dyDescent="0.2">
      <c r="A273" s="139"/>
      <c r="B273" s="248"/>
      <c r="C273" s="248"/>
    </row>
    <row r="274" spans="1:3" s="137" customFormat="1" x14ac:dyDescent="0.2">
      <c r="A274" s="139"/>
      <c r="B274" s="248"/>
      <c r="C274" s="248"/>
    </row>
    <row r="275" spans="1:3" s="137" customFormat="1" x14ac:dyDescent="0.2">
      <c r="A275" s="139"/>
      <c r="B275" s="248"/>
      <c r="C275" s="248"/>
    </row>
    <row r="276" spans="1:3" s="137" customFormat="1" x14ac:dyDescent="0.2">
      <c r="A276" s="139"/>
      <c r="B276" s="248"/>
      <c r="C276" s="248"/>
    </row>
    <row r="277" spans="1:3" s="137" customFormat="1" x14ac:dyDescent="0.2">
      <c r="A277" s="139"/>
      <c r="B277" s="248"/>
      <c r="C277" s="248"/>
    </row>
    <row r="278" spans="1:3" s="137" customFormat="1" x14ac:dyDescent="0.2">
      <c r="A278" s="139"/>
      <c r="B278" s="248"/>
      <c r="C278" s="248"/>
    </row>
    <row r="279" spans="1:3" s="137" customFormat="1" x14ac:dyDescent="0.2">
      <c r="A279" s="139"/>
      <c r="B279" s="248"/>
      <c r="C279" s="248"/>
    </row>
    <row r="280" spans="1:3" s="137" customFormat="1" x14ac:dyDescent="0.2">
      <c r="A280" s="139"/>
      <c r="B280" s="248"/>
      <c r="C280" s="248"/>
    </row>
    <row r="281" spans="1:3" s="137" customFormat="1" x14ac:dyDescent="0.2">
      <c r="A281" s="139"/>
      <c r="B281" s="248"/>
      <c r="C281" s="248"/>
    </row>
    <row r="282" spans="1:3" s="137" customFormat="1" x14ac:dyDescent="0.2">
      <c r="A282" s="139"/>
      <c r="B282" s="248"/>
      <c r="C282" s="248"/>
    </row>
    <row r="283" spans="1:3" s="137" customFormat="1" x14ac:dyDescent="0.2">
      <c r="A283" s="139"/>
      <c r="B283" s="248"/>
      <c r="C283" s="248"/>
    </row>
    <row r="284" spans="1:3" s="137" customFormat="1" x14ac:dyDescent="0.2">
      <c r="A284" s="139"/>
      <c r="B284" s="248"/>
      <c r="C284" s="248"/>
    </row>
    <row r="285" spans="1:3" s="137" customFormat="1" x14ac:dyDescent="0.2">
      <c r="A285" s="139"/>
      <c r="B285" s="248"/>
      <c r="C285" s="248"/>
    </row>
    <row r="286" spans="1:3" s="137" customFormat="1" x14ac:dyDescent="0.2">
      <c r="A286" s="139"/>
      <c r="B286" s="248"/>
      <c r="C286" s="248"/>
    </row>
    <row r="287" spans="1:3" s="137" customFormat="1" x14ac:dyDescent="0.2">
      <c r="A287" s="139"/>
      <c r="B287" s="248"/>
      <c r="C287" s="248"/>
    </row>
    <row r="288" spans="1:3" s="137" customFormat="1" x14ac:dyDescent="0.2">
      <c r="A288" s="139"/>
      <c r="B288" s="248"/>
      <c r="C288" s="248"/>
    </row>
    <row r="289" spans="1:3" s="137" customFormat="1" x14ac:dyDescent="0.2">
      <c r="A289" s="139"/>
      <c r="B289" s="248"/>
      <c r="C289" s="248"/>
    </row>
    <row r="290" spans="1:3" s="137" customFormat="1" x14ac:dyDescent="0.2">
      <c r="A290" s="139"/>
      <c r="B290" s="248"/>
      <c r="C290" s="248"/>
    </row>
    <row r="291" spans="1:3" s="137" customFormat="1" x14ac:dyDescent="0.2">
      <c r="A291" s="139"/>
      <c r="B291" s="248"/>
      <c r="C291" s="248"/>
    </row>
    <row r="292" spans="1:3" s="137" customFormat="1" x14ac:dyDescent="0.2">
      <c r="A292" s="139"/>
      <c r="B292" s="248"/>
      <c r="C292" s="248"/>
    </row>
    <row r="293" spans="1:3" s="137" customFormat="1" x14ac:dyDescent="0.2">
      <c r="A293" s="139"/>
      <c r="B293" s="248"/>
      <c r="C293" s="248"/>
    </row>
    <row r="294" spans="1:3" s="137" customFormat="1" x14ac:dyDescent="0.2">
      <c r="A294" s="139"/>
      <c r="B294" s="248"/>
      <c r="C294" s="248"/>
    </row>
    <row r="295" spans="1:3" s="137" customFormat="1" x14ac:dyDescent="0.2">
      <c r="A295" s="139"/>
      <c r="B295" s="248"/>
      <c r="C295" s="248"/>
    </row>
    <row r="296" spans="1:3" s="137" customFormat="1" x14ac:dyDescent="0.2">
      <c r="A296" s="139"/>
      <c r="B296" s="248"/>
      <c r="C296" s="248"/>
    </row>
    <row r="297" spans="1:3" s="137" customFormat="1" x14ac:dyDescent="0.2">
      <c r="A297" s="139"/>
      <c r="B297" s="248"/>
      <c r="C297" s="248"/>
    </row>
    <row r="298" spans="1:3" s="137" customFormat="1" x14ac:dyDescent="0.2">
      <c r="A298" s="139"/>
      <c r="B298" s="248"/>
      <c r="C298" s="248"/>
    </row>
    <row r="299" spans="1:3" s="137" customFormat="1" x14ac:dyDescent="0.2">
      <c r="A299" s="139"/>
      <c r="B299" s="248"/>
      <c r="C299" s="248"/>
    </row>
    <row r="300" spans="1:3" s="137" customFormat="1" x14ac:dyDescent="0.2">
      <c r="A300" s="139"/>
      <c r="B300" s="248"/>
      <c r="C300" s="248"/>
    </row>
    <row r="301" spans="1:3" s="137" customFormat="1" x14ac:dyDescent="0.2">
      <c r="A301" s="139"/>
      <c r="B301" s="248"/>
      <c r="C301" s="248"/>
    </row>
    <row r="302" spans="1:3" s="137" customFormat="1" x14ac:dyDescent="0.2">
      <c r="A302" s="139"/>
      <c r="B302" s="248"/>
      <c r="C302" s="248"/>
    </row>
    <row r="303" spans="1:3" s="137" customFormat="1" x14ac:dyDescent="0.2">
      <c r="A303" s="139"/>
      <c r="B303" s="248"/>
      <c r="C303" s="248"/>
    </row>
    <row r="304" spans="1:3" s="137" customFormat="1" x14ac:dyDescent="0.2">
      <c r="A304" s="139"/>
      <c r="B304" s="248"/>
      <c r="C304" s="248"/>
    </row>
    <row r="305" spans="1:3" s="137" customFormat="1" x14ac:dyDescent="0.2">
      <c r="A305" s="139"/>
      <c r="B305" s="248"/>
      <c r="C305" s="248"/>
    </row>
    <row r="306" spans="1:3" s="137" customFormat="1" x14ac:dyDescent="0.2">
      <c r="A306" s="139"/>
      <c r="B306" s="248"/>
      <c r="C306" s="248"/>
    </row>
    <row r="307" spans="1:3" s="137" customFormat="1" x14ac:dyDescent="0.2">
      <c r="A307" s="139"/>
      <c r="B307" s="248"/>
      <c r="C307" s="248"/>
    </row>
    <row r="308" spans="1:3" s="137" customFormat="1" x14ac:dyDescent="0.2">
      <c r="A308" s="139"/>
      <c r="B308" s="248"/>
      <c r="C308" s="248"/>
    </row>
    <row r="309" spans="1:3" s="137" customFormat="1" x14ac:dyDescent="0.2">
      <c r="A309" s="139"/>
      <c r="B309" s="248"/>
      <c r="C309" s="248"/>
    </row>
    <row r="310" spans="1:3" s="137" customFormat="1" x14ac:dyDescent="0.2">
      <c r="A310" s="139"/>
      <c r="B310" s="248"/>
      <c r="C310" s="248"/>
    </row>
    <row r="311" spans="1:3" s="137" customFormat="1" x14ac:dyDescent="0.2">
      <c r="A311" s="139"/>
      <c r="B311" s="248"/>
      <c r="C311" s="248"/>
    </row>
    <row r="312" spans="1:3" s="137" customFormat="1" x14ac:dyDescent="0.2">
      <c r="A312" s="139"/>
      <c r="B312" s="248"/>
      <c r="C312" s="248"/>
    </row>
    <row r="313" spans="1:3" s="137" customFormat="1" x14ac:dyDescent="0.2">
      <c r="A313" s="139"/>
      <c r="B313" s="248"/>
      <c r="C313" s="248"/>
    </row>
    <row r="314" spans="1:3" s="137" customFormat="1" x14ac:dyDescent="0.2">
      <c r="A314" s="139"/>
      <c r="B314" s="248"/>
      <c r="C314" s="248"/>
    </row>
    <row r="315" spans="1:3" s="137" customFormat="1" x14ac:dyDescent="0.2">
      <c r="A315" s="139"/>
      <c r="B315" s="248"/>
      <c r="C315" s="248"/>
    </row>
    <row r="316" spans="1:3" s="137" customFormat="1" x14ac:dyDescent="0.2">
      <c r="A316" s="139"/>
      <c r="B316" s="248"/>
      <c r="C316" s="248"/>
    </row>
    <row r="317" spans="1:3" s="137" customFormat="1" x14ac:dyDescent="0.2">
      <c r="A317" s="139"/>
      <c r="B317" s="248"/>
      <c r="C317" s="248"/>
    </row>
    <row r="318" spans="1:3" s="137" customFormat="1" x14ac:dyDescent="0.2">
      <c r="A318" s="139"/>
      <c r="B318" s="248"/>
      <c r="C318" s="248"/>
    </row>
    <row r="319" spans="1:3" s="137" customFormat="1" x14ac:dyDescent="0.2">
      <c r="A319" s="139"/>
      <c r="B319" s="248"/>
      <c r="C319" s="248"/>
    </row>
    <row r="320" spans="1:3" s="137" customFormat="1" x14ac:dyDescent="0.2">
      <c r="A320" s="139"/>
      <c r="B320" s="248"/>
      <c r="C320" s="248"/>
    </row>
    <row r="321" spans="1:3" s="137" customFormat="1" x14ac:dyDescent="0.2">
      <c r="A321" s="139"/>
      <c r="B321" s="248"/>
      <c r="C321" s="248"/>
    </row>
    <row r="322" spans="1:3" s="137" customFormat="1" x14ac:dyDescent="0.2">
      <c r="A322" s="139"/>
      <c r="B322" s="248"/>
      <c r="C322" s="248"/>
    </row>
    <row r="323" spans="1:3" s="137" customFormat="1" x14ac:dyDescent="0.2">
      <c r="A323" s="139"/>
      <c r="B323" s="248"/>
      <c r="C323" s="248"/>
    </row>
    <row r="324" spans="1:3" s="137" customFormat="1" x14ac:dyDescent="0.2">
      <c r="A324" s="139"/>
      <c r="B324" s="248"/>
      <c r="C324" s="248"/>
    </row>
    <row r="325" spans="1:3" s="137" customFormat="1" x14ac:dyDescent="0.2">
      <c r="A325" s="139"/>
      <c r="B325" s="248"/>
      <c r="C325" s="248"/>
    </row>
    <row r="326" spans="1:3" s="137" customFormat="1" x14ac:dyDescent="0.2">
      <c r="A326" s="139"/>
      <c r="B326" s="248"/>
      <c r="C326" s="248"/>
    </row>
    <row r="327" spans="1:3" s="137" customFormat="1" x14ac:dyDescent="0.2">
      <c r="A327" s="139"/>
      <c r="B327" s="248"/>
      <c r="C327" s="248"/>
    </row>
    <row r="328" spans="1:3" s="137" customFormat="1" x14ac:dyDescent="0.2">
      <c r="A328" s="139"/>
      <c r="B328" s="248"/>
      <c r="C328" s="248"/>
    </row>
    <row r="329" spans="1:3" s="137" customFormat="1" x14ac:dyDescent="0.2">
      <c r="A329" s="139"/>
      <c r="B329" s="248"/>
      <c r="C329" s="248"/>
    </row>
    <row r="330" spans="1:3" s="137" customFormat="1" x14ac:dyDescent="0.2">
      <c r="A330" s="139"/>
      <c r="B330" s="248"/>
      <c r="C330" s="248"/>
    </row>
    <row r="331" spans="1:3" s="137" customFormat="1" x14ac:dyDescent="0.2">
      <c r="A331" s="139"/>
      <c r="B331" s="248"/>
      <c r="C331" s="248"/>
    </row>
    <row r="332" spans="1:3" s="137" customFormat="1" x14ac:dyDescent="0.2">
      <c r="A332" s="139"/>
      <c r="B332" s="248"/>
      <c r="C332" s="248"/>
    </row>
    <row r="333" spans="1:3" s="137" customFormat="1" x14ac:dyDescent="0.2">
      <c r="A333" s="139"/>
      <c r="B333" s="248"/>
      <c r="C333" s="248"/>
    </row>
    <row r="334" spans="1:3" s="137" customFormat="1" x14ac:dyDescent="0.2">
      <c r="A334" s="139"/>
      <c r="B334" s="248"/>
      <c r="C334" s="248"/>
    </row>
    <row r="335" spans="1:3" s="137" customFormat="1" x14ac:dyDescent="0.2">
      <c r="A335" s="139"/>
      <c r="B335" s="248"/>
      <c r="C335" s="248"/>
    </row>
    <row r="336" spans="1:3" s="137" customFormat="1" x14ac:dyDescent="0.2">
      <c r="A336" s="139"/>
      <c r="B336" s="248"/>
      <c r="C336" s="248"/>
    </row>
    <row r="337" spans="1:3" s="137" customFormat="1" x14ac:dyDescent="0.2">
      <c r="A337" s="139"/>
      <c r="B337" s="248"/>
      <c r="C337" s="248"/>
    </row>
    <row r="338" spans="1:3" s="137" customFormat="1" x14ac:dyDescent="0.2">
      <c r="A338" s="139"/>
      <c r="B338" s="248"/>
      <c r="C338" s="248"/>
    </row>
    <row r="339" spans="1:3" s="137" customFormat="1" x14ac:dyDescent="0.2">
      <c r="A339" s="139"/>
      <c r="B339" s="248"/>
      <c r="C339" s="248"/>
    </row>
    <row r="340" spans="1:3" s="137" customFormat="1" x14ac:dyDescent="0.2">
      <c r="A340" s="139"/>
      <c r="B340" s="248"/>
      <c r="C340" s="248"/>
    </row>
    <row r="341" spans="1:3" s="137" customFormat="1" x14ac:dyDescent="0.2">
      <c r="A341" s="139"/>
      <c r="B341" s="248"/>
      <c r="C341" s="248"/>
    </row>
    <row r="342" spans="1:3" s="137" customFormat="1" x14ac:dyDescent="0.2">
      <c r="A342" s="139"/>
      <c r="B342" s="248"/>
      <c r="C342" s="248"/>
    </row>
    <row r="343" spans="1:3" s="137" customFormat="1" x14ac:dyDescent="0.2">
      <c r="A343" s="139"/>
      <c r="B343" s="248"/>
      <c r="C343" s="248"/>
    </row>
    <row r="344" spans="1:3" s="137" customFormat="1" x14ac:dyDescent="0.2">
      <c r="A344" s="139"/>
      <c r="B344" s="248"/>
      <c r="C344" s="248"/>
    </row>
    <row r="345" spans="1:3" s="137" customFormat="1" x14ac:dyDescent="0.2">
      <c r="A345" s="139"/>
      <c r="B345" s="248"/>
      <c r="C345" s="248"/>
    </row>
    <row r="346" spans="1:3" s="137" customFormat="1" x14ac:dyDescent="0.2">
      <c r="A346" s="139"/>
      <c r="B346" s="248"/>
      <c r="C346" s="248"/>
    </row>
    <row r="347" spans="1:3" s="137" customFormat="1" x14ac:dyDescent="0.2">
      <c r="A347" s="139"/>
      <c r="B347" s="248"/>
      <c r="C347" s="248"/>
    </row>
    <row r="348" spans="1:3" s="137" customFormat="1" x14ac:dyDescent="0.2">
      <c r="A348" s="139"/>
      <c r="B348" s="248"/>
      <c r="C348" s="248"/>
    </row>
    <row r="349" spans="1:3" s="137" customFormat="1" x14ac:dyDescent="0.2">
      <c r="A349" s="139"/>
      <c r="B349" s="248"/>
      <c r="C349" s="248"/>
    </row>
    <row r="350" spans="1:3" s="137" customFormat="1" x14ac:dyDescent="0.2">
      <c r="A350" s="139"/>
      <c r="B350" s="248"/>
      <c r="C350" s="248"/>
    </row>
    <row r="351" spans="1:3" s="137" customFormat="1" x14ac:dyDescent="0.2">
      <c r="A351" s="139"/>
      <c r="B351" s="248"/>
      <c r="C351" s="248"/>
    </row>
    <row r="352" spans="1:3" s="137" customFormat="1" x14ac:dyDescent="0.2">
      <c r="A352" s="139"/>
      <c r="B352" s="248"/>
      <c r="C352" s="248"/>
    </row>
    <row r="353" spans="1:3" s="137" customFormat="1" x14ac:dyDescent="0.2">
      <c r="A353" s="139"/>
      <c r="B353" s="248"/>
      <c r="C353" s="248"/>
    </row>
    <row r="354" spans="1:3" s="137" customFormat="1" x14ac:dyDescent="0.2">
      <c r="A354" s="139"/>
      <c r="B354" s="248"/>
      <c r="C354" s="248"/>
    </row>
    <row r="355" spans="1:3" s="137" customFormat="1" x14ac:dyDescent="0.2">
      <c r="A355" s="139"/>
      <c r="B355" s="248"/>
      <c r="C355" s="248"/>
    </row>
    <row r="356" spans="1:3" s="137" customFormat="1" x14ac:dyDescent="0.2">
      <c r="A356" s="139"/>
      <c r="B356" s="248"/>
      <c r="C356" s="248"/>
    </row>
    <row r="357" spans="1:3" s="137" customFormat="1" x14ac:dyDescent="0.2">
      <c r="A357" s="139"/>
      <c r="B357" s="248"/>
      <c r="C357" s="248"/>
    </row>
    <row r="358" spans="1:3" s="137" customFormat="1" x14ac:dyDescent="0.2">
      <c r="A358" s="139"/>
      <c r="B358" s="248"/>
      <c r="C358" s="248"/>
    </row>
    <row r="359" spans="1:3" s="137" customFormat="1" x14ac:dyDescent="0.2">
      <c r="A359" s="139"/>
      <c r="B359" s="248"/>
      <c r="C359" s="248"/>
    </row>
    <row r="360" spans="1:3" s="137" customFormat="1" x14ac:dyDescent="0.2">
      <c r="A360" s="139"/>
      <c r="B360" s="248"/>
      <c r="C360" s="248"/>
    </row>
    <row r="361" spans="1:3" s="137" customFormat="1" x14ac:dyDescent="0.2">
      <c r="A361" s="139"/>
      <c r="B361" s="248"/>
      <c r="C361" s="248"/>
    </row>
    <row r="362" spans="1:3" s="137" customFormat="1" x14ac:dyDescent="0.2">
      <c r="A362" s="139"/>
      <c r="B362" s="248"/>
      <c r="C362" s="248"/>
    </row>
    <row r="363" spans="1:3" s="137" customFormat="1" x14ac:dyDescent="0.2">
      <c r="A363" s="139"/>
      <c r="B363" s="248"/>
      <c r="C363" s="248"/>
    </row>
    <row r="364" spans="1:3" s="137" customFormat="1" x14ac:dyDescent="0.2">
      <c r="A364" s="139"/>
      <c r="B364" s="248"/>
      <c r="C364" s="248"/>
    </row>
    <row r="365" spans="1:3" s="137" customFormat="1" x14ac:dyDescent="0.2">
      <c r="A365" s="139"/>
      <c r="B365" s="248"/>
      <c r="C365" s="248"/>
    </row>
    <row r="366" spans="1:3" s="137" customFormat="1" x14ac:dyDescent="0.2">
      <c r="A366" s="139"/>
      <c r="B366" s="248"/>
      <c r="C366" s="248"/>
    </row>
    <row r="367" spans="1:3" s="137" customFormat="1" x14ac:dyDescent="0.2">
      <c r="A367" s="139"/>
      <c r="B367" s="248"/>
      <c r="C367" s="248"/>
    </row>
    <row r="368" spans="1:3" s="137" customFormat="1" x14ac:dyDescent="0.2">
      <c r="A368" s="139"/>
      <c r="B368" s="248"/>
      <c r="C368" s="248"/>
    </row>
    <row r="369" spans="1:3" s="137" customFormat="1" x14ac:dyDescent="0.2">
      <c r="A369" s="139"/>
      <c r="B369" s="248"/>
      <c r="C369" s="248"/>
    </row>
    <row r="370" spans="1:3" s="137" customFormat="1" x14ac:dyDescent="0.2">
      <c r="A370" s="139"/>
      <c r="B370" s="248"/>
      <c r="C370" s="248"/>
    </row>
    <row r="371" spans="1:3" s="137" customFormat="1" x14ac:dyDescent="0.2">
      <c r="A371" s="139"/>
      <c r="B371" s="248"/>
      <c r="C371" s="248"/>
    </row>
    <row r="372" spans="1:3" s="137" customFormat="1" x14ac:dyDescent="0.2">
      <c r="A372" s="139"/>
      <c r="B372" s="248"/>
      <c r="C372" s="248"/>
    </row>
    <row r="373" spans="1:3" s="137" customFormat="1" x14ac:dyDescent="0.2">
      <c r="A373" s="139"/>
      <c r="B373" s="248"/>
      <c r="C373" s="248"/>
    </row>
    <row r="374" spans="1:3" s="137" customFormat="1" x14ac:dyDescent="0.2">
      <c r="A374" s="139"/>
      <c r="B374" s="248"/>
      <c r="C374" s="248"/>
    </row>
    <row r="375" spans="1:3" s="137" customFormat="1" x14ac:dyDescent="0.2">
      <c r="A375" s="139"/>
      <c r="B375" s="248"/>
      <c r="C375" s="248"/>
    </row>
    <row r="376" spans="1:3" s="137" customFormat="1" x14ac:dyDescent="0.2">
      <c r="A376" s="139"/>
      <c r="B376" s="248"/>
      <c r="C376" s="248"/>
    </row>
    <row r="377" spans="1:3" s="137" customFormat="1" x14ac:dyDescent="0.2">
      <c r="A377" s="139"/>
      <c r="B377" s="248"/>
      <c r="C377" s="248"/>
    </row>
    <row r="378" spans="1:3" s="137" customFormat="1" x14ac:dyDescent="0.2">
      <c r="A378" s="139"/>
      <c r="B378" s="248"/>
      <c r="C378" s="248"/>
    </row>
    <row r="379" spans="1:3" s="137" customFormat="1" x14ac:dyDescent="0.2">
      <c r="A379" s="139"/>
      <c r="B379" s="248"/>
      <c r="C379" s="248"/>
    </row>
    <row r="380" spans="1:3" s="137" customFormat="1" x14ac:dyDescent="0.2">
      <c r="A380" s="139"/>
      <c r="B380" s="248"/>
      <c r="C380" s="248"/>
    </row>
    <row r="381" spans="1:3" s="137" customFormat="1" x14ac:dyDescent="0.2">
      <c r="A381" s="139"/>
      <c r="B381" s="248"/>
      <c r="C381" s="248"/>
    </row>
    <row r="382" spans="1:3" s="137" customFormat="1" x14ac:dyDescent="0.2">
      <c r="A382" s="139"/>
      <c r="B382" s="248"/>
      <c r="C382" s="248"/>
    </row>
    <row r="383" spans="1:3" s="137" customFormat="1" x14ac:dyDescent="0.2">
      <c r="A383" s="139"/>
      <c r="B383" s="248"/>
      <c r="C383" s="248"/>
    </row>
    <row r="384" spans="1:3" s="137" customFormat="1" x14ac:dyDescent="0.2">
      <c r="A384" s="139"/>
      <c r="B384" s="248"/>
      <c r="C384" s="248"/>
    </row>
    <row r="385" spans="1:3" s="137" customFormat="1" x14ac:dyDescent="0.2">
      <c r="A385" s="139"/>
      <c r="B385" s="248"/>
      <c r="C385" s="248"/>
    </row>
    <row r="386" spans="1:3" s="137" customFormat="1" x14ac:dyDescent="0.2">
      <c r="A386" s="139"/>
      <c r="B386" s="248"/>
      <c r="C386" s="248"/>
    </row>
    <row r="387" spans="1:3" s="137" customFormat="1" x14ac:dyDescent="0.2">
      <c r="A387" s="139"/>
      <c r="B387" s="248"/>
      <c r="C387" s="248"/>
    </row>
    <row r="388" spans="1:3" s="137" customFormat="1" x14ac:dyDescent="0.2">
      <c r="A388" s="139"/>
      <c r="B388" s="248"/>
      <c r="C388" s="248"/>
    </row>
    <row r="389" spans="1:3" s="137" customFormat="1" x14ac:dyDescent="0.2">
      <c r="A389" s="139"/>
      <c r="B389" s="248"/>
      <c r="C389" s="248"/>
    </row>
    <row r="390" spans="1:3" s="137" customFormat="1" x14ac:dyDescent="0.2">
      <c r="A390" s="139"/>
      <c r="B390" s="248"/>
      <c r="C390" s="248"/>
    </row>
    <row r="391" spans="1:3" s="137" customFormat="1" x14ac:dyDescent="0.2">
      <c r="A391" s="139"/>
      <c r="B391" s="248"/>
      <c r="C391" s="248"/>
    </row>
    <row r="392" spans="1:3" s="137" customFormat="1" x14ac:dyDescent="0.2">
      <c r="A392" s="139"/>
      <c r="B392" s="248"/>
      <c r="C392" s="248"/>
    </row>
    <row r="393" spans="1:3" s="137" customFormat="1" x14ac:dyDescent="0.2">
      <c r="A393" s="139"/>
      <c r="B393" s="248"/>
      <c r="C393" s="248"/>
    </row>
    <row r="394" spans="1:3" s="137" customFormat="1" x14ac:dyDescent="0.2">
      <c r="A394" s="139"/>
      <c r="B394" s="248"/>
      <c r="C394" s="248"/>
    </row>
    <row r="395" spans="1:3" s="137" customFormat="1" x14ac:dyDescent="0.2">
      <c r="A395" s="139"/>
      <c r="B395" s="248"/>
      <c r="C395" s="248"/>
    </row>
    <row r="396" spans="1:3" s="137" customFormat="1" x14ac:dyDescent="0.2">
      <c r="A396" s="139"/>
      <c r="B396" s="248"/>
      <c r="C396" s="248"/>
    </row>
    <row r="397" spans="1:3" s="137" customFormat="1" x14ac:dyDescent="0.2">
      <c r="A397" s="139"/>
      <c r="B397" s="248"/>
      <c r="C397" s="248"/>
    </row>
    <row r="398" spans="1:3" s="137" customFormat="1" x14ac:dyDescent="0.2">
      <c r="A398" s="139"/>
      <c r="B398" s="248"/>
      <c r="C398" s="248"/>
    </row>
    <row r="399" spans="1:3" s="137" customFormat="1" x14ac:dyDescent="0.2">
      <c r="A399" s="139"/>
      <c r="B399" s="248"/>
      <c r="C399" s="248"/>
    </row>
    <row r="400" spans="1:3" s="137" customFormat="1" x14ac:dyDescent="0.2">
      <c r="A400" s="139"/>
      <c r="B400" s="248"/>
      <c r="C400" s="248"/>
    </row>
    <row r="401" spans="1:3" s="137" customFormat="1" x14ac:dyDescent="0.2">
      <c r="A401" s="139"/>
      <c r="B401" s="248"/>
      <c r="C401" s="248"/>
    </row>
    <row r="402" spans="1:3" s="137" customFormat="1" x14ac:dyDescent="0.2">
      <c r="A402" s="139"/>
      <c r="B402" s="248"/>
      <c r="C402" s="248"/>
    </row>
    <row r="403" spans="1:3" s="137" customFormat="1" x14ac:dyDescent="0.2">
      <c r="A403" s="139"/>
      <c r="B403" s="248"/>
      <c r="C403" s="248"/>
    </row>
    <row r="404" spans="1:3" s="137" customFormat="1" x14ac:dyDescent="0.2">
      <c r="A404" s="139"/>
      <c r="B404" s="248"/>
      <c r="C404" s="248"/>
    </row>
    <row r="405" spans="1:3" s="137" customFormat="1" x14ac:dyDescent="0.2">
      <c r="A405" s="139"/>
      <c r="B405" s="248"/>
      <c r="C405" s="248"/>
    </row>
    <row r="406" spans="1:3" s="137" customFormat="1" x14ac:dyDescent="0.2">
      <c r="A406" s="139"/>
      <c r="B406" s="248"/>
      <c r="C406" s="248"/>
    </row>
    <row r="407" spans="1:3" s="137" customFormat="1" x14ac:dyDescent="0.2">
      <c r="A407" s="139"/>
      <c r="B407" s="248"/>
      <c r="C407" s="248"/>
    </row>
    <row r="408" spans="1:3" s="137" customFormat="1" x14ac:dyDescent="0.2">
      <c r="A408" s="139"/>
      <c r="B408" s="248"/>
      <c r="C408" s="248"/>
    </row>
    <row r="409" spans="1:3" s="137" customFormat="1" x14ac:dyDescent="0.2">
      <c r="A409" s="139"/>
      <c r="B409" s="248"/>
      <c r="C409" s="248"/>
    </row>
    <row r="410" spans="1:3" s="137" customFormat="1" x14ac:dyDescent="0.2">
      <c r="A410" s="139"/>
      <c r="B410" s="248"/>
      <c r="C410" s="248"/>
    </row>
    <row r="411" spans="1:3" s="137" customFormat="1" x14ac:dyDescent="0.2">
      <c r="A411" s="139"/>
      <c r="B411" s="248"/>
      <c r="C411" s="248"/>
    </row>
    <row r="412" spans="1:3" s="137" customFormat="1" x14ac:dyDescent="0.2">
      <c r="A412" s="139"/>
      <c r="B412" s="248"/>
      <c r="C412" s="248"/>
    </row>
    <row r="413" spans="1:3" s="137" customFormat="1" x14ac:dyDescent="0.2">
      <c r="A413" s="139"/>
      <c r="B413" s="248"/>
      <c r="C413" s="248"/>
    </row>
    <row r="414" spans="1:3" s="137" customFormat="1" x14ac:dyDescent="0.2">
      <c r="A414" s="139"/>
      <c r="B414" s="248"/>
      <c r="C414" s="248"/>
    </row>
    <row r="415" spans="1:3" s="137" customFormat="1" x14ac:dyDescent="0.2">
      <c r="A415" s="139"/>
      <c r="B415" s="248"/>
      <c r="C415" s="248"/>
    </row>
    <row r="416" spans="1:3" s="137" customFormat="1" x14ac:dyDescent="0.2">
      <c r="A416" s="139"/>
      <c r="B416" s="248"/>
      <c r="C416" s="248"/>
    </row>
    <row r="417" spans="1:3" s="137" customFormat="1" x14ac:dyDescent="0.2">
      <c r="A417" s="139"/>
      <c r="B417" s="248"/>
      <c r="C417" s="248"/>
    </row>
    <row r="418" spans="1:3" s="137" customFormat="1" x14ac:dyDescent="0.2">
      <c r="A418" s="139"/>
      <c r="B418" s="248"/>
      <c r="C418" s="248"/>
    </row>
    <row r="419" spans="1:3" s="137" customFormat="1" x14ac:dyDescent="0.2">
      <c r="A419" s="139"/>
      <c r="B419" s="248"/>
      <c r="C419" s="248"/>
    </row>
    <row r="420" spans="1:3" s="137" customFormat="1" x14ac:dyDescent="0.2">
      <c r="A420" s="139"/>
      <c r="B420" s="248"/>
      <c r="C420" s="248"/>
    </row>
  </sheetData>
  <mergeCells count="1">
    <mergeCell ref="A8:L8"/>
  </mergeCells>
  <phoneticPr fontId="49"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7"/>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10" width="3.85546875" customWidth="1"/>
    <col min="11" max="11" width="20.5703125" customWidth="1"/>
    <col min="12" max="12" width="3.85546875" customWidth="1"/>
    <col min="13" max="13" width="20.5703125" customWidth="1"/>
    <col min="14" max="14" width="3.85546875" customWidth="1"/>
    <col min="15" max="15" width="20.5703125" customWidth="1"/>
    <col min="16" max="16" width="25" customWidth="1"/>
  </cols>
  <sheetData>
    <row r="2" spans="2:17" ht="26.25" x14ac:dyDescent="0.4">
      <c r="B2" s="549" t="s">
        <v>12</v>
      </c>
      <c r="C2" s="547"/>
      <c r="D2" s="547"/>
      <c r="E2" s="547"/>
      <c r="F2" s="547"/>
      <c r="G2" s="547"/>
      <c r="H2" s="547"/>
      <c r="I2" s="547"/>
      <c r="J2" s="547"/>
      <c r="K2" s="547"/>
      <c r="L2" s="547"/>
      <c r="M2" s="547"/>
      <c r="N2" s="547"/>
      <c r="O2" s="547"/>
      <c r="P2" s="548"/>
    </row>
    <row r="5" spans="2:17" x14ac:dyDescent="0.25">
      <c r="B5" s="344" t="s">
        <v>13</v>
      </c>
      <c r="C5" s="583"/>
      <c r="D5" s="583"/>
      <c r="E5" s="583"/>
      <c r="F5" s="583"/>
      <c r="G5" s="583"/>
      <c r="H5" s="583"/>
      <c r="I5" s="583"/>
      <c r="J5" s="583"/>
      <c r="K5" s="583"/>
      <c r="L5" s="583"/>
      <c r="M5" s="583"/>
      <c r="N5" s="583"/>
      <c r="O5" s="583"/>
      <c r="P5" s="584"/>
    </row>
    <row r="6" spans="2:17" x14ac:dyDescent="0.25">
      <c r="B6" s="346" t="s">
        <v>14</v>
      </c>
      <c r="C6" s="345"/>
      <c r="D6" s="345"/>
      <c r="E6" s="345"/>
      <c r="F6" s="345"/>
      <c r="G6" s="345"/>
      <c r="H6" s="345"/>
      <c r="I6" s="345"/>
      <c r="J6" s="345"/>
      <c r="K6" s="345"/>
      <c r="L6" s="345"/>
      <c r="M6" s="345"/>
      <c r="N6" s="345"/>
      <c r="O6" s="345"/>
      <c r="P6" s="347"/>
    </row>
    <row r="8" spans="2:17" x14ac:dyDescent="0.25">
      <c r="N8" s="669"/>
      <c r="O8" s="669"/>
      <c r="P8" s="669"/>
    </row>
    <row r="9" spans="2:17" x14ac:dyDescent="0.25">
      <c r="B9" s="344"/>
      <c r="C9" s="583"/>
      <c r="D9" s="583"/>
      <c r="E9" s="583"/>
      <c r="F9" s="583"/>
      <c r="G9" s="583"/>
      <c r="H9" s="584"/>
      <c r="J9" s="344"/>
      <c r="K9" s="583"/>
      <c r="L9" s="583"/>
      <c r="M9" s="583"/>
      <c r="N9" s="342"/>
      <c r="O9" s="342"/>
      <c r="P9" s="342"/>
      <c r="Q9" s="285"/>
    </row>
    <row r="10" spans="2:17" ht="47.25" x14ac:dyDescent="0.25">
      <c r="B10" s="348"/>
      <c r="C10" s="534" t="s">
        <v>15</v>
      </c>
      <c r="D10" s="674"/>
      <c r="E10" s="534" t="s">
        <v>16</v>
      </c>
      <c r="F10" s="674"/>
      <c r="G10" s="668" t="s">
        <v>17</v>
      </c>
      <c r="H10" s="675"/>
      <c r="I10" s="535"/>
      <c r="J10" s="678"/>
      <c r="K10" s="536" t="s">
        <v>18</v>
      </c>
      <c r="L10" s="678"/>
      <c r="M10" s="536" t="s">
        <v>19</v>
      </c>
      <c r="N10" s="674"/>
      <c r="O10" s="536" t="s">
        <v>20</v>
      </c>
      <c r="P10" s="674"/>
      <c r="Q10" s="285"/>
    </row>
    <row r="11" spans="2:17" x14ac:dyDescent="0.25">
      <c r="B11" s="348"/>
      <c r="C11" s="342"/>
      <c r="D11" s="342"/>
      <c r="E11" s="342"/>
      <c r="F11" s="342"/>
      <c r="G11" s="342"/>
      <c r="H11" s="350"/>
      <c r="J11" s="348"/>
      <c r="K11" s="342"/>
      <c r="L11" s="342"/>
      <c r="M11" s="342"/>
      <c r="N11" s="342"/>
      <c r="O11" s="342"/>
      <c r="P11" s="342"/>
      <c r="Q11" s="285"/>
    </row>
    <row r="12" spans="2:17" ht="39.950000000000003" customHeight="1" x14ac:dyDescent="0.25">
      <c r="B12" s="348"/>
      <c r="C12" s="530"/>
      <c r="D12" s="673" t="s">
        <v>21</v>
      </c>
      <c r="E12" s="530"/>
      <c r="F12" s="342"/>
      <c r="G12" s="530" t="s">
        <v>22</v>
      </c>
      <c r="H12" s="350"/>
      <c r="J12" s="348"/>
      <c r="K12" s="670"/>
      <c r="L12" s="318"/>
      <c r="M12" s="671" t="s">
        <v>23</v>
      </c>
      <c r="N12" s="318"/>
      <c r="O12" s="672"/>
      <c r="P12" s="342"/>
      <c r="Q12" s="285"/>
    </row>
    <row r="13" spans="2:17" x14ac:dyDescent="0.25">
      <c r="B13" s="348"/>
      <c r="C13" s="342"/>
      <c r="D13" s="342"/>
      <c r="E13" s="342"/>
      <c r="F13" s="342"/>
      <c r="G13" s="342"/>
      <c r="H13" s="350"/>
      <c r="J13" s="348"/>
      <c r="K13" s="342"/>
      <c r="L13" s="342"/>
      <c r="M13" s="342"/>
      <c r="N13" s="342"/>
      <c r="O13" s="342"/>
      <c r="P13" s="342"/>
      <c r="Q13" s="285"/>
    </row>
    <row r="14" spans="2:17" ht="177" customHeight="1" x14ac:dyDescent="0.25">
      <c r="B14" s="348"/>
      <c r="C14" s="531" t="s">
        <v>24</v>
      </c>
      <c r="D14" s="676"/>
      <c r="E14" s="532" t="s">
        <v>25</v>
      </c>
      <c r="F14" s="676"/>
      <c r="G14" s="530" t="s">
        <v>26</v>
      </c>
      <c r="H14" s="677"/>
      <c r="I14" s="364"/>
      <c r="J14" s="679"/>
      <c r="K14" s="533" t="s">
        <v>27</v>
      </c>
      <c r="L14" s="679"/>
      <c r="M14" s="618" t="s">
        <v>28</v>
      </c>
      <c r="N14" s="676"/>
      <c r="O14" s="618" t="s">
        <v>29</v>
      </c>
      <c r="P14" s="676"/>
      <c r="Q14" s="285"/>
    </row>
    <row r="15" spans="2:17" x14ac:dyDescent="0.25">
      <c r="B15" s="346"/>
      <c r="C15" s="345"/>
      <c r="D15" s="345"/>
      <c r="E15" s="345"/>
      <c r="F15" s="345"/>
      <c r="G15" s="345"/>
      <c r="H15" s="347"/>
      <c r="J15" s="346"/>
      <c r="K15" s="345"/>
      <c r="L15" s="680"/>
      <c r="M15" s="680"/>
      <c r="N15" s="680"/>
      <c r="O15" s="680"/>
      <c r="P15" s="680"/>
      <c r="Q15" s="285"/>
    </row>
    <row r="18" spans="2:16" x14ac:dyDescent="0.25">
      <c r="B18" s="344"/>
      <c r="C18" s="583"/>
      <c r="D18" s="583"/>
      <c r="E18" s="583"/>
      <c r="F18" s="583"/>
      <c r="G18" s="583"/>
      <c r="H18" s="583"/>
      <c r="I18" s="583"/>
      <c r="J18" s="583"/>
      <c r="K18" s="583"/>
      <c r="L18" s="583"/>
      <c r="M18" s="583"/>
      <c r="N18" s="583"/>
      <c r="O18" s="583"/>
      <c r="P18" s="584"/>
    </row>
    <row r="19" spans="2:16" x14ac:dyDescent="0.25">
      <c r="B19" s="348" t="s">
        <v>30</v>
      </c>
      <c r="C19" s="342"/>
      <c r="D19" s="342"/>
      <c r="E19" s="342"/>
      <c r="F19" s="342"/>
      <c r="G19" s="342"/>
      <c r="H19" s="342"/>
      <c r="I19" s="342"/>
      <c r="J19" s="342"/>
      <c r="K19" s="342"/>
      <c r="L19" s="342"/>
      <c r="M19" s="342"/>
      <c r="N19" s="342"/>
      <c r="O19" s="342"/>
      <c r="P19" s="350"/>
    </row>
    <row r="20" spans="2:16" x14ac:dyDescent="0.25">
      <c r="B20" s="681" t="s">
        <v>31</v>
      </c>
      <c r="C20" s="342"/>
      <c r="D20" s="342"/>
      <c r="E20" s="342"/>
      <c r="F20" s="342"/>
      <c r="G20" s="342"/>
      <c r="H20" s="342"/>
      <c r="I20" s="342"/>
      <c r="J20" s="342"/>
      <c r="K20" s="342"/>
      <c r="L20" s="342"/>
      <c r="M20" s="342"/>
      <c r="N20" s="342"/>
      <c r="O20" s="342"/>
      <c r="P20" s="350"/>
    </row>
    <row r="21" spans="2:16" x14ac:dyDescent="0.25">
      <c r="B21" s="682" t="s">
        <v>32</v>
      </c>
      <c r="C21" s="342"/>
      <c r="D21" s="342"/>
      <c r="E21" s="342"/>
      <c r="F21" s="342"/>
      <c r="G21" s="342"/>
      <c r="H21" s="342"/>
      <c r="I21" s="342"/>
      <c r="J21" s="342"/>
      <c r="K21" s="342"/>
      <c r="L21" s="342"/>
      <c r="M21" s="342"/>
      <c r="N21" s="342"/>
      <c r="O21" s="342"/>
      <c r="P21" s="350"/>
    </row>
    <row r="22" spans="2:16" x14ac:dyDescent="0.25">
      <c r="B22" s="683" t="s">
        <v>33</v>
      </c>
      <c r="C22" s="342"/>
      <c r="D22" s="342"/>
      <c r="E22" s="342"/>
      <c r="F22" s="342"/>
      <c r="G22" s="342"/>
      <c r="H22" s="342"/>
      <c r="I22" s="342"/>
      <c r="J22" s="342"/>
      <c r="K22" s="342"/>
      <c r="L22" s="342"/>
      <c r="M22" s="342"/>
      <c r="N22" s="342"/>
      <c r="O22" s="342"/>
      <c r="P22" s="350"/>
    </row>
    <row r="23" spans="2:16" x14ac:dyDescent="0.25">
      <c r="B23" s="682" t="s">
        <v>34</v>
      </c>
      <c r="C23" s="342"/>
      <c r="D23" s="342"/>
      <c r="E23" s="342"/>
      <c r="F23" s="342"/>
      <c r="G23" s="342"/>
      <c r="H23" s="342"/>
      <c r="I23" s="342"/>
      <c r="J23" s="342"/>
      <c r="K23" s="342"/>
      <c r="L23" s="342"/>
      <c r="M23" s="342"/>
      <c r="N23" s="342"/>
      <c r="O23" s="342"/>
      <c r="P23" s="350"/>
    </row>
    <row r="24" spans="2:16" x14ac:dyDescent="0.25">
      <c r="B24" s="682" t="s">
        <v>35</v>
      </c>
      <c r="C24" s="342"/>
      <c r="D24" s="342"/>
      <c r="E24" s="342"/>
      <c r="F24" s="342"/>
      <c r="G24" s="342"/>
      <c r="H24" s="342"/>
      <c r="I24" s="342"/>
      <c r="J24" s="342"/>
      <c r="K24" s="342"/>
      <c r="L24" s="342"/>
      <c r="M24" s="342"/>
      <c r="N24" s="342"/>
      <c r="O24" s="342"/>
      <c r="P24" s="350"/>
    </row>
    <row r="25" spans="2:16" x14ac:dyDescent="0.25">
      <c r="B25" s="348"/>
      <c r="C25" s="342"/>
      <c r="D25" s="342"/>
      <c r="E25" s="342"/>
      <c r="F25" s="342"/>
      <c r="G25" s="342"/>
      <c r="H25" s="342"/>
      <c r="I25" s="342"/>
      <c r="J25" s="342"/>
      <c r="K25" s="342"/>
      <c r="L25" s="342"/>
      <c r="M25" s="342"/>
      <c r="N25" s="342"/>
      <c r="O25" s="342"/>
      <c r="P25" s="350"/>
    </row>
    <row r="26" spans="2:16" x14ac:dyDescent="0.25">
      <c r="B26" s="684" t="s">
        <v>1284</v>
      </c>
      <c r="C26" s="342"/>
      <c r="D26" s="342"/>
      <c r="E26" s="342"/>
      <c r="F26" s="342"/>
      <c r="G26" s="342"/>
      <c r="H26" s="342"/>
      <c r="I26" s="342"/>
      <c r="J26" s="342"/>
      <c r="K26" s="342"/>
      <c r="L26" s="342"/>
      <c r="M26" s="342"/>
      <c r="N26" s="342"/>
      <c r="O26" s="342"/>
      <c r="P26" s="350"/>
    </row>
    <row r="27" spans="2:16" x14ac:dyDescent="0.25">
      <c r="B27" s="346"/>
      <c r="C27" s="345"/>
      <c r="D27" s="345"/>
      <c r="E27" s="345"/>
      <c r="F27" s="345"/>
      <c r="G27" s="345"/>
      <c r="H27" s="345"/>
      <c r="I27" s="345"/>
      <c r="J27" s="345"/>
      <c r="K27" s="345"/>
      <c r="L27" s="345"/>
      <c r="M27" s="345"/>
      <c r="N27" s="345"/>
      <c r="O27" s="345"/>
      <c r="P27" s="347"/>
    </row>
  </sheetData>
  <sheetProtection algorithmName="SHA-512" hashValue="lrMx7aesE7YmKApsBd4sG9aGNYkGC5ec/tRzxSuvE7h0rUM2Ro2I3QAXuNRm9AWDgg2jZTwq8jFJppQe1hHfCg==" saltValue="Ay3rNwKW0FLqyLHnzMPoww==" spinCount="100000" sheet="1" objects="1" scenarios="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V146"/>
  <sheetViews>
    <sheetView showGridLines="0" zoomScale="80" zoomScaleNormal="80" workbookViewId="0"/>
  </sheetViews>
  <sheetFormatPr defaultRowHeight="15" x14ac:dyDescent="0.25"/>
  <cols>
    <col min="1" max="1" width="2.42578125" customWidth="1"/>
    <col min="2" max="2" width="5.85546875" customWidth="1"/>
    <col min="3" max="3" width="51.7109375" customWidth="1"/>
    <col min="4" max="4" width="21.140625" customWidth="1"/>
    <col min="5" max="5" width="17.7109375" customWidth="1"/>
    <col min="6" max="6" width="17.42578125" customWidth="1"/>
    <col min="7" max="7" width="15.85546875" customWidth="1"/>
    <col min="8" max="8" width="14.7109375" customWidth="1"/>
    <col min="9" max="9" width="14.85546875" bestFit="1" customWidth="1"/>
    <col min="10" max="12" width="13.42578125" customWidth="1"/>
    <col min="13" max="13" width="12.28515625" customWidth="1"/>
    <col min="16" max="16" width="13.5703125" customWidth="1"/>
    <col min="18" max="18" width="17.140625" customWidth="1"/>
  </cols>
  <sheetData>
    <row r="2" spans="2:18" ht="20.25" x14ac:dyDescent="0.25">
      <c r="B2" s="281" t="s">
        <v>36</v>
      </c>
      <c r="C2" s="281"/>
      <c r="D2" s="280"/>
      <c r="E2" s="295"/>
      <c r="F2" s="280"/>
      <c r="G2" s="280"/>
      <c r="H2" s="280"/>
      <c r="I2" s="280"/>
      <c r="J2" s="280"/>
      <c r="K2" s="280"/>
      <c r="L2" s="280"/>
      <c r="M2" s="280"/>
      <c r="N2" s="280"/>
      <c r="O2" s="280"/>
      <c r="P2" s="280"/>
      <c r="Q2" s="280"/>
      <c r="R2" s="280"/>
    </row>
    <row r="4" spans="2:18" x14ac:dyDescent="0.25">
      <c r="B4" s="282" t="s">
        <v>37</v>
      </c>
      <c r="C4" s="878"/>
      <c r="D4" s="878"/>
      <c r="E4" s="878"/>
      <c r="F4" s="878"/>
      <c r="G4" s="878"/>
      <c r="H4" s="878"/>
      <c r="I4" s="878"/>
      <c r="J4" s="878"/>
      <c r="K4" s="878"/>
      <c r="L4" s="878"/>
      <c r="M4" s="879"/>
    </row>
    <row r="5" spans="2:18" x14ac:dyDescent="0.25">
      <c r="B5" s="285"/>
      <c r="C5" t="s">
        <v>38</v>
      </c>
      <c r="M5" s="284"/>
    </row>
    <row r="6" spans="2:18" x14ac:dyDescent="0.25">
      <c r="B6" s="285"/>
      <c r="C6" t="s">
        <v>39</v>
      </c>
      <c r="M6" s="284"/>
    </row>
    <row r="7" spans="2:18" x14ac:dyDescent="0.25">
      <c r="B7" s="285"/>
      <c r="C7" t="s">
        <v>40</v>
      </c>
      <c r="M7" s="284"/>
    </row>
    <row r="8" spans="2:18" x14ac:dyDescent="0.25">
      <c r="B8" s="286"/>
      <c r="C8" s="287"/>
      <c r="D8" s="287"/>
      <c r="E8" s="287"/>
      <c r="F8" s="287"/>
      <c r="G8" s="287"/>
      <c r="H8" s="287"/>
      <c r="I8" s="287"/>
      <c r="J8" s="287"/>
      <c r="K8" s="287"/>
      <c r="L8" s="287"/>
      <c r="M8" s="288"/>
    </row>
    <row r="9" spans="2:18" x14ac:dyDescent="0.25">
      <c r="M9" s="284"/>
    </row>
    <row r="10" spans="2:18" x14ac:dyDescent="0.25">
      <c r="B10" s="282" t="s">
        <v>41</v>
      </c>
      <c r="C10" s="455"/>
      <c r="D10" s="455"/>
      <c r="E10" s="455"/>
      <c r="F10" s="455"/>
      <c r="G10" s="455"/>
      <c r="H10" s="455"/>
      <c r="I10" s="455"/>
      <c r="J10" s="455"/>
      <c r="K10" s="455"/>
      <c r="L10" s="455"/>
      <c r="M10" s="879"/>
    </row>
    <row r="11" spans="2:18" x14ac:dyDescent="0.25">
      <c r="B11" s="283"/>
      <c r="C11" t="s">
        <v>42</v>
      </c>
      <c r="E11" s="277" t="s">
        <v>43</v>
      </c>
      <c r="M11" s="284"/>
    </row>
    <row r="12" spans="2:18" x14ac:dyDescent="0.25">
      <c r="B12" s="283"/>
      <c r="C12" t="s">
        <v>44</v>
      </c>
      <c r="E12" s="277" t="s">
        <v>45</v>
      </c>
      <c r="G12" s="131">
        <f>'Population selection'!F16</f>
        <v>44456850</v>
      </c>
      <c r="H12" t="str">
        <f>C24&amp;" population based on selection on left"</f>
        <v>Adult population population based on selection on left</v>
      </c>
      <c r="M12" s="284"/>
    </row>
    <row r="13" spans="2:18" x14ac:dyDescent="0.25">
      <c r="B13" s="283"/>
      <c r="C13" s="275"/>
      <c r="M13" s="284"/>
    </row>
    <row r="14" spans="2:18" x14ac:dyDescent="0.25">
      <c r="B14" s="285"/>
      <c r="C14" t="s">
        <v>46</v>
      </c>
      <c r="E14" s="361" t="s">
        <v>47</v>
      </c>
      <c r="F14" s="1099" t="str">
        <f>IF(E14="yes","","If no, enter current locality population below")</f>
        <v/>
      </c>
      <c r="J14" s="692"/>
      <c r="M14" s="284"/>
    </row>
    <row r="15" spans="2:18" x14ac:dyDescent="0.25">
      <c r="B15" s="285"/>
      <c r="C15" s="275"/>
      <c r="J15" s="692"/>
      <c r="M15" s="284"/>
    </row>
    <row r="16" spans="2:18" x14ac:dyDescent="0.25">
      <c r="B16" s="285"/>
      <c r="C16" t="str">
        <f>"Manually entered current locality population "&amp;IF(E14="no","","(n/a)")</f>
        <v>Manually entered current locality population (n/a)</v>
      </c>
      <c r="E16" s="509"/>
      <c r="F16" s="294" t="str">
        <f>IF(E14="yes","Leave blue cell on left blank if NICE estimate is used","")</f>
        <v>Leave blue cell on left blank if NICE estimate is used</v>
      </c>
      <c r="M16" s="284"/>
    </row>
    <row r="17" spans="2:20" x14ac:dyDescent="0.25">
      <c r="B17" s="285"/>
      <c r="M17" s="284"/>
    </row>
    <row r="18" spans="2:20" x14ac:dyDescent="0.25">
      <c r="B18" s="285"/>
      <c r="C18" t="s">
        <v>48</v>
      </c>
      <c r="D18" s="278"/>
      <c r="E18" s="279">
        <v>0</v>
      </c>
      <c r="F18" t="str">
        <f>IF(E18=0.00812630674462991,"Enter local value or delete the NICE assumption if required","Local value")</f>
        <v>Local value</v>
      </c>
      <c r="M18" s="284"/>
    </row>
    <row r="19" spans="2:20" x14ac:dyDescent="0.25">
      <c r="B19" s="285"/>
      <c r="C19" t="s">
        <v>49</v>
      </c>
      <c r="D19" s="278"/>
      <c r="E19" s="279">
        <v>0</v>
      </c>
      <c r="F19" t="str">
        <f>IF(E19=0,"Enter local value or delete the NICE assumption if required","Local value")</f>
        <v>Enter local value or delete the NICE assumption if required</v>
      </c>
      <c r="M19" s="284"/>
    </row>
    <row r="20" spans="2:20" x14ac:dyDescent="0.25">
      <c r="B20" s="286"/>
      <c r="C20" s="287"/>
      <c r="D20" s="287"/>
      <c r="E20" s="287"/>
      <c r="F20" s="287"/>
      <c r="G20" s="287"/>
      <c r="H20" s="287"/>
      <c r="I20" s="287"/>
      <c r="J20" s="287"/>
      <c r="K20" s="287"/>
      <c r="L20" s="287"/>
      <c r="M20" s="288"/>
    </row>
    <row r="22" spans="2:20" x14ac:dyDescent="0.25">
      <c r="B22" s="282" t="s">
        <v>50</v>
      </c>
      <c r="C22" s="455"/>
      <c r="D22" s="455"/>
      <c r="E22" s="455"/>
      <c r="F22" s="455"/>
      <c r="G22" s="455"/>
      <c r="H22" s="455"/>
      <c r="I22" s="455"/>
      <c r="J22" s="455"/>
      <c r="K22" s="455"/>
      <c r="L22" s="455"/>
      <c r="M22" s="455"/>
      <c r="N22" s="455"/>
      <c r="O22" s="455"/>
      <c r="P22" s="455"/>
      <c r="Q22" s="455"/>
      <c r="R22" s="454"/>
    </row>
    <row r="23" spans="2:20" ht="84.95" customHeight="1" thickBot="1" x14ac:dyDescent="0.3">
      <c r="B23" s="283"/>
      <c r="F23" s="782" t="s">
        <v>51</v>
      </c>
      <c r="G23" s="631" t="s">
        <v>1126</v>
      </c>
      <c r="H23" s="344" t="s">
        <v>52</v>
      </c>
      <c r="I23" s="583"/>
      <c r="J23" s="583"/>
      <c r="K23" s="583"/>
      <c r="L23" s="583"/>
      <c r="M23" s="583"/>
      <c r="N23" s="583"/>
      <c r="O23" s="583"/>
      <c r="P23" s="583"/>
      <c r="Q23" s="583"/>
      <c r="R23" s="584"/>
      <c r="S23" s="781"/>
    </row>
    <row r="24" spans="2:20" x14ac:dyDescent="0.25">
      <c r="B24" s="283"/>
      <c r="C24" s="783" t="s">
        <v>53</v>
      </c>
      <c r="D24" s="784"/>
      <c r="E24" s="785"/>
      <c r="F24" s="786">
        <f>'Population selection'!F16</f>
        <v>44456850</v>
      </c>
      <c r="G24" s="787"/>
      <c r="H24" s="788" t="s">
        <v>54</v>
      </c>
      <c r="I24" s="789"/>
      <c r="J24" s="789"/>
      <c r="K24" s="789"/>
      <c r="L24" s="789"/>
      <c r="M24" s="789"/>
      <c r="N24" s="789"/>
      <c r="O24" s="789"/>
      <c r="P24" s="789"/>
      <c r="Q24" s="789"/>
      <c r="R24" s="790"/>
      <c r="S24" s="692"/>
      <c r="T24" s="692"/>
    </row>
    <row r="25" spans="2:20" x14ac:dyDescent="0.25">
      <c r="B25" s="283"/>
      <c r="C25" s="791" t="s">
        <v>1108</v>
      </c>
      <c r="D25" s="774"/>
      <c r="E25" s="292"/>
      <c r="F25" s="327"/>
      <c r="G25" s="131">
        <f>K45</f>
        <v>44456850</v>
      </c>
      <c r="H25" s="363" t="s">
        <v>54</v>
      </c>
      <c r="I25" s="287"/>
      <c r="J25" s="287"/>
      <c r="K25" s="287"/>
      <c r="L25" s="287"/>
      <c r="M25" s="287"/>
      <c r="N25" s="287"/>
      <c r="O25" s="287"/>
      <c r="P25" s="287"/>
      <c r="Q25" s="287"/>
      <c r="R25" s="792"/>
    </row>
    <row r="26" spans="2:20" ht="24.6" customHeight="1" x14ac:dyDescent="0.25">
      <c r="B26" s="285"/>
      <c r="C26" s="776" t="s">
        <v>1109</v>
      </c>
      <c r="D26" s="292"/>
      <c r="E26" s="1248">
        <v>1.1196299999999999E-3</v>
      </c>
      <c r="F26" s="1249">
        <f>E26*F24</f>
        <v>49775.222965499997</v>
      </c>
      <c r="G26" s="1249">
        <f>E26*K44*K45</f>
        <v>49775.222965499997</v>
      </c>
      <c r="H26" s="773" t="s">
        <v>1107</v>
      </c>
      <c r="I26" s="318"/>
      <c r="J26" s="318"/>
      <c r="K26" s="318"/>
      <c r="L26" s="318"/>
      <c r="M26" s="318"/>
      <c r="N26" s="318"/>
      <c r="O26" s="318"/>
      <c r="P26" s="318"/>
      <c r="Q26" s="318"/>
      <c r="R26" s="793"/>
    </row>
    <row r="27" spans="2:20" ht="27" customHeight="1" x14ac:dyDescent="0.25">
      <c r="B27" s="285"/>
      <c r="C27" s="776" t="s">
        <v>1110</v>
      </c>
      <c r="D27" s="292"/>
      <c r="E27" s="1248">
        <v>0.848078</v>
      </c>
      <c r="F27" s="1249">
        <f t="shared" ref="F27:F33" si="0">E27*F26</f>
        <v>42213.271542135306</v>
      </c>
      <c r="G27" s="1249">
        <f t="shared" ref="G27:G33" si="1">E27*G26</f>
        <v>42213.271542135306</v>
      </c>
      <c r="H27" s="1324" t="s">
        <v>1111</v>
      </c>
      <c r="I27" s="1325"/>
      <c r="J27" s="1325"/>
      <c r="K27" s="1325"/>
      <c r="L27" s="1325"/>
      <c r="M27" s="1325"/>
      <c r="N27" s="1325"/>
      <c r="O27" s="1325"/>
      <c r="P27" s="1325"/>
      <c r="Q27" s="1325"/>
      <c r="R27" s="1326"/>
    </row>
    <row r="28" spans="2:20" ht="30" customHeight="1" x14ac:dyDescent="0.25">
      <c r="B28" s="285"/>
      <c r="C28" s="778" t="s">
        <v>1112</v>
      </c>
      <c r="D28" s="292"/>
      <c r="E28" s="1250">
        <v>0.64500000000000002</v>
      </c>
      <c r="F28" s="1249">
        <f t="shared" si="0"/>
        <v>27227.560144677274</v>
      </c>
      <c r="G28" s="1249">
        <f t="shared" si="1"/>
        <v>27227.560144677274</v>
      </c>
      <c r="H28" s="1324" t="s">
        <v>1113</v>
      </c>
      <c r="I28" s="1325"/>
      <c r="J28" s="1325"/>
      <c r="K28" s="1325"/>
      <c r="L28" s="1325"/>
      <c r="M28" s="1325"/>
      <c r="N28" s="1325"/>
      <c r="O28" s="1325"/>
      <c r="P28" s="1325"/>
      <c r="Q28" s="1325"/>
      <c r="R28" s="1326"/>
    </row>
    <row r="29" spans="2:20" ht="33.6" customHeight="1" x14ac:dyDescent="0.25">
      <c r="B29" s="285"/>
      <c r="C29" s="794" t="s">
        <v>1114</v>
      </c>
      <c r="D29" s="292"/>
      <c r="E29" s="1250">
        <v>0.18</v>
      </c>
      <c r="F29" s="1249">
        <f t="shared" si="0"/>
        <v>4900.9608260419091</v>
      </c>
      <c r="G29" s="1249">
        <f t="shared" si="1"/>
        <v>4900.9608260419091</v>
      </c>
      <c r="H29" s="504" t="s">
        <v>1115</v>
      </c>
      <c r="I29" s="318"/>
      <c r="J29" s="318"/>
      <c r="K29" s="318"/>
      <c r="L29" s="318"/>
      <c r="M29" s="318"/>
      <c r="N29" s="318"/>
      <c r="O29" s="318"/>
      <c r="P29" s="318"/>
      <c r="Q29" s="318"/>
      <c r="R29" s="793"/>
    </row>
    <row r="30" spans="2:20" ht="33.6" customHeight="1" x14ac:dyDescent="0.25">
      <c r="B30" s="285"/>
      <c r="C30" s="776" t="s">
        <v>1119</v>
      </c>
      <c r="D30" s="454"/>
      <c r="E30" s="1250">
        <v>0.72150000000000003</v>
      </c>
      <c r="F30" s="1249">
        <f t="shared" si="0"/>
        <v>3536.0432359892375</v>
      </c>
      <c r="G30" s="1249">
        <f t="shared" si="1"/>
        <v>3536.0432359892375</v>
      </c>
      <c r="H30" s="780" t="s">
        <v>1120</v>
      </c>
      <c r="I30" s="318"/>
      <c r="J30" s="318"/>
      <c r="K30" s="318"/>
      <c r="L30" s="318"/>
      <c r="M30" s="318"/>
      <c r="N30" s="318"/>
      <c r="O30" s="318"/>
      <c r="P30" s="318"/>
      <c r="Q30" s="318"/>
      <c r="R30" s="793"/>
    </row>
    <row r="31" spans="2:20" x14ac:dyDescent="0.25">
      <c r="B31" s="285"/>
      <c r="C31" s="779" t="s">
        <v>1116</v>
      </c>
      <c r="D31" s="454"/>
      <c r="E31" s="1250">
        <v>0.95</v>
      </c>
      <c r="F31" s="1249">
        <f t="shared" si="0"/>
        <v>3359.2410741897756</v>
      </c>
      <c r="G31" s="1249">
        <f t="shared" si="1"/>
        <v>3359.2410741897756</v>
      </c>
      <c r="H31" s="775" t="s">
        <v>1117</v>
      </c>
      <c r="I31" s="318"/>
      <c r="J31" s="318"/>
      <c r="K31" s="318"/>
      <c r="L31" s="318"/>
      <c r="M31" s="318"/>
      <c r="N31" s="318"/>
      <c r="O31" s="318"/>
      <c r="P31" s="318"/>
      <c r="Q31" s="318"/>
      <c r="R31" s="793"/>
    </row>
    <row r="32" spans="2:20" ht="28.5" x14ac:dyDescent="0.25">
      <c r="B32" s="285"/>
      <c r="C32" s="777" t="s">
        <v>1118</v>
      </c>
      <c r="D32" s="292"/>
      <c r="E32" s="1250">
        <v>0.99</v>
      </c>
      <c r="F32" s="1249">
        <f t="shared" si="0"/>
        <v>3325.6486634478779</v>
      </c>
      <c r="G32" s="1249">
        <f t="shared" si="1"/>
        <v>3325.6486634478779</v>
      </c>
      <c r="H32" s="775" t="s">
        <v>1117</v>
      </c>
      <c r="I32" s="318"/>
      <c r="J32" s="318"/>
      <c r="K32" s="318"/>
      <c r="L32" s="318"/>
      <c r="M32" s="318"/>
      <c r="N32" s="318"/>
      <c r="O32" s="318"/>
      <c r="P32" s="318"/>
      <c r="Q32" s="318"/>
      <c r="R32" s="793"/>
    </row>
    <row r="33" spans="2:20" x14ac:dyDescent="0.25">
      <c r="B33" s="285"/>
      <c r="C33" s="795" t="s">
        <v>1121</v>
      </c>
      <c r="D33" s="318"/>
      <c r="E33" s="1251">
        <v>1</v>
      </c>
      <c r="F33" s="309">
        <f t="shared" si="0"/>
        <v>3325.6486634478779</v>
      </c>
      <c r="G33" s="309">
        <f t="shared" si="1"/>
        <v>3325.6486634478779</v>
      </c>
      <c r="H33" s="320"/>
      <c r="I33" s="318"/>
      <c r="J33" s="318"/>
      <c r="K33" s="318"/>
      <c r="L33" s="318"/>
      <c r="M33" s="318"/>
      <c r="N33" s="318"/>
      <c r="O33" s="318"/>
      <c r="P33" s="318"/>
      <c r="Q33" s="318"/>
      <c r="R33" s="793"/>
    </row>
    <row r="34" spans="2:20" x14ac:dyDescent="0.25">
      <c r="B34" s="285"/>
      <c r="C34" s="796"/>
      <c r="E34" s="814"/>
      <c r="F34" s="512"/>
      <c r="G34" s="512"/>
      <c r="H34" s="315"/>
      <c r="R34" s="797"/>
    </row>
    <row r="35" spans="2:20" ht="15.75" thickBot="1" x14ac:dyDescent="0.3">
      <c r="B35" s="285"/>
      <c r="C35" s="798"/>
      <c r="D35" s="799"/>
      <c r="E35" s="800"/>
      <c r="F35" s="801"/>
      <c r="G35" s="801"/>
      <c r="H35" s="802"/>
      <c r="I35" s="799"/>
      <c r="J35" s="799"/>
      <c r="K35" s="799"/>
      <c r="L35" s="799"/>
      <c r="M35" s="799"/>
      <c r="N35" s="799"/>
      <c r="O35" s="799"/>
      <c r="P35" s="799"/>
      <c r="Q35" s="799"/>
      <c r="R35" s="803"/>
    </row>
    <row r="36" spans="2:20" x14ac:dyDescent="0.25">
      <c r="B36" s="285"/>
      <c r="C36" s="510"/>
      <c r="E36" s="511"/>
      <c r="F36" s="512"/>
      <c r="G36" s="512"/>
      <c r="H36" s="315"/>
      <c r="R36" s="284"/>
    </row>
    <row r="37" spans="2:20" x14ac:dyDescent="0.25">
      <c r="B37" s="285"/>
      <c r="C37" t="s">
        <v>55</v>
      </c>
      <c r="F37" s="361" t="s">
        <v>47</v>
      </c>
      <c r="G37" s="512"/>
      <c r="H37" s="315"/>
      <c r="R37" s="284"/>
    </row>
    <row r="38" spans="2:20" x14ac:dyDescent="0.25">
      <c r="B38" s="285"/>
      <c r="C38" s="510"/>
      <c r="E38" s="511"/>
      <c r="F38" s="512"/>
      <c r="G38" s="512"/>
      <c r="H38" s="315"/>
      <c r="R38" s="284"/>
    </row>
    <row r="39" spans="2:20" x14ac:dyDescent="0.25">
      <c r="B39" s="285"/>
      <c r="C39" t="str">
        <f>"Manually entered current eligible population "&amp;IF(F37="no","","(n/a)")</f>
        <v>Manually entered current eligible population (n/a)</v>
      </c>
      <c r="F39" s="513"/>
      <c r="G39" s="294" t="str">
        <f>IF(F37="yes","Leave blue cell on left blank if NICE estimate is used","enter local value on left")</f>
        <v>Leave blue cell on left blank if NICE estimate is used</v>
      </c>
      <c r="R39" s="284"/>
    </row>
    <row r="40" spans="2:20" x14ac:dyDescent="0.25">
      <c r="B40" s="285"/>
      <c r="F40" s="570" t="str">
        <f>IF(AND(F37="yes",F39&gt;0),"error, set the drop down above to be 'no'","")</f>
        <v/>
      </c>
      <c r="G40" s="294"/>
      <c r="R40" s="284"/>
    </row>
    <row r="41" spans="2:20" ht="15.75" thickBot="1" x14ac:dyDescent="0.3">
      <c r="B41" s="285"/>
      <c r="F41" s="819"/>
      <c r="G41" s="294"/>
      <c r="R41" s="284"/>
    </row>
    <row r="42" spans="2:20" ht="45.75" thickBot="1" x14ac:dyDescent="0.3">
      <c r="B42" s="285"/>
      <c r="F42" s="804" t="s">
        <v>51</v>
      </c>
      <c r="G42" s="805" t="s">
        <v>56</v>
      </c>
      <c r="H42" s="805" t="s">
        <v>57</v>
      </c>
      <c r="I42" s="805" t="s">
        <v>58</v>
      </c>
      <c r="J42" s="805" t="s">
        <v>1271</v>
      </c>
      <c r="K42" s="806" t="s">
        <v>1272</v>
      </c>
      <c r="R42" s="284"/>
    </row>
    <row r="43" spans="2:20" x14ac:dyDescent="0.25">
      <c r="B43" s="285"/>
      <c r="C43" s="812" t="s">
        <v>59</v>
      </c>
      <c r="D43" s="789"/>
      <c r="E43" s="790"/>
      <c r="F43" s="807"/>
      <c r="G43" s="502">
        <f>IF(E18&lt;&gt;"",E18+100%,100%)</f>
        <v>1</v>
      </c>
      <c r="H43" s="502">
        <f>IF($E$18&lt;&gt;"",G43*(100%+$E$18),100%)</f>
        <v>1</v>
      </c>
      <c r="I43" s="502">
        <f>IF($E$18&lt;&gt;"",H43*(100%+$E$18),100%)</f>
        <v>1</v>
      </c>
      <c r="J43" s="502">
        <f>IF($E$18&lt;&gt;"",I43*(100%+$E$18),100%)</f>
        <v>1</v>
      </c>
      <c r="K43" s="808">
        <f>IF($E$18&lt;&gt;"",J43*(100%+$E$18),100%)</f>
        <v>1</v>
      </c>
      <c r="R43" s="284"/>
    </row>
    <row r="44" spans="2:20" x14ac:dyDescent="0.25">
      <c r="B44" s="285"/>
      <c r="C44" s="815" t="s">
        <v>60</v>
      </c>
      <c r="D44" s="363"/>
      <c r="E44" s="793"/>
      <c r="F44" s="807"/>
      <c r="G44" s="502">
        <f>IF(E19&lt;&gt;"",E19+100%,100%)</f>
        <v>1</v>
      </c>
      <c r="H44" s="502">
        <f>IF($E$19&lt;&gt;"",G44*(100%+$E$19),100%)</f>
        <v>1</v>
      </c>
      <c r="I44" s="502">
        <f>IF($E$19&lt;&gt;"",H44*(100%+$E$19),100%)</f>
        <v>1</v>
      </c>
      <c r="J44" s="502">
        <f>IF($E$19&lt;&gt;"",I44*(100%+$E$19),100%)</f>
        <v>1</v>
      </c>
      <c r="K44" s="808">
        <f>IF($E$19&lt;&gt;"",J44*(100%+$E$19),100%)</f>
        <v>1</v>
      </c>
      <c r="R44" s="284"/>
    </row>
    <row r="45" spans="2:20" x14ac:dyDescent="0.25">
      <c r="B45" s="285"/>
      <c r="C45" s="813" t="str">
        <f>IF('Inputs and eligible population'!E16=0,"Baseline population (inflated by growth(s))","Manually entered locality population (inflated by growth(s))")</f>
        <v>Baseline population (inflated by growth(s))</v>
      </c>
      <c r="D45" s="318"/>
      <c r="E45" s="793"/>
      <c r="F45" s="809">
        <f>'Population selection'!$F$16</f>
        <v>44456850</v>
      </c>
      <c r="G45" s="131">
        <f>F45*G43</f>
        <v>44456850</v>
      </c>
      <c r="H45" s="131">
        <f>F45*H43</f>
        <v>44456850</v>
      </c>
      <c r="I45" s="131">
        <f>F45*I43</f>
        <v>44456850</v>
      </c>
      <c r="J45" s="131">
        <f>F45*J43</f>
        <v>44456850</v>
      </c>
      <c r="K45" s="810">
        <f>F45*K43</f>
        <v>44456850</v>
      </c>
      <c r="R45" s="284"/>
      <c r="S45" s="692"/>
      <c r="T45" s="692"/>
    </row>
    <row r="46" spans="2:20" x14ac:dyDescent="0.25">
      <c r="B46" s="285"/>
      <c r="C46" s="795" t="str">
        <f>IF(F37="yes","Eligible population, NICE estimate","Eligible population, local estimate")</f>
        <v>Eligible population, NICE estimate</v>
      </c>
      <c r="D46" s="287"/>
      <c r="E46" s="793"/>
      <c r="F46" s="1014">
        <f>(((F45*'Inputs and eligible population'!E26*'Inputs and eligible population'!E27*E28*E29*E30*E31*E32*E33)))</f>
        <v>3325.6486634478779</v>
      </c>
      <c r="G46" s="309">
        <f>$F$46*G43*G44</f>
        <v>3325.6486634478779</v>
      </c>
      <c r="H46" s="309">
        <f>$F$46*H43*H44</f>
        <v>3325.6486634478779</v>
      </c>
      <c r="I46" s="309">
        <f>$F$46*I43*I44</f>
        <v>3325.6486634478779</v>
      </c>
      <c r="J46" s="309">
        <f>$F$46*J43*J44</f>
        <v>3325.6486634478779</v>
      </c>
      <c r="K46" s="811">
        <f>$F$46*K43*K44</f>
        <v>3325.6486634478779</v>
      </c>
      <c r="L46" s="294" t="str">
        <f>IF(F37="no","this row not used; local estimate below is used","")</f>
        <v/>
      </c>
      <c r="R46" s="284"/>
      <c r="S46" s="692"/>
      <c r="T46" s="692"/>
    </row>
    <row r="47" spans="2:20" x14ac:dyDescent="0.25">
      <c r="B47" s="285"/>
      <c r="C47" s="795" t="s">
        <v>1122</v>
      </c>
      <c r="D47" s="318"/>
      <c r="E47" s="793"/>
      <c r="F47" s="1252">
        <v>0</v>
      </c>
      <c r="G47" s="1253">
        <v>0</v>
      </c>
      <c r="H47" s="1253">
        <v>0</v>
      </c>
      <c r="I47" s="1253">
        <v>0</v>
      </c>
      <c r="J47" s="1253">
        <v>0</v>
      </c>
      <c r="K47" s="1254">
        <v>0</v>
      </c>
      <c r="L47" s="294" t="s">
        <v>1129</v>
      </c>
      <c r="R47" s="284"/>
      <c r="S47" s="692"/>
      <c r="T47" s="692"/>
    </row>
    <row r="48" spans="2:20" x14ac:dyDescent="0.25">
      <c r="B48" s="285"/>
      <c r="C48" s="795" t="s">
        <v>1123</v>
      </c>
      <c r="D48" s="318"/>
      <c r="E48" s="793"/>
      <c r="F48" s="1252">
        <v>0</v>
      </c>
      <c r="G48" s="1253">
        <v>0</v>
      </c>
      <c r="H48" s="1253">
        <v>0</v>
      </c>
      <c r="I48" s="1253">
        <v>0</v>
      </c>
      <c r="J48" s="1253">
        <v>0</v>
      </c>
      <c r="K48" s="1254">
        <v>0</v>
      </c>
      <c r="L48" s="294" t="s">
        <v>1129</v>
      </c>
      <c r="R48" s="284"/>
      <c r="S48" s="692"/>
      <c r="T48" s="692"/>
    </row>
    <row r="49" spans="2:20" x14ac:dyDescent="0.25">
      <c r="B49" s="285"/>
      <c r="C49" s="795" t="s">
        <v>1127</v>
      </c>
      <c r="D49" s="318"/>
      <c r="E49" s="793"/>
      <c r="F49" s="1015">
        <f>F47*F46</f>
        <v>0</v>
      </c>
      <c r="G49" s="1016">
        <f t="shared" ref="G49:K49" si="2">G47*G46</f>
        <v>0</v>
      </c>
      <c r="H49" s="1016">
        <f t="shared" si="2"/>
        <v>0</v>
      </c>
      <c r="I49" s="1016">
        <f t="shared" si="2"/>
        <v>0</v>
      </c>
      <c r="J49" s="1016">
        <f t="shared" si="2"/>
        <v>0</v>
      </c>
      <c r="K49" s="1017">
        <f t="shared" si="2"/>
        <v>0</v>
      </c>
      <c r="L49" s="294"/>
      <c r="R49" s="284"/>
      <c r="S49" s="692"/>
      <c r="T49" s="692"/>
    </row>
    <row r="50" spans="2:20" ht="15.75" thickBot="1" x14ac:dyDescent="0.3">
      <c r="B50" s="285"/>
      <c r="C50" s="818" t="s">
        <v>1128</v>
      </c>
      <c r="D50" s="817"/>
      <c r="E50" s="816"/>
      <c r="F50" s="1018">
        <f>F48*F46</f>
        <v>0</v>
      </c>
      <c r="G50" s="1019">
        <f t="shared" ref="G50:K50" si="3">G48*G46</f>
        <v>0</v>
      </c>
      <c r="H50" s="1019">
        <f t="shared" si="3"/>
        <v>0</v>
      </c>
      <c r="I50" s="1019">
        <f t="shared" si="3"/>
        <v>0</v>
      </c>
      <c r="J50" s="1019">
        <f t="shared" si="3"/>
        <v>0</v>
      </c>
      <c r="K50" s="1020">
        <f t="shared" si="3"/>
        <v>0</v>
      </c>
      <c r="L50" s="294"/>
      <c r="R50" s="284"/>
      <c r="S50" s="692"/>
      <c r="T50" s="692"/>
    </row>
    <row r="51" spans="2:20" x14ac:dyDescent="0.25">
      <c r="B51" s="286"/>
      <c r="C51" s="287"/>
      <c r="D51" s="287"/>
      <c r="E51" s="287"/>
      <c r="F51" s="287"/>
      <c r="G51" s="287"/>
      <c r="H51" s="287"/>
      <c r="I51" s="287"/>
      <c r="J51" s="287"/>
      <c r="K51" s="287"/>
      <c r="L51" s="287"/>
      <c r="M51" s="287"/>
      <c r="N51" s="287"/>
      <c r="O51" s="287"/>
      <c r="P51" s="287"/>
      <c r="Q51" s="287"/>
      <c r="R51" s="288"/>
      <c r="S51" s="692"/>
      <c r="T51" s="692"/>
    </row>
    <row r="54" spans="2:20" x14ac:dyDescent="0.25">
      <c r="B54" s="282" t="s">
        <v>61</v>
      </c>
      <c r="C54" s="878"/>
      <c r="D54" s="878"/>
      <c r="E54" s="878"/>
      <c r="F54" s="878"/>
      <c r="G54" s="878"/>
      <c r="H54" s="878"/>
      <c r="I54" s="878"/>
      <c r="J54" s="878"/>
      <c r="K54" s="878"/>
      <c r="L54" s="878"/>
      <c r="M54" s="878"/>
      <c r="N54" s="878"/>
      <c r="O54" s="878"/>
      <c r="P54" s="878"/>
      <c r="Q54" s="878"/>
      <c r="R54" s="879"/>
    </row>
    <row r="55" spans="2:20" ht="28.7" customHeight="1" x14ac:dyDescent="0.25">
      <c r="B55" s="283"/>
      <c r="C55" s="820"/>
      <c r="R55" s="284"/>
    </row>
    <row r="56" spans="2:20" ht="15.75" thickBot="1" x14ac:dyDescent="0.3">
      <c r="B56" s="283"/>
      <c r="R56" s="284"/>
    </row>
    <row r="57" spans="2:20" ht="64.5" customHeight="1" x14ac:dyDescent="0.25">
      <c r="B57" s="283"/>
      <c r="C57" s="824"/>
      <c r="D57" s="276" t="s">
        <v>1132</v>
      </c>
      <c r="E57" s="276" t="s">
        <v>753</v>
      </c>
      <c r="F57" s="276" t="s">
        <v>754</v>
      </c>
      <c r="G57" s="276" t="s">
        <v>755</v>
      </c>
      <c r="H57" s="276" t="s">
        <v>756</v>
      </c>
      <c r="I57" s="276" t="s">
        <v>757</v>
      </c>
      <c r="R57" s="284"/>
    </row>
    <row r="58" spans="2:20" x14ac:dyDescent="0.25">
      <c r="B58" s="283"/>
      <c r="C58" s="1022" t="s">
        <v>1130</v>
      </c>
      <c r="D58" s="1210">
        <v>0</v>
      </c>
      <c r="E58" s="1210">
        <v>0</v>
      </c>
      <c r="F58" s="1210">
        <v>0</v>
      </c>
      <c r="G58" s="1210">
        <v>0</v>
      </c>
      <c r="H58" s="1210">
        <v>0</v>
      </c>
      <c r="I58" s="1210">
        <v>0</v>
      </c>
      <c r="R58" s="284"/>
    </row>
    <row r="59" spans="2:20" x14ac:dyDescent="0.25">
      <c r="B59" s="283"/>
      <c r="C59" s="1022" t="s">
        <v>1131</v>
      </c>
      <c r="D59" s="1210">
        <v>0</v>
      </c>
      <c r="E59" s="1210">
        <v>0</v>
      </c>
      <c r="F59" s="1210">
        <v>0</v>
      </c>
      <c r="G59" s="1210">
        <v>0</v>
      </c>
      <c r="H59" s="1210">
        <v>0</v>
      </c>
      <c r="I59" s="1210">
        <v>0</v>
      </c>
      <c r="R59" s="284"/>
    </row>
    <row r="60" spans="2:20" x14ac:dyDescent="0.25">
      <c r="B60" s="283"/>
      <c r="C60" s="1023" t="s">
        <v>1274</v>
      </c>
      <c r="D60" s="1210">
        <v>0</v>
      </c>
      <c r="E60" s="1210">
        <v>0</v>
      </c>
      <c r="F60" s="1210">
        <v>0</v>
      </c>
      <c r="G60" s="1210">
        <v>0</v>
      </c>
      <c r="H60" s="1210">
        <v>0</v>
      </c>
      <c r="I60" s="1210">
        <v>0</v>
      </c>
      <c r="R60" s="284"/>
    </row>
    <row r="61" spans="2:20" ht="15.75" thickBot="1" x14ac:dyDescent="0.3">
      <c r="B61" s="283"/>
      <c r="C61" s="1024" t="s">
        <v>1133</v>
      </c>
      <c r="D61" s="699">
        <f>SUM(D58:D60)</f>
        <v>0</v>
      </c>
      <c r="E61" s="699">
        <f t="shared" ref="E61:I61" si="4">SUM(E58:E60)</f>
        <v>0</v>
      </c>
      <c r="F61" s="699">
        <f t="shared" si="4"/>
        <v>0</v>
      </c>
      <c r="G61" s="699">
        <f t="shared" si="4"/>
        <v>0</v>
      </c>
      <c r="H61" s="699">
        <f t="shared" si="4"/>
        <v>0</v>
      </c>
      <c r="I61" s="699">
        <f t="shared" si="4"/>
        <v>0</v>
      </c>
      <c r="R61" s="284"/>
    </row>
    <row r="62" spans="2:20" ht="14.45" customHeight="1" thickBot="1" x14ac:dyDescent="0.3">
      <c r="B62" s="283"/>
      <c r="R62" s="284"/>
    </row>
    <row r="63" spans="2:20" ht="21.6" customHeight="1" x14ac:dyDescent="0.25">
      <c r="B63" s="285"/>
      <c r="C63" s="824" t="s">
        <v>1223</v>
      </c>
      <c r="D63" s="1038" t="s">
        <v>1132</v>
      </c>
      <c r="E63" s="1038" t="s">
        <v>753</v>
      </c>
      <c r="F63" s="1038" t="s">
        <v>754</v>
      </c>
      <c r="G63" s="1038" t="s">
        <v>755</v>
      </c>
      <c r="H63" s="1038" t="s">
        <v>756</v>
      </c>
      <c r="I63" s="1039" t="s">
        <v>757</v>
      </c>
      <c r="J63" s="822"/>
      <c r="K63" s="822"/>
      <c r="R63" s="284"/>
    </row>
    <row r="64" spans="2:20" x14ac:dyDescent="0.25">
      <c r="B64" s="285"/>
      <c r="C64" s="825" t="s">
        <v>1125</v>
      </c>
      <c r="D64" s="1027">
        <f>F50</f>
        <v>0</v>
      </c>
      <c r="E64" s="1027">
        <f t="shared" ref="E64:I64" si="5">G50</f>
        <v>0</v>
      </c>
      <c r="F64" s="1027">
        <f t="shared" si="5"/>
        <v>0</v>
      </c>
      <c r="G64" s="1027">
        <f t="shared" si="5"/>
        <v>0</v>
      </c>
      <c r="H64" s="1027">
        <f t="shared" si="5"/>
        <v>0</v>
      </c>
      <c r="I64" s="1040">
        <f t="shared" si="5"/>
        <v>0</v>
      </c>
      <c r="J64" s="692"/>
      <c r="K64" s="692"/>
      <c r="R64" s="284"/>
    </row>
    <row r="65" spans="2:18" x14ac:dyDescent="0.25">
      <c r="B65" s="285"/>
      <c r="C65" s="825" t="s">
        <v>1130</v>
      </c>
      <c r="D65" s="1028">
        <f>F$49*D58</f>
        <v>0</v>
      </c>
      <c r="E65" s="1028">
        <f t="shared" ref="E65:I65" si="6">G$49*E58</f>
        <v>0</v>
      </c>
      <c r="F65" s="1028">
        <f t="shared" si="6"/>
        <v>0</v>
      </c>
      <c r="G65" s="1028">
        <f t="shared" si="6"/>
        <v>0</v>
      </c>
      <c r="H65" s="1028">
        <f t="shared" si="6"/>
        <v>0</v>
      </c>
      <c r="I65" s="1041">
        <f t="shared" si="6"/>
        <v>0</v>
      </c>
      <c r="J65" s="692"/>
      <c r="K65" s="823"/>
      <c r="R65" s="284"/>
    </row>
    <row r="66" spans="2:18" x14ac:dyDescent="0.25">
      <c r="B66" s="285"/>
      <c r="C66" s="825" t="s">
        <v>1131</v>
      </c>
      <c r="D66" s="1028">
        <f>F$49*D59</f>
        <v>0</v>
      </c>
      <c r="E66" s="1028">
        <f t="shared" ref="E66:I66" si="7">G$49*E59</f>
        <v>0</v>
      </c>
      <c r="F66" s="1028">
        <f t="shared" si="7"/>
        <v>0</v>
      </c>
      <c r="G66" s="1028">
        <f t="shared" si="7"/>
        <v>0</v>
      </c>
      <c r="H66" s="1028">
        <f t="shared" si="7"/>
        <v>0</v>
      </c>
      <c r="I66" s="1041">
        <f t="shared" si="7"/>
        <v>0</v>
      </c>
      <c r="J66" s="692"/>
      <c r="K66" s="692"/>
      <c r="R66" s="284"/>
    </row>
    <row r="67" spans="2:18" x14ac:dyDescent="0.25">
      <c r="B67" s="285"/>
      <c r="C67" s="826" t="s">
        <v>1274</v>
      </c>
      <c r="D67" s="1028">
        <f>F$49*D60</f>
        <v>0</v>
      </c>
      <c r="E67" s="1028">
        <f t="shared" ref="E67" si="8">G$49*E60</f>
        <v>0</v>
      </c>
      <c r="F67" s="1028">
        <f t="shared" ref="F67" si="9">H$49*F60</f>
        <v>0</v>
      </c>
      <c r="G67" s="1028">
        <f t="shared" ref="G67" si="10">I$49*G60</f>
        <v>0</v>
      </c>
      <c r="H67" s="1028">
        <f t="shared" ref="H67" si="11">J$49*H60</f>
        <v>0</v>
      </c>
      <c r="I67" s="1041">
        <f t="shared" ref="I67" si="12">K$49*I60</f>
        <v>0</v>
      </c>
      <c r="J67" s="692"/>
      <c r="K67" s="692"/>
      <c r="R67" s="284"/>
    </row>
    <row r="68" spans="2:18" ht="15.75" thickBot="1" x14ac:dyDescent="0.3">
      <c r="B68" s="285"/>
      <c r="C68" s="827" t="s">
        <v>1133</v>
      </c>
      <c r="D68" s="1026">
        <f>SUM(D64:D67)</f>
        <v>0</v>
      </c>
      <c r="E68" s="1026">
        <f t="shared" ref="E68:I68" si="13">SUM(E64:E67)</f>
        <v>0</v>
      </c>
      <c r="F68" s="1026">
        <f t="shared" si="13"/>
        <v>0</v>
      </c>
      <c r="G68" s="1026">
        <f t="shared" si="13"/>
        <v>0</v>
      </c>
      <c r="H68" s="1026">
        <f t="shared" si="13"/>
        <v>0</v>
      </c>
      <c r="I68" s="1042">
        <f t="shared" si="13"/>
        <v>0</v>
      </c>
      <c r="J68" s="692"/>
      <c r="K68" s="692"/>
      <c r="L68" s="692"/>
      <c r="R68" s="284"/>
    </row>
    <row r="69" spans="2:18" x14ac:dyDescent="0.25">
      <c r="B69" s="285"/>
      <c r="C69" s="828"/>
      <c r="D69" s="829"/>
      <c r="E69" s="830"/>
      <c r="F69" s="692"/>
      <c r="G69" s="831"/>
      <c r="H69" s="692"/>
      <c r="I69" s="692"/>
      <c r="J69" s="692"/>
      <c r="K69" s="692"/>
      <c r="L69" s="692"/>
      <c r="R69" s="284"/>
    </row>
    <row r="70" spans="2:18" ht="15.75" thickBot="1" x14ac:dyDescent="0.3">
      <c r="B70" s="285"/>
      <c r="C70" s="522" t="s">
        <v>1224</v>
      </c>
      <c r="D70" s="692"/>
      <c r="E70" s="821"/>
      <c r="F70" s="692"/>
      <c r="G70" s="692"/>
      <c r="H70" s="692"/>
      <c r="I70" s="692"/>
      <c r="J70" s="692"/>
      <c r="K70" s="692"/>
      <c r="L70" s="692"/>
      <c r="R70" s="284"/>
    </row>
    <row r="71" spans="2:18" ht="41.1" customHeight="1" x14ac:dyDescent="0.25">
      <c r="B71" s="285"/>
      <c r="C71" s="824"/>
      <c r="D71" s="1029" t="s">
        <v>1134</v>
      </c>
      <c r="E71" s="1043" t="s">
        <v>1132</v>
      </c>
      <c r="F71" s="1038" t="s">
        <v>753</v>
      </c>
      <c r="G71" s="1038" t="s">
        <v>754</v>
      </c>
      <c r="H71" s="1038" t="s">
        <v>755</v>
      </c>
      <c r="I71" s="1038" t="s">
        <v>756</v>
      </c>
      <c r="J71" s="1039" t="s">
        <v>757</v>
      </c>
      <c r="R71" s="284"/>
    </row>
    <row r="72" spans="2:18" x14ac:dyDescent="0.25">
      <c r="B72" s="285"/>
      <c r="C72" s="825" t="s">
        <v>1125</v>
      </c>
      <c r="D72" s="1255">
        <v>0.79800000000000004</v>
      </c>
      <c r="E72" s="1032">
        <f>D64*$D72</f>
        <v>0</v>
      </c>
      <c r="F72" s="1032">
        <f t="shared" ref="F72:J72" si="14">E64*$D72</f>
        <v>0</v>
      </c>
      <c r="G72" s="1032">
        <f t="shared" si="14"/>
        <v>0</v>
      </c>
      <c r="H72" s="1032">
        <f t="shared" si="14"/>
        <v>0</v>
      </c>
      <c r="I72" s="1032">
        <f t="shared" si="14"/>
        <v>0</v>
      </c>
      <c r="J72" s="1044">
        <f t="shared" si="14"/>
        <v>0</v>
      </c>
      <c r="R72" s="284"/>
    </row>
    <row r="73" spans="2:18" x14ac:dyDescent="0.25">
      <c r="B73" s="285"/>
      <c r="C73" s="825" t="s">
        <v>1130</v>
      </c>
      <c r="D73" s="1256">
        <v>0.75900000000000001</v>
      </c>
      <c r="E73" s="1032">
        <f t="shared" ref="E73:J75" si="15">D65*$D73</f>
        <v>0</v>
      </c>
      <c r="F73" s="1032">
        <f t="shared" si="15"/>
        <v>0</v>
      </c>
      <c r="G73" s="1032">
        <f t="shared" si="15"/>
        <v>0</v>
      </c>
      <c r="H73" s="1032">
        <f t="shared" si="15"/>
        <v>0</v>
      </c>
      <c r="I73" s="1032">
        <f t="shared" si="15"/>
        <v>0</v>
      </c>
      <c r="J73" s="1044">
        <f t="shared" si="15"/>
        <v>0</v>
      </c>
      <c r="R73" s="284"/>
    </row>
    <row r="74" spans="2:18" x14ac:dyDescent="0.25">
      <c r="B74" s="285"/>
      <c r="C74" s="825" t="s">
        <v>1131</v>
      </c>
      <c r="D74" s="1256">
        <v>0.20399999999999999</v>
      </c>
      <c r="E74" s="1032">
        <f t="shared" si="15"/>
        <v>0</v>
      </c>
      <c r="F74" s="1032">
        <f t="shared" si="15"/>
        <v>0</v>
      </c>
      <c r="G74" s="1032">
        <f t="shared" si="15"/>
        <v>0</v>
      </c>
      <c r="H74" s="1032">
        <f t="shared" si="15"/>
        <v>0</v>
      </c>
      <c r="I74" s="1032">
        <f t="shared" si="15"/>
        <v>0</v>
      </c>
      <c r="J74" s="1044">
        <f t="shared" si="15"/>
        <v>0</v>
      </c>
      <c r="R74" s="284"/>
    </row>
    <row r="75" spans="2:18" x14ac:dyDescent="0.25">
      <c r="B75" s="285"/>
      <c r="C75" s="826" t="s">
        <v>1274</v>
      </c>
      <c r="D75" s="1257">
        <v>0.58520000000000005</v>
      </c>
      <c r="E75" s="1032">
        <f t="shared" si="15"/>
        <v>0</v>
      </c>
      <c r="F75" s="1032">
        <f t="shared" si="15"/>
        <v>0</v>
      </c>
      <c r="G75" s="1032">
        <f t="shared" si="15"/>
        <v>0</v>
      </c>
      <c r="H75" s="1032">
        <f t="shared" si="15"/>
        <v>0</v>
      </c>
      <c r="I75" s="1032">
        <f t="shared" si="15"/>
        <v>0</v>
      </c>
      <c r="J75" s="1044">
        <f t="shared" si="15"/>
        <v>0</v>
      </c>
      <c r="R75" s="284"/>
    </row>
    <row r="76" spans="2:18" ht="15.75" thickBot="1" x14ac:dyDescent="0.3">
      <c r="B76" s="285"/>
      <c r="C76" s="827" t="s">
        <v>1133</v>
      </c>
      <c r="D76" s="1030"/>
      <c r="E76" s="1045">
        <f>SUM(E72:E75)</f>
        <v>0</v>
      </c>
      <c r="F76" s="1045">
        <f t="shared" ref="F76:J76" si="16">SUM(F72:F75)</f>
        <v>0</v>
      </c>
      <c r="G76" s="1045">
        <f t="shared" si="16"/>
        <v>0</v>
      </c>
      <c r="H76" s="1045">
        <f t="shared" si="16"/>
        <v>0</v>
      </c>
      <c r="I76" s="1045">
        <f t="shared" si="16"/>
        <v>0</v>
      </c>
      <c r="J76" s="1046">
        <f t="shared" si="16"/>
        <v>0</v>
      </c>
      <c r="R76" s="284"/>
    </row>
    <row r="77" spans="2:18" x14ac:dyDescent="0.25">
      <c r="B77" s="285"/>
      <c r="C77" s="828"/>
      <c r="D77" s="829"/>
      <c r="E77" s="830"/>
      <c r="F77" s="692"/>
      <c r="G77" s="831"/>
      <c r="H77" s="692"/>
      <c r="I77" s="692"/>
      <c r="J77" s="692"/>
      <c r="K77" s="692"/>
      <c r="L77" s="692"/>
      <c r="R77" s="284"/>
    </row>
    <row r="78" spans="2:18" x14ac:dyDescent="0.25">
      <c r="B78" s="285"/>
      <c r="C78" s="1172" t="s">
        <v>1276</v>
      </c>
      <c r="D78" s="829"/>
      <c r="E78" s="830"/>
      <c r="F78" s="692"/>
      <c r="G78" s="831"/>
      <c r="H78" s="692"/>
      <c r="I78" s="692"/>
      <c r="J78" s="692"/>
      <c r="K78" s="692"/>
      <c r="L78" s="692"/>
      <c r="R78" s="284"/>
    </row>
    <row r="79" spans="2:18" x14ac:dyDescent="0.25">
      <c r="B79" s="285"/>
      <c r="C79" s="828"/>
      <c r="D79" s="829"/>
      <c r="E79" s="830"/>
      <c r="F79" s="692"/>
      <c r="G79" s="831"/>
      <c r="H79" s="692"/>
      <c r="I79" s="692"/>
      <c r="J79" s="692"/>
      <c r="K79" s="692"/>
      <c r="L79" s="692"/>
      <c r="R79" s="284"/>
    </row>
    <row r="80" spans="2:18" ht="32.1" customHeight="1" x14ac:dyDescent="0.25">
      <c r="B80" s="285"/>
      <c r="C80" s="828"/>
      <c r="D80" s="829"/>
      <c r="E80" s="830"/>
      <c r="F80" s="692"/>
      <c r="G80" s="831"/>
      <c r="H80" s="692"/>
      <c r="I80" s="692"/>
      <c r="J80" s="692"/>
      <c r="K80" s="692"/>
      <c r="L80" s="692"/>
      <c r="R80" s="284"/>
    </row>
    <row r="81" spans="2:18" x14ac:dyDescent="0.25">
      <c r="B81" s="285"/>
      <c r="C81" s="496" t="s">
        <v>1233</v>
      </c>
      <c r="D81" s="1031" t="s">
        <v>1132</v>
      </c>
      <c r="E81" s="276" t="s">
        <v>753</v>
      </c>
      <c r="F81" s="276" t="s">
        <v>754</v>
      </c>
      <c r="G81" s="276" t="s">
        <v>755</v>
      </c>
      <c r="H81" s="276" t="s">
        <v>756</v>
      </c>
      <c r="I81" s="276" t="s">
        <v>757</v>
      </c>
      <c r="J81" s="692"/>
      <c r="K81" s="692"/>
      <c r="L81" s="692"/>
      <c r="R81" s="284"/>
    </row>
    <row r="82" spans="2:18" x14ac:dyDescent="0.25">
      <c r="B82" s="285"/>
      <c r="C82" s="496" t="s">
        <v>1135</v>
      </c>
      <c r="D82" s="1210">
        <v>0.23749999999999999</v>
      </c>
      <c r="E82" s="1210">
        <v>0.23749999999999999</v>
      </c>
      <c r="F82" s="1210">
        <v>0.23749999999999999</v>
      </c>
      <c r="G82" s="1210">
        <v>0.23749999999999999</v>
      </c>
      <c r="H82" s="1210">
        <v>0.23749999999999999</v>
      </c>
      <c r="I82" s="1210">
        <v>0.23749999999999999</v>
      </c>
      <c r="J82" s="829"/>
      <c r="K82" s="692"/>
      <c r="L82" s="692"/>
      <c r="R82" s="284"/>
    </row>
    <row r="83" spans="2:18" x14ac:dyDescent="0.25">
      <c r="B83" s="285"/>
      <c r="C83" s="496" t="s">
        <v>1136</v>
      </c>
      <c r="D83" s="1210">
        <v>0.1</v>
      </c>
      <c r="E83" s="1210">
        <v>0.1</v>
      </c>
      <c r="F83" s="1210">
        <v>0.1</v>
      </c>
      <c r="G83" s="1210">
        <v>0.1</v>
      </c>
      <c r="H83" s="1210">
        <v>0.1</v>
      </c>
      <c r="I83" s="1210">
        <v>0.1</v>
      </c>
      <c r="J83" s="829"/>
      <c r="K83" s="692"/>
      <c r="L83" s="692"/>
      <c r="R83" s="284"/>
    </row>
    <row r="84" spans="2:18" x14ac:dyDescent="0.25">
      <c r="B84" s="285"/>
      <c r="C84" s="496" t="s">
        <v>1137</v>
      </c>
      <c r="D84" s="1210">
        <v>0.28749999999999998</v>
      </c>
      <c r="E84" s="1210">
        <v>0.28749999999999998</v>
      </c>
      <c r="F84" s="1210">
        <v>0.28749999999999998</v>
      </c>
      <c r="G84" s="1210">
        <v>0.28749999999999998</v>
      </c>
      <c r="H84" s="1210">
        <v>0.28749999999999998</v>
      </c>
      <c r="I84" s="1210">
        <v>0.28749999999999998</v>
      </c>
      <c r="J84" s="829"/>
      <c r="K84" s="692"/>
      <c r="L84" s="692"/>
      <c r="R84" s="284"/>
    </row>
    <row r="85" spans="2:18" x14ac:dyDescent="0.25">
      <c r="B85" s="285"/>
      <c r="C85" s="496" t="s">
        <v>1138</v>
      </c>
      <c r="D85" s="1210">
        <v>2.5000000000000001E-2</v>
      </c>
      <c r="E85" s="1210">
        <v>2.5000000000000001E-2</v>
      </c>
      <c r="F85" s="1210">
        <v>2.5000000000000001E-2</v>
      </c>
      <c r="G85" s="1210">
        <v>2.5000000000000001E-2</v>
      </c>
      <c r="H85" s="1210">
        <v>2.5000000000000001E-2</v>
      </c>
      <c r="I85" s="1210">
        <v>2.5000000000000001E-2</v>
      </c>
      <c r="J85" s="829"/>
      <c r="K85" s="692"/>
      <c r="L85" s="692"/>
      <c r="R85" s="284"/>
    </row>
    <row r="86" spans="2:18" x14ac:dyDescent="0.25">
      <c r="B86" s="285"/>
      <c r="C86" s="496" t="s">
        <v>1139</v>
      </c>
      <c r="D86" s="1210">
        <v>1.2500000000000001E-2</v>
      </c>
      <c r="E86" s="1210">
        <v>1.2500000000000001E-2</v>
      </c>
      <c r="F86" s="1210">
        <v>1.2500000000000001E-2</v>
      </c>
      <c r="G86" s="1210">
        <v>1.2500000000000001E-2</v>
      </c>
      <c r="H86" s="1210">
        <v>1.2500000000000001E-2</v>
      </c>
      <c r="I86" s="1210">
        <v>1.2500000000000001E-2</v>
      </c>
      <c r="J86" s="829"/>
      <c r="K86" s="692"/>
      <c r="L86" s="692"/>
      <c r="R86" s="284"/>
    </row>
    <row r="87" spans="2:18" x14ac:dyDescent="0.25">
      <c r="B87" s="285"/>
      <c r="C87" s="496" t="s">
        <v>1140</v>
      </c>
      <c r="D87" s="1210">
        <v>0.23749999999999999</v>
      </c>
      <c r="E87" s="1210">
        <v>0.23749999999999999</v>
      </c>
      <c r="F87" s="1210">
        <v>0.23749999999999999</v>
      </c>
      <c r="G87" s="1210">
        <v>0.23749999999999999</v>
      </c>
      <c r="H87" s="1210">
        <v>0.23749999999999999</v>
      </c>
      <c r="I87" s="1210">
        <v>0.23749999999999999</v>
      </c>
      <c r="J87" s="829"/>
      <c r="K87" s="692"/>
      <c r="L87" s="692"/>
      <c r="R87" s="284"/>
    </row>
    <row r="88" spans="2:18" x14ac:dyDescent="0.25">
      <c r="B88" s="285"/>
      <c r="C88" s="496" t="s">
        <v>1141</v>
      </c>
      <c r="D88" s="1210">
        <v>2.5000000000000001E-2</v>
      </c>
      <c r="E88" s="1210">
        <v>2.5000000000000001E-2</v>
      </c>
      <c r="F88" s="1210">
        <v>2.5000000000000001E-2</v>
      </c>
      <c r="G88" s="1210">
        <v>2.5000000000000001E-2</v>
      </c>
      <c r="H88" s="1210">
        <v>2.5000000000000001E-2</v>
      </c>
      <c r="I88" s="1210">
        <v>2.5000000000000001E-2</v>
      </c>
      <c r="J88" s="829"/>
      <c r="R88" s="284"/>
    </row>
    <row r="89" spans="2:18" x14ac:dyDescent="0.25">
      <c r="B89" s="285"/>
      <c r="C89" s="496" t="s">
        <v>1142</v>
      </c>
      <c r="D89" s="1210">
        <v>7.4999999999999997E-2</v>
      </c>
      <c r="E89" s="1210">
        <v>7.4999999999999997E-2</v>
      </c>
      <c r="F89" s="1210">
        <v>7.4999999999999997E-2</v>
      </c>
      <c r="G89" s="1210">
        <v>7.4999999999999997E-2</v>
      </c>
      <c r="H89" s="1210">
        <v>7.4999999999999997E-2</v>
      </c>
      <c r="I89" s="1210">
        <v>7.4999999999999997E-2</v>
      </c>
      <c r="J89" s="829"/>
      <c r="R89" s="284"/>
    </row>
    <row r="90" spans="2:18" x14ac:dyDescent="0.25">
      <c r="B90" s="285"/>
      <c r="C90" s="278"/>
      <c r="D90" s="1037">
        <f t="shared" ref="D90:I90" si="17">SUM(D82:D89)</f>
        <v>0.99999999999999989</v>
      </c>
      <c r="E90" s="1037">
        <f t="shared" si="17"/>
        <v>0.99999999999999989</v>
      </c>
      <c r="F90" s="1037">
        <f t="shared" si="17"/>
        <v>0.99999999999999989</v>
      </c>
      <c r="G90" s="1037">
        <f t="shared" si="17"/>
        <v>0.99999999999999989</v>
      </c>
      <c r="H90" s="1037">
        <f t="shared" si="17"/>
        <v>0.99999999999999989</v>
      </c>
      <c r="I90" s="1037">
        <f t="shared" si="17"/>
        <v>0.99999999999999989</v>
      </c>
      <c r="J90" s="829"/>
      <c r="R90" s="284"/>
    </row>
    <row r="91" spans="2:18" x14ac:dyDescent="0.25">
      <c r="B91" s="285"/>
      <c r="C91" s="278"/>
      <c r="D91" s="829"/>
      <c r="E91" s="829"/>
      <c r="F91" s="829"/>
      <c r="G91" s="829"/>
      <c r="H91" s="829"/>
      <c r="I91" s="829"/>
      <c r="J91" s="829"/>
      <c r="R91" s="284"/>
    </row>
    <row r="92" spans="2:18" x14ac:dyDescent="0.25">
      <c r="B92" s="285"/>
      <c r="C92" s="496" t="s">
        <v>1234</v>
      </c>
      <c r="D92" s="1031" t="s">
        <v>1132</v>
      </c>
      <c r="E92" s="276" t="s">
        <v>753</v>
      </c>
      <c r="F92" s="276" t="s">
        <v>754</v>
      </c>
      <c r="G92" s="276" t="s">
        <v>755</v>
      </c>
      <c r="H92" s="276" t="s">
        <v>756</v>
      </c>
      <c r="I92" s="276" t="s">
        <v>757</v>
      </c>
      <c r="J92" s="692"/>
      <c r="K92" s="692"/>
      <c r="L92" s="692"/>
      <c r="R92" s="284"/>
    </row>
    <row r="93" spans="2:18" x14ac:dyDescent="0.25">
      <c r="B93" s="285"/>
      <c r="C93" s="496" t="s">
        <v>1135</v>
      </c>
      <c r="D93" s="714">
        <f t="shared" ref="D93:I100" si="18">E$76*D82</f>
        <v>0</v>
      </c>
      <c r="E93" s="714">
        <f t="shared" si="18"/>
        <v>0</v>
      </c>
      <c r="F93" s="714">
        <f t="shared" si="18"/>
        <v>0</v>
      </c>
      <c r="G93" s="714">
        <f t="shared" si="18"/>
        <v>0</v>
      </c>
      <c r="H93" s="714">
        <f t="shared" si="18"/>
        <v>0</v>
      </c>
      <c r="I93" s="714">
        <f t="shared" si="18"/>
        <v>0</v>
      </c>
      <c r="J93" s="829"/>
      <c r="K93" s="692"/>
      <c r="L93" s="692"/>
      <c r="R93" s="284"/>
    </row>
    <row r="94" spans="2:18" x14ac:dyDescent="0.25">
      <c r="B94" s="285"/>
      <c r="C94" s="496" t="s">
        <v>1136</v>
      </c>
      <c r="D94" s="714">
        <f t="shared" si="18"/>
        <v>0</v>
      </c>
      <c r="E94" s="714">
        <f t="shared" si="18"/>
        <v>0</v>
      </c>
      <c r="F94" s="714">
        <f t="shared" si="18"/>
        <v>0</v>
      </c>
      <c r="G94" s="714">
        <f t="shared" si="18"/>
        <v>0</v>
      </c>
      <c r="H94" s="714">
        <f t="shared" si="18"/>
        <v>0</v>
      </c>
      <c r="I94" s="714">
        <f t="shared" si="18"/>
        <v>0</v>
      </c>
      <c r="J94" s="829"/>
      <c r="K94" s="692"/>
      <c r="L94" s="692"/>
      <c r="R94" s="284"/>
    </row>
    <row r="95" spans="2:18" x14ac:dyDescent="0.25">
      <c r="B95" s="285"/>
      <c r="C95" s="496" t="s">
        <v>1137</v>
      </c>
      <c r="D95" s="714">
        <f t="shared" si="18"/>
        <v>0</v>
      </c>
      <c r="E95" s="714">
        <f t="shared" si="18"/>
        <v>0</v>
      </c>
      <c r="F95" s="714">
        <f t="shared" si="18"/>
        <v>0</v>
      </c>
      <c r="G95" s="714">
        <f t="shared" si="18"/>
        <v>0</v>
      </c>
      <c r="H95" s="714">
        <f t="shared" si="18"/>
        <v>0</v>
      </c>
      <c r="I95" s="714">
        <f t="shared" si="18"/>
        <v>0</v>
      </c>
      <c r="J95" s="829"/>
      <c r="K95" s="692"/>
      <c r="L95" s="692"/>
      <c r="R95" s="284"/>
    </row>
    <row r="96" spans="2:18" x14ac:dyDescent="0.25">
      <c r="B96" s="285"/>
      <c r="C96" s="496" t="s">
        <v>1138</v>
      </c>
      <c r="D96" s="714">
        <f t="shared" si="18"/>
        <v>0</v>
      </c>
      <c r="E96" s="714">
        <f t="shared" si="18"/>
        <v>0</v>
      </c>
      <c r="F96" s="714">
        <f t="shared" si="18"/>
        <v>0</v>
      </c>
      <c r="G96" s="714">
        <f t="shared" si="18"/>
        <v>0</v>
      </c>
      <c r="H96" s="714">
        <f t="shared" si="18"/>
        <v>0</v>
      </c>
      <c r="I96" s="714">
        <f t="shared" si="18"/>
        <v>0</v>
      </c>
      <c r="J96" s="829"/>
      <c r="K96" s="692"/>
      <c r="L96" s="692"/>
      <c r="R96" s="284"/>
    </row>
    <row r="97" spans="2:22" x14ac:dyDescent="0.25">
      <c r="B97" s="285"/>
      <c r="C97" s="496" t="s">
        <v>1139</v>
      </c>
      <c r="D97" s="714">
        <f t="shared" si="18"/>
        <v>0</v>
      </c>
      <c r="E97" s="714">
        <f t="shared" si="18"/>
        <v>0</v>
      </c>
      <c r="F97" s="714">
        <f t="shared" si="18"/>
        <v>0</v>
      </c>
      <c r="G97" s="714">
        <f t="shared" si="18"/>
        <v>0</v>
      </c>
      <c r="H97" s="714">
        <f t="shared" si="18"/>
        <v>0</v>
      </c>
      <c r="I97" s="714">
        <f t="shared" si="18"/>
        <v>0</v>
      </c>
      <c r="J97" s="829"/>
      <c r="K97" s="692"/>
      <c r="L97" s="692"/>
      <c r="R97" s="284"/>
    </row>
    <row r="98" spans="2:22" x14ac:dyDescent="0.25">
      <c r="B98" s="285"/>
      <c r="C98" s="496" t="s">
        <v>1140</v>
      </c>
      <c r="D98" s="714">
        <f t="shared" si="18"/>
        <v>0</v>
      </c>
      <c r="E98" s="714">
        <f t="shared" si="18"/>
        <v>0</v>
      </c>
      <c r="F98" s="714">
        <f t="shared" si="18"/>
        <v>0</v>
      </c>
      <c r="G98" s="714">
        <f t="shared" si="18"/>
        <v>0</v>
      </c>
      <c r="H98" s="714">
        <f t="shared" si="18"/>
        <v>0</v>
      </c>
      <c r="I98" s="714">
        <f t="shared" si="18"/>
        <v>0</v>
      </c>
      <c r="J98" s="829"/>
      <c r="K98" s="692"/>
      <c r="L98" s="692"/>
      <c r="R98" s="284"/>
    </row>
    <row r="99" spans="2:22" x14ac:dyDescent="0.25">
      <c r="B99" s="285"/>
      <c r="C99" s="496" t="s">
        <v>1141</v>
      </c>
      <c r="D99" s="714">
        <f t="shared" si="18"/>
        <v>0</v>
      </c>
      <c r="E99" s="714">
        <f t="shared" si="18"/>
        <v>0</v>
      </c>
      <c r="F99" s="714">
        <f t="shared" si="18"/>
        <v>0</v>
      </c>
      <c r="G99" s="714">
        <f t="shared" si="18"/>
        <v>0</v>
      </c>
      <c r="H99" s="714">
        <f t="shared" si="18"/>
        <v>0</v>
      </c>
      <c r="I99" s="714">
        <f t="shared" si="18"/>
        <v>0</v>
      </c>
      <c r="J99" s="829"/>
      <c r="R99" s="284"/>
    </row>
    <row r="100" spans="2:22" x14ac:dyDescent="0.25">
      <c r="B100" s="285"/>
      <c r="C100" s="496" t="s">
        <v>1142</v>
      </c>
      <c r="D100" s="714">
        <f t="shared" si="18"/>
        <v>0</v>
      </c>
      <c r="E100" s="714">
        <f t="shared" si="18"/>
        <v>0</v>
      </c>
      <c r="F100" s="714">
        <f t="shared" si="18"/>
        <v>0</v>
      </c>
      <c r="G100" s="714">
        <f t="shared" si="18"/>
        <v>0</v>
      </c>
      <c r="H100" s="714">
        <f t="shared" si="18"/>
        <v>0</v>
      </c>
      <c r="I100" s="714">
        <f t="shared" si="18"/>
        <v>0</v>
      </c>
      <c r="J100" s="829"/>
      <c r="R100" s="284"/>
    </row>
    <row r="101" spans="2:22" x14ac:dyDescent="0.25">
      <c r="B101" s="285"/>
      <c r="C101" s="278"/>
      <c r="D101" s="1032">
        <f t="shared" ref="D101:I101" si="19">SUM(D93:D100)</f>
        <v>0</v>
      </c>
      <c r="E101" s="1032">
        <f t="shared" si="19"/>
        <v>0</v>
      </c>
      <c r="F101" s="1032">
        <f t="shared" si="19"/>
        <v>0</v>
      </c>
      <c r="G101" s="1032">
        <f t="shared" si="19"/>
        <v>0</v>
      </c>
      <c r="H101" s="1032">
        <f t="shared" si="19"/>
        <v>0</v>
      </c>
      <c r="I101" s="1032">
        <f t="shared" si="19"/>
        <v>0</v>
      </c>
      <c r="J101" s="829"/>
      <c r="R101" s="284"/>
    </row>
    <row r="102" spans="2:22" x14ac:dyDescent="0.25">
      <c r="B102" s="285"/>
      <c r="C102" s="278"/>
      <c r="D102" s="829"/>
      <c r="E102" s="829"/>
      <c r="F102" s="829"/>
      <c r="G102" s="829"/>
      <c r="H102" s="829"/>
      <c r="I102" s="829"/>
      <c r="J102" s="829"/>
      <c r="R102" s="284"/>
    </row>
    <row r="103" spans="2:22" x14ac:dyDescent="0.25">
      <c r="B103" s="286"/>
      <c r="C103" s="287"/>
      <c r="D103" s="287"/>
      <c r="E103" s="287"/>
      <c r="F103" s="287"/>
      <c r="G103" s="287"/>
      <c r="H103" s="287"/>
      <c r="I103" s="287"/>
      <c r="J103" s="287"/>
      <c r="K103" s="287"/>
      <c r="L103" s="287"/>
      <c r="M103" s="287"/>
      <c r="N103" s="287"/>
      <c r="O103" s="287"/>
      <c r="P103" s="287"/>
      <c r="Q103" s="287"/>
      <c r="R103" s="288"/>
    </row>
    <row r="105" spans="2:22" x14ac:dyDescent="0.25">
      <c r="B105" s="282" t="s">
        <v>70</v>
      </c>
      <c r="C105" s="878"/>
      <c r="D105" s="878"/>
      <c r="E105" s="878"/>
      <c r="F105" s="878"/>
      <c r="G105" s="878"/>
      <c r="H105" s="878"/>
      <c r="I105" s="878"/>
      <c r="J105" s="878"/>
      <c r="K105" s="878"/>
      <c r="L105" s="878"/>
      <c r="M105" s="878"/>
      <c r="N105" s="878"/>
      <c r="O105" s="878"/>
      <c r="P105" s="878"/>
      <c r="Q105" s="878"/>
      <c r="R105" s="879"/>
    </row>
    <row r="106" spans="2:22" x14ac:dyDescent="0.25">
      <c r="B106" s="285" t="s">
        <v>1277</v>
      </c>
      <c r="R106" s="284"/>
    </row>
    <row r="107" spans="2:22" x14ac:dyDescent="0.25">
      <c r="B107" s="285" t="s">
        <v>71</v>
      </c>
      <c r="R107" s="284"/>
    </row>
    <row r="108" spans="2:22" x14ac:dyDescent="0.25">
      <c r="B108" s="285"/>
      <c r="C108" s="880"/>
      <c r="D108" s="881"/>
      <c r="E108" s="881"/>
      <c r="F108" s="881"/>
      <c r="R108" s="284"/>
    </row>
    <row r="109" spans="2:22" ht="42.95" customHeight="1" x14ac:dyDescent="0.25">
      <c r="B109" s="285"/>
      <c r="C109" s="621" t="s">
        <v>72</v>
      </c>
      <c r="D109" s="621" t="s">
        <v>73</v>
      </c>
      <c r="E109" s="621" t="s">
        <v>74</v>
      </c>
      <c r="F109" s="1173" t="s">
        <v>1135</v>
      </c>
      <c r="G109" s="1173" t="s">
        <v>1136</v>
      </c>
      <c r="H109" s="1173" t="s">
        <v>1137</v>
      </c>
      <c r="I109" s="1173" t="s">
        <v>1138</v>
      </c>
      <c r="J109" s="1021" t="s">
        <v>1139</v>
      </c>
      <c r="K109" s="1174" t="s">
        <v>1140</v>
      </c>
      <c r="L109" s="1173" t="s">
        <v>1141</v>
      </c>
      <c r="M109" s="1175" t="s">
        <v>1142</v>
      </c>
      <c r="N109" s="883"/>
      <c r="O109" s="882"/>
      <c r="P109" s="621" t="s">
        <v>1242</v>
      </c>
      <c r="Q109" s="621" t="s">
        <v>1243</v>
      </c>
      <c r="R109" s="1096"/>
      <c r="S109" s="882"/>
      <c r="T109" s="882"/>
      <c r="V109" s="284"/>
    </row>
    <row r="110" spans="2:22" ht="42.95" customHeight="1" x14ac:dyDescent="0.25">
      <c r="B110" s="285"/>
      <c r="C110" s="290" t="s">
        <v>1238</v>
      </c>
      <c r="D110" s="290" t="s">
        <v>1237</v>
      </c>
      <c r="E110" s="290" t="s">
        <v>1258</v>
      </c>
      <c r="F110" s="1231">
        <v>6</v>
      </c>
      <c r="G110" s="1231">
        <v>4</v>
      </c>
      <c r="H110" s="1231">
        <v>8</v>
      </c>
      <c r="I110" s="1231">
        <v>6</v>
      </c>
      <c r="J110" s="1232">
        <v>6</v>
      </c>
      <c r="K110" s="1233">
        <v>8</v>
      </c>
      <c r="L110" s="1231">
        <v>12</v>
      </c>
      <c r="M110" s="1234">
        <v>4</v>
      </c>
      <c r="N110" s="883"/>
      <c r="O110" s="882"/>
      <c r="P110" s="327"/>
      <c r="Q110" s="327"/>
      <c r="R110" s="1096"/>
      <c r="S110" s="882"/>
      <c r="T110" s="882"/>
    </row>
    <row r="111" spans="2:22" ht="33.6" customHeight="1" x14ac:dyDescent="0.25">
      <c r="B111" s="285"/>
      <c r="C111" s="619" t="s">
        <v>1212</v>
      </c>
      <c r="D111" s="290" t="s">
        <v>1239</v>
      </c>
      <c r="E111" s="290" t="s">
        <v>1240</v>
      </c>
      <c r="F111" s="1235">
        <f>5/F110</f>
        <v>0.83333333333333337</v>
      </c>
      <c r="G111" s="1235">
        <f>4.33/G110</f>
        <v>1.0825</v>
      </c>
      <c r="H111" s="1235">
        <f>2.67/H110</f>
        <v>0.33374999999999999</v>
      </c>
      <c r="I111" s="1235">
        <f>12/I110</f>
        <v>2</v>
      </c>
      <c r="J111" s="1235">
        <f>7/J110</f>
        <v>1.1666666666666667</v>
      </c>
      <c r="K111" s="1235">
        <f>4.67/K110</f>
        <v>0.58374999999999999</v>
      </c>
      <c r="L111" s="1235">
        <f>12/L110</f>
        <v>1</v>
      </c>
      <c r="M111" s="1235">
        <f>12.67/M110</f>
        <v>3.1675</v>
      </c>
      <c r="N111" s="889"/>
      <c r="O111" s="890"/>
      <c r="P111" s="1238" t="s">
        <v>82</v>
      </c>
      <c r="Q111" s="1239">
        <f>VLOOKUP('Inputs and eligible population'!P111,payscales!$Q$5:$V$38,6,0)</f>
        <v>25.71</v>
      </c>
      <c r="R111" s="284"/>
    </row>
    <row r="112" spans="2:22" ht="56.1" customHeight="1" x14ac:dyDescent="0.25">
      <c r="B112" s="285"/>
      <c r="C112" s="619" t="s">
        <v>1212</v>
      </c>
      <c r="D112" s="290" t="s">
        <v>1247</v>
      </c>
      <c r="E112" s="290" t="s">
        <v>79</v>
      </c>
      <c r="F112" s="1322">
        <v>0</v>
      </c>
      <c r="G112" s="1322">
        <v>0</v>
      </c>
      <c r="H112" s="1322">
        <v>0</v>
      </c>
      <c r="I112" s="1322">
        <v>0</v>
      </c>
      <c r="J112" s="1322">
        <v>0</v>
      </c>
      <c r="K112" s="1322">
        <v>0</v>
      </c>
      <c r="L112" s="1322">
        <v>0</v>
      </c>
      <c r="M112" s="1322">
        <v>0</v>
      </c>
      <c r="N112" s="889"/>
      <c r="O112" s="890"/>
      <c r="P112" s="1238" t="s">
        <v>82</v>
      </c>
      <c r="Q112" s="1239">
        <f>VLOOKUP('Inputs and eligible population'!P112,payscales!$Q$5:$V$38,6,0)</f>
        <v>25.71</v>
      </c>
      <c r="R112" s="284"/>
    </row>
    <row r="113" spans="2:18" ht="50.45" customHeight="1" x14ac:dyDescent="0.25">
      <c r="B113" s="285"/>
      <c r="C113" s="619" t="s">
        <v>1212</v>
      </c>
      <c r="D113" s="290" t="s">
        <v>166</v>
      </c>
      <c r="E113" s="290" t="s">
        <v>79</v>
      </c>
      <c r="F113" s="1322">
        <v>0</v>
      </c>
      <c r="G113" s="1322">
        <v>0</v>
      </c>
      <c r="H113" s="1322">
        <v>0</v>
      </c>
      <c r="I113" s="1322">
        <v>0</v>
      </c>
      <c r="J113" s="1322">
        <v>0</v>
      </c>
      <c r="K113" s="1322">
        <v>0</v>
      </c>
      <c r="L113" s="1322">
        <v>0</v>
      </c>
      <c r="M113" s="1322">
        <v>0</v>
      </c>
      <c r="N113" s="889"/>
      <c r="O113" s="890"/>
      <c r="P113" s="1238" t="s">
        <v>82</v>
      </c>
      <c r="Q113" s="1239">
        <f>VLOOKUP('Inputs and eligible population'!P113,payscales!$Q$5:$V$38,6,0)</f>
        <v>25.71</v>
      </c>
      <c r="R113" s="284"/>
    </row>
    <row r="114" spans="2:18" ht="43.35" customHeight="1" x14ac:dyDescent="0.25">
      <c r="B114" s="285"/>
      <c r="C114" s="410" t="s">
        <v>1211</v>
      </c>
      <c r="D114" s="290" t="s">
        <v>78</v>
      </c>
      <c r="E114" s="290" t="s">
        <v>79</v>
      </c>
      <c r="F114" s="1237">
        <v>1</v>
      </c>
      <c r="G114" s="1237">
        <v>1</v>
      </c>
      <c r="H114" s="1237">
        <v>1</v>
      </c>
      <c r="I114" s="1237">
        <v>1</v>
      </c>
      <c r="J114" s="1237">
        <v>1</v>
      </c>
      <c r="K114" s="1237">
        <v>1</v>
      </c>
      <c r="L114" s="1237">
        <v>1</v>
      </c>
      <c r="M114" s="1237">
        <v>1</v>
      </c>
      <c r="N114" s="692"/>
      <c r="P114" s="1097"/>
      <c r="Q114" s="1097"/>
      <c r="R114" s="1101"/>
    </row>
    <row r="115" spans="2:18" ht="31.7" customHeight="1" x14ac:dyDescent="0.25">
      <c r="B115" s="285"/>
      <c r="C115" s="410" t="s">
        <v>1211</v>
      </c>
      <c r="D115" s="290" t="s">
        <v>80</v>
      </c>
      <c r="E115" s="290" t="s">
        <v>79</v>
      </c>
      <c r="F115" s="1237">
        <v>5</v>
      </c>
      <c r="G115" s="1237">
        <v>3</v>
      </c>
      <c r="H115" s="1237">
        <v>7</v>
      </c>
      <c r="I115" s="1237">
        <v>5</v>
      </c>
      <c r="J115" s="1237">
        <v>5</v>
      </c>
      <c r="K115" s="1237">
        <v>3</v>
      </c>
      <c r="L115" s="1237">
        <v>11</v>
      </c>
      <c r="M115" s="1237">
        <v>3</v>
      </c>
      <c r="N115" s="692"/>
      <c r="P115" s="1097"/>
      <c r="Q115" s="1097"/>
      <c r="R115" s="1101"/>
    </row>
    <row r="116" spans="2:18" ht="51.95" customHeight="1" x14ac:dyDescent="0.25">
      <c r="B116" s="285"/>
      <c r="C116" s="620" t="s">
        <v>1244</v>
      </c>
      <c r="D116" s="290" t="s">
        <v>1245</v>
      </c>
      <c r="E116" s="290" t="s">
        <v>1257</v>
      </c>
      <c r="F116" s="1236">
        <v>0</v>
      </c>
      <c r="G116" s="1236">
        <v>0</v>
      </c>
      <c r="H116" s="1236">
        <v>0</v>
      </c>
      <c r="I116" s="1236">
        <v>0</v>
      </c>
      <c r="J116" s="1236">
        <v>0</v>
      </c>
      <c r="K116" s="1236">
        <v>0</v>
      </c>
      <c r="L116" s="1236">
        <v>0</v>
      </c>
      <c r="M116" s="1236">
        <v>0</v>
      </c>
      <c r="P116" s="1097"/>
      <c r="Q116" s="1097"/>
      <c r="R116" s="1101"/>
    </row>
    <row r="117" spans="2:18" ht="58.7" customHeight="1" x14ac:dyDescent="0.25">
      <c r="B117" s="285"/>
      <c r="C117" s="620" t="s">
        <v>1244</v>
      </c>
      <c r="D117" s="1100" t="s">
        <v>1246</v>
      </c>
      <c r="E117" s="290" t="s">
        <v>1257</v>
      </c>
      <c r="F117" s="1236">
        <v>0</v>
      </c>
      <c r="G117" s="1236">
        <v>0</v>
      </c>
      <c r="H117" s="1236">
        <v>0</v>
      </c>
      <c r="I117" s="1236">
        <v>0</v>
      </c>
      <c r="J117" s="1236">
        <v>0</v>
      </c>
      <c r="K117" s="1236">
        <v>0</v>
      </c>
      <c r="L117" s="1236">
        <v>0</v>
      </c>
      <c r="M117" s="1236">
        <v>0</v>
      </c>
      <c r="P117" s="1097"/>
      <c r="Q117" s="1097"/>
      <c r="R117" s="1101"/>
    </row>
    <row r="118" spans="2:18" ht="52.7" customHeight="1" x14ac:dyDescent="0.25">
      <c r="B118" s="285"/>
      <c r="C118" s="620" t="s">
        <v>1244</v>
      </c>
      <c r="D118" s="290" t="s">
        <v>1245</v>
      </c>
      <c r="E118" s="290" t="s">
        <v>1291</v>
      </c>
      <c r="F118" s="1322">
        <v>0</v>
      </c>
      <c r="G118" s="1322">
        <v>0</v>
      </c>
      <c r="H118" s="1322">
        <v>0</v>
      </c>
      <c r="I118" s="1322">
        <v>0</v>
      </c>
      <c r="J118" s="1322">
        <v>0</v>
      </c>
      <c r="K118" s="1322">
        <v>0</v>
      </c>
      <c r="L118" s="1322">
        <v>0</v>
      </c>
      <c r="M118" s="1322">
        <v>0</v>
      </c>
      <c r="P118" s="1238" t="s">
        <v>81</v>
      </c>
      <c r="Q118" s="1239">
        <f>VLOOKUP('Inputs and eligible population'!P118,payscales!$Q$5:$V$38,6,0)</f>
        <v>38.99</v>
      </c>
      <c r="R118" s="1101"/>
    </row>
    <row r="119" spans="2:18" ht="69.95" customHeight="1" x14ac:dyDescent="0.25">
      <c r="B119" s="285"/>
      <c r="C119" s="620" t="s">
        <v>1244</v>
      </c>
      <c r="D119" s="1100" t="s">
        <v>1246</v>
      </c>
      <c r="E119" s="290" t="s">
        <v>1291</v>
      </c>
      <c r="F119" s="1322">
        <v>0</v>
      </c>
      <c r="G119" s="1322">
        <v>0</v>
      </c>
      <c r="H119" s="1322">
        <v>0</v>
      </c>
      <c r="I119" s="1322">
        <v>0</v>
      </c>
      <c r="J119" s="1322">
        <v>0</v>
      </c>
      <c r="K119" s="1322">
        <v>0</v>
      </c>
      <c r="L119" s="1322">
        <v>0</v>
      </c>
      <c r="M119" s="1322">
        <v>0</v>
      </c>
      <c r="P119" s="1240" t="s">
        <v>82</v>
      </c>
      <c r="Q119" s="1241">
        <f>VLOOKUP('Inputs and eligible population'!P119,payscales!$Q$5:$V$38,6,0)</f>
        <v>25.71</v>
      </c>
      <c r="R119" s="284"/>
    </row>
    <row r="120" spans="2:18" ht="39" customHeight="1" x14ac:dyDescent="0.25">
      <c r="B120" s="285"/>
      <c r="C120" s="620" t="s">
        <v>812</v>
      </c>
      <c r="D120" s="290" t="s">
        <v>1210</v>
      </c>
      <c r="E120" s="290" t="s">
        <v>86</v>
      </c>
      <c r="F120" s="1237">
        <v>6</v>
      </c>
      <c r="G120" s="1237">
        <v>4</v>
      </c>
      <c r="H120" s="1237">
        <v>8</v>
      </c>
      <c r="I120" s="1237">
        <v>6</v>
      </c>
      <c r="J120" s="1237">
        <v>6</v>
      </c>
      <c r="K120" s="1237">
        <v>8</v>
      </c>
      <c r="L120" s="1237">
        <v>12</v>
      </c>
      <c r="M120" s="1237">
        <v>4</v>
      </c>
      <c r="N120" s="889"/>
      <c r="O120" s="890"/>
      <c r="P120" s="1242" t="s">
        <v>1259</v>
      </c>
      <c r="Q120" s="1243">
        <v>46.33</v>
      </c>
      <c r="R120" s="284"/>
    </row>
    <row r="121" spans="2:18" ht="41.1" customHeight="1" x14ac:dyDescent="0.25">
      <c r="B121" s="285"/>
      <c r="C121" s="622" t="s">
        <v>84</v>
      </c>
      <c r="D121" s="290" t="s">
        <v>1199</v>
      </c>
      <c r="E121" s="290" t="s">
        <v>86</v>
      </c>
      <c r="F121" s="1237">
        <v>6</v>
      </c>
      <c r="G121" s="1237">
        <v>4</v>
      </c>
      <c r="H121" s="1237">
        <v>8</v>
      </c>
      <c r="I121" s="1237">
        <v>6</v>
      </c>
      <c r="J121" s="1237">
        <v>6</v>
      </c>
      <c r="K121" s="1237">
        <v>8</v>
      </c>
      <c r="L121" s="1237">
        <v>12</v>
      </c>
      <c r="M121" s="1237">
        <v>16</v>
      </c>
      <c r="N121" s="889"/>
      <c r="O121" s="890"/>
      <c r="P121" s="1170"/>
      <c r="Q121" s="1171"/>
      <c r="R121" s="284"/>
    </row>
    <row r="122" spans="2:18" ht="41.1" customHeight="1" x14ac:dyDescent="0.25">
      <c r="B122" s="285"/>
      <c r="C122" s="622" t="s">
        <v>84</v>
      </c>
      <c r="D122" s="290" t="s">
        <v>1199</v>
      </c>
      <c r="E122" s="290" t="s">
        <v>1270</v>
      </c>
      <c r="F122" s="1237">
        <v>30</v>
      </c>
      <c r="G122" s="1237">
        <v>30</v>
      </c>
      <c r="H122" s="1237">
        <v>30</v>
      </c>
      <c r="I122" s="1237">
        <v>30</v>
      </c>
      <c r="J122" s="1237">
        <v>30</v>
      </c>
      <c r="K122" s="1237">
        <v>30</v>
      </c>
      <c r="L122" s="1237">
        <v>30</v>
      </c>
      <c r="M122" s="1237">
        <v>30</v>
      </c>
      <c r="N122" s="889"/>
      <c r="O122" s="890"/>
      <c r="P122" s="1244" t="s">
        <v>87</v>
      </c>
      <c r="Q122" s="1245">
        <f>VLOOKUP('Inputs and eligible population'!P122,payscales!$Q$5:$V$38,6,0)</f>
        <v>106.45</v>
      </c>
      <c r="R122" s="284"/>
    </row>
    <row r="123" spans="2:18" ht="55.35" customHeight="1" x14ac:dyDescent="0.25">
      <c r="B123" s="285"/>
      <c r="C123" s="623" t="s">
        <v>89</v>
      </c>
      <c r="D123" s="1025" t="s">
        <v>1205</v>
      </c>
      <c r="E123" s="290" t="s">
        <v>1260</v>
      </c>
      <c r="F123" s="1237">
        <f>2*F110</f>
        <v>12</v>
      </c>
      <c r="G123" s="1237">
        <f t="shared" ref="G123:M123" si="20">2*G110</f>
        <v>8</v>
      </c>
      <c r="H123" s="1237">
        <f t="shared" si="20"/>
        <v>16</v>
      </c>
      <c r="I123" s="1237">
        <f t="shared" si="20"/>
        <v>12</v>
      </c>
      <c r="J123" s="1237">
        <f t="shared" si="20"/>
        <v>12</v>
      </c>
      <c r="K123" s="1237">
        <f t="shared" si="20"/>
        <v>16</v>
      </c>
      <c r="L123" s="1237">
        <f t="shared" si="20"/>
        <v>24</v>
      </c>
      <c r="M123" s="1237">
        <f t="shared" si="20"/>
        <v>8</v>
      </c>
      <c r="N123" s="889"/>
      <c r="O123" s="890"/>
      <c r="P123" s="1242" t="s">
        <v>1259</v>
      </c>
      <c r="Q123" s="1246">
        <f>'Unit costs'!D141</f>
        <v>1.55</v>
      </c>
      <c r="R123" s="284"/>
    </row>
    <row r="124" spans="2:18" ht="56.1" customHeight="1" x14ac:dyDescent="0.25">
      <c r="B124" s="285"/>
      <c r="C124" s="623" t="s">
        <v>89</v>
      </c>
      <c r="D124" s="965" t="s">
        <v>1200</v>
      </c>
      <c r="E124" s="290" t="s">
        <v>1292</v>
      </c>
      <c r="F124" s="1237">
        <f>1*F110</f>
        <v>6</v>
      </c>
      <c r="G124" s="1237">
        <f t="shared" ref="G124:M124" si="21">1*G110</f>
        <v>4</v>
      </c>
      <c r="H124" s="1237">
        <f t="shared" si="21"/>
        <v>8</v>
      </c>
      <c r="I124" s="1237">
        <f t="shared" si="21"/>
        <v>6</v>
      </c>
      <c r="J124" s="1237">
        <f t="shared" si="21"/>
        <v>6</v>
      </c>
      <c r="K124" s="1237">
        <f t="shared" si="21"/>
        <v>8</v>
      </c>
      <c r="L124" s="1237">
        <f t="shared" si="21"/>
        <v>12</v>
      </c>
      <c r="M124" s="1237">
        <f t="shared" si="21"/>
        <v>4</v>
      </c>
      <c r="N124" s="889"/>
      <c r="O124" s="890"/>
      <c r="P124" s="1242" t="s">
        <v>1259</v>
      </c>
      <c r="Q124" s="1246">
        <f>'Unit costs'!D140</f>
        <v>2.96</v>
      </c>
      <c r="R124" s="284"/>
    </row>
    <row r="125" spans="2:18" ht="61.35" customHeight="1" thickBot="1" x14ac:dyDescent="0.3">
      <c r="B125" s="285"/>
      <c r="C125" s="623" t="s">
        <v>89</v>
      </c>
      <c r="D125" s="966" t="s">
        <v>1207</v>
      </c>
      <c r="E125" s="290" t="s">
        <v>1260</v>
      </c>
      <c r="F125" s="1237">
        <f>0.25*F110</f>
        <v>1.5</v>
      </c>
      <c r="G125" s="1237">
        <f t="shared" ref="G125:M125" si="22">0.25*G110</f>
        <v>1</v>
      </c>
      <c r="H125" s="1237">
        <f t="shared" si="22"/>
        <v>2</v>
      </c>
      <c r="I125" s="1237">
        <f t="shared" si="22"/>
        <v>1.5</v>
      </c>
      <c r="J125" s="1237">
        <f t="shared" si="22"/>
        <v>1.5</v>
      </c>
      <c r="K125" s="1237">
        <f t="shared" si="22"/>
        <v>2</v>
      </c>
      <c r="L125" s="1237">
        <f t="shared" si="22"/>
        <v>3</v>
      </c>
      <c r="M125" s="1237">
        <f t="shared" si="22"/>
        <v>1</v>
      </c>
      <c r="N125" s="889"/>
      <c r="O125" s="890"/>
      <c r="P125" s="1242" t="s">
        <v>1259</v>
      </c>
      <c r="Q125" s="1247">
        <f>'Unit costs'!D142</f>
        <v>134</v>
      </c>
      <c r="R125" s="284"/>
    </row>
    <row r="126" spans="2:18" x14ac:dyDescent="0.25">
      <c r="B126" s="285"/>
      <c r="C126" s="880"/>
      <c r="D126" s="881"/>
      <c r="E126" s="881"/>
      <c r="F126" s="881"/>
      <c r="O126" s="890"/>
      <c r="P126" s="890"/>
      <c r="Q126" s="890"/>
      <c r="R126" s="284"/>
    </row>
    <row r="127" spans="2:18" x14ac:dyDescent="0.25">
      <c r="B127" s="285"/>
      <c r="C127" s="820" t="s">
        <v>92</v>
      </c>
      <c r="D127" s="278"/>
      <c r="O127" s="890"/>
      <c r="P127" s="890"/>
      <c r="Q127" s="890"/>
      <c r="R127" s="284"/>
    </row>
    <row r="128" spans="2:18" x14ac:dyDescent="0.25">
      <c r="B128" s="285"/>
      <c r="C128" t="s">
        <v>1283</v>
      </c>
      <c r="D128" s="278"/>
      <c r="O128" s="890"/>
      <c r="P128" s="890"/>
      <c r="Q128" s="890"/>
      <c r="R128" s="284"/>
    </row>
    <row r="129" spans="2:18" x14ac:dyDescent="0.25">
      <c r="B129" s="286"/>
      <c r="C129" s="287"/>
      <c r="D129" s="289"/>
      <c r="E129" s="289"/>
      <c r="F129" s="289"/>
      <c r="G129" s="289"/>
      <c r="H129" s="287"/>
      <c r="I129" s="287"/>
      <c r="J129" s="287"/>
      <c r="K129" s="287"/>
      <c r="L129" s="287"/>
      <c r="M129" s="287"/>
      <c r="N129" s="287"/>
      <c r="O129" s="1098"/>
      <c r="P129" s="1098"/>
      <c r="Q129" s="1098"/>
      <c r="R129" s="288"/>
    </row>
    <row r="130" spans="2:18" x14ac:dyDescent="0.25">
      <c r="D130" s="278"/>
      <c r="E130" s="278"/>
      <c r="F130" s="278"/>
      <c r="G130" s="278"/>
      <c r="O130" s="890"/>
      <c r="P130" s="890"/>
      <c r="Q130" s="890"/>
    </row>
    <row r="131" spans="2:18" x14ac:dyDescent="0.25">
      <c r="B131" s="585" t="s">
        <v>93</v>
      </c>
      <c r="C131" s="583"/>
      <c r="D131" s="583"/>
      <c r="E131" s="583"/>
      <c r="F131" s="583"/>
      <c r="G131" s="583"/>
      <c r="H131" s="583"/>
      <c r="I131" s="583"/>
      <c r="J131" s="583"/>
      <c r="K131" s="583"/>
      <c r="L131" s="583"/>
      <c r="M131" s="584"/>
      <c r="O131" s="890"/>
      <c r="P131" s="890"/>
      <c r="Q131" s="890"/>
    </row>
    <row r="132" spans="2:18" x14ac:dyDescent="0.25">
      <c r="B132" s="348"/>
      <c r="C132" s="342"/>
      <c r="D132" s="342"/>
      <c r="E132" s="342"/>
      <c r="F132" s="342"/>
      <c r="G132" s="342"/>
      <c r="H132" s="342"/>
      <c r="I132" s="342"/>
      <c r="J132" s="342"/>
      <c r="K132" s="342"/>
      <c r="L132" s="342"/>
      <c r="M132" s="350"/>
    </row>
    <row r="133" spans="2:18" x14ac:dyDescent="0.25">
      <c r="B133" s="348"/>
      <c r="C133" s="349" t="s">
        <v>94</v>
      </c>
      <c r="D133" s="342"/>
      <c r="E133" s="342"/>
      <c r="F133" s="342"/>
      <c r="G133" s="342"/>
      <c r="H133" s="342"/>
      <c r="I133" s="342"/>
      <c r="J133" s="342"/>
      <c r="K133" s="342"/>
      <c r="L133" s="342"/>
      <c r="M133" s="350"/>
    </row>
    <row r="134" spans="2:18" x14ac:dyDescent="0.25">
      <c r="B134" s="348"/>
      <c r="C134" s="351" t="s">
        <v>95</v>
      </c>
      <c r="D134" s="342"/>
      <c r="E134" s="342"/>
      <c r="F134" s="342"/>
      <c r="G134" s="342"/>
      <c r="H134" s="342"/>
      <c r="I134" s="342"/>
      <c r="J134" s="342"/>
      <c r="K134" s="342"/>
      <c r="L134" s="342"/>
      <c r="M134" s="350"/>
    </row>
    <row r="135" spans="2:18" x14ac:dyDescent="0.25">
      <c r="B135" s="348"/>
      <c r="C135" s="352" t="s">
        <v>96</v>
      </c>
      <c r="D135" s="342"/>
      <c r="E135" s="342"/>
      <c r="F135" s="342"/>
      <c r="G135" s="342"/>
      <c r="H135" s="342"/>
      <c r="I135" s="342"/>
      <c r="J135" s="342"/>
      <c r="K135" s="342"/>
      <c r="L135" s="342"/>
      <c r="M135" s="350"/>
    </row>
    <row r="136" spans="2:18" x14ac:dyDescent="0.25">
      <c r="B136" s="348"/>
      <c r="C136" s="349" t="s">
        <v>97</v>
      </c>
      <c r="D136" s="342"/>
      <c r="E136" s="342"/>
      <c r="F136" s="342"/>
      <c r="G136" s="342"/>
      <c r="H136" s="342"/>
      <c r="I136" s="342"/>
      <c r="J136" s="342"/>
      <c r="K136" s="342"/>
      <c r="L136" s="342"/>
      <c r="M136" s="350"/>
      <c r="N136" s="692"/>
    </row>
    <row r="137" spans="2:18" x14ac:dyDescent="0.25">
      <c r="B137" s="348"/>
      <c r="C137" s="352"/>
      <c r="D137" s="342"/>
      <c r="E137" s="342"/>
      <c r="F137" s="342"/>
      <c r="G137" s="342"/>
      <c r="H137" s="342"/>
      <c r="I137" s="342"/>
      <c r="J137" s="342"/>
      <c r="K137" s="342"/>
      <c r="L137" s="342"/>
      <c r="M137" s="350"/>
    </row>
    <row r="138" spans="2:18" x14ac:dyDescent="0.25">
      <c r="B138" s="348"/>
      <c r="C138" s="353" t="s">
        <v>98</v>
      </c>
      <c r="D138" s="342"/>
      <c r="E138" s="342"/>
      <c r="F138" s="342"/>
      <c r="G138" s="342"/>
      <c r="H138" s="342"/>
      <c r="I138" s="342"/>
      <c r="J138" s="342"/>
      <c r="K138" s="342"/>
      <c r="L138" s="342"/>
      <c r="M138" s="350"/>
    </row>
    <row r="139" spans="2:18" x14ac:dyDescent="0.25">
      <c r="B139" s="348"/>
      <c r="C139" s="352" t="s">
        <v>99</v>
      </c>
      <c r="D139" s="342"/>
      <c r="E139" s="342"/>
      <c r="F139" s="342"/>
      <c r="G139" s="342"/>
      <c r="H139" s="342"/>
      <c r="I139" s="342"/>
      <c r="J139" s="342"/>
      <c r="K139" s="342"/>
      <c r="L139" s="342"/>
      <c r="M139" s="350"/>
    </row>
    <row r="140" spans="2:18" x14ac:dyDescent="0.25">
      <c r="B140" s="348"/>
      <c r="C140" s="354"/>
      <c r="D140" s="342"/>
      <c r="E140" s="342"/>
      <c r="F140" s="342"/>
      <c r="G140" s="342"/>
      <c r="H140" s="342"/>
      <c r="I140" s="342"/>
      <c r="J140" s="342"/>
      <c r="K140" s="342"/>
      <c r="L140" s="342"/>
      <c r="M140" s="350"/>
    </row>
    <row r="141" spans="2:18" x14ac:dyDescent="0.25">
      <c r="B141" s="348"/>
      <c r="C141" s="355" t="s">
        <v>100</v>
      </c>
      <c r="D141" s="342"/>
      <c r="E141" s="342"/>
      <c r="F141" s="342"/>
      <c r="G141" s="342"/>
      <c r="H141" s="342"/>
      <c r="I141" s="342"/>
      <c r="J141" s="342"/>
      <c r="K141" s="342"/>
      <c r="L141" s="342"/>
      <c r="M141" s="350"/>
    </row>
    <row r="142" spans="2:18" x14ac:dyDescent="0.25">
      <c r="B142" s="348"/>
      <c r="C142" s="356" t="s">
        <v>101</v>
      </c>
      <c r="D142" s="342"/>
      <c r="E142" s="342"/>
      <c r="F142" s="342"/>
      <c r="G142" s="342"/>
      <c r="H142" s="342"/>
      <c r="I142" s="342"/>
      <c r="J142" s="342"/>
      <c r="K142" s="342"/>
      <c r="L142" s="342"/>
      <c r="M142" s="350"/>
    </row>
    <row r="143" spans="2:18" x14ac:dyDescent="0.25">
      <c r="B143" s="348"/>
      <c r="C143" s="357"/>
      <c r="D143" s="342"/>
      <c r="E143" s="342"/>
      <c r="F143" s="342"/>
      <c r="G143" s="342"/>
      <c r="H143" s="342"/>
      <c r="I143" s="342"/>
      <c r="J143" s="342"/>
      <c r="K143" s="342"/>
      <c r="L143" s="342"/>
      <c r="M143" s="350"/>
    </row>
    <row r="144" spans="2:18" x14ac:dyDescent="0.25">
      <c r="B144" s="348"/>
      <c r="C144" s="358" t="s">
        <v>102</v>
      </c>
      <c r="D144" s="342"/>
      <c r="E144" s="342"/>
      <c r="F144" s="342"/>
      <c r="G144" s="342"/>
      <c r="H144" s="342"/>
      <c r="I144" s="342"/>
      <c r="J144" s="342"/>
      <c r="K144" s="342"/>
      <c r="L144" s="342"/>
      <c r="M144" s="350"/>
    </row>
    <row r="145" spans="2:13" x14ac:dyDescent="0.25">
      <c r="B145" s="348"/>
      <c r="C145" s="352" t="s">
        <v>103</v>
      </c>
      <c r="D145" s="342"/>
      <c r="E145" s="342"/>
      <c r="F145" s="342"/>
      <c r="G145" s="342"/>
      <c r="H145" s="342"/>
      <c r="I145" s="342"/>
      <c r="J145" s="342"/>
      <c r="K145" s="342"/>
      <c r="L145" s="342"/>
      <c r="M145" s="350"/>
    </row>
    <row r="146" spans="2:13" x14ac:dyDescent="0.25">
      <c r="B146" s="346"/>
      <c r="C146" s="359"/>
      <c r="D146" s="345"/>
      <c r="E146" s="345"/>
      <c r="F146" s="345"/>
      <c r="G146" s="345"/>
      <c r="H146" s="345"/>
      <c r="I146" s="345"/>
      <c r="J146" s="345"/>
      <c r="K146" s="345"/>
      <c r="L146" s="345"/>
      <c r="M146" s="347"/>
    </row>
  </sheetData>
  <sheetProtection algorithmName="SHA-512" hashValue="WAmiSWNWov9U+fwnUJ61x1eOG6AqtN78KtVFYC3zQvkuJ/3BRzfLZuSB9YeFJRUtiALpR4GS/pvQJUs896vfbA==" saltValue="ix1T9+i75ni2rl6Z8RJSRg==" spinCount="100000" sheet="1" objects="1" scenarios="1"/>
  <protectedRanges>
    <protectedRange sqref="E11:E12 E14 E16 E18:E19 E26:G30 G108:H108 F37 G33:G38 E33:F36 E38:F38 F39:F41 F31:G32 G126:H126 D64:J70 D72:J80 J81 D82:J87 J92 J94:J98 D93:J93 D94:I100 F111:H111 F120:H122 F112:M113 F116:M119 F114:H115 F123:M125" name="Range1"/>
  </protectedRanges>
  <mergeCells count="2">
    <mergeCell ref="H27:R27"/>
    <mergeCell ref="H28:R28"/>
  </mergeCells>
  <phoneticPr fontId="49"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35" r:id="rId1" xr:uid="{3E56B085-8BEA-41F7-A453-E331716102DF}"/>
    <hyperlink ref="C139" r:id="rId2" xr:uid="{72D7579A-277C-4987-88D3-C190B9D884D9}"/>
    <hyperlink ref="C145" r:id="rId3" xr:uid="{127FDF93-1746-4D95-887A-A14BC7354BFF}"/>
    <hyperlink ref="C142" r:id="rId4" xr:uid="{5EB5954B-28AC-479B-A51D-BF310381DC53}"/>
    <hyperlink ref="H26" r:id="rId5" display="cancer registration statistics for England 2021-summary counts as @ 29/11/2023" xr:uid="{62C67C70-7C8B-4270-9E46-A2EE7E4CA47D}"/>
    <hyperlink ref="H29" r:id="rId6" xr:uid="{5B06429F-2366-4311-8406-75FB3649E60D}"/>
  </hyperlinks>
  <pageMargins left="0.7" right="0.7" top="0.75" bottom="0.75" header="0.3" footer="0.3"/>
  <pageSetup paperSize="9" scale="49" orientation="portrait" verticalDpi="0" r:id="rId7"/>
  <rowBreaks count="1" manualBreakCount="1">
    <brk id="87" max="12" man="1"/>
  </rowBreaks>
  <ignoredErrors>
    <ignoredError sqref="F111:M111 F26:G32 F123:M123 F125:M125 F124:M124" unlockedFormula="1"/>
  </ignoredErrors>
  <drawing r:id="rId8"/>
  <legacyDrawing r:id="rId9"/>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F37</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CAE0AEC6-A13D-4953-B1E5-4B14F2813001}">
          <x14:formula1>
            <xm:f>payscales!$Q$5:$Q$38</xm:f>
          </x14:formula1>
          <xm:sqref>P111:P113 P122 P118:P119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AK186"/>
  <sheetViews>
    <sheetView showGridLines="0" zoomScale="80" zoomScaleNormal="80" workbookViewId="0"/>
  </sheetViews>
  <sheetFormatPr defaultColWidth="9.140625" defaultRowHeight="12.75" x14ac:dyDescent="0.2"/>
  <cols>
    <col min="1" max="1" width="3.5703125" style="895" customWidth="1"/>
    <col min="2" max="2" width="60.85546875" style="895" customWidth="1"/>
    <col min="3" max="3" width="14.42578125" style="895" customWidth="1"/>
    <col min="4" max="4" width="14.28515625" style="895" customWidth="1"/>
    <col min="5" max="5" width="17.140625" style="895" customWidth="1"/>
    <col min="6" max="6" width="20.7109375" style="895" customWidth="1"/>
    <col min="7" max="7" width="10.42578125" style="895" bestFit="1" customWidth="1"/>
    <col min="8" max="8" width="16.42578125" style="895" customWidth="1"/>
    <col min="9" max="9" width="10.85546875" style="895" customWidth="1"/>
    <col min="10" max="10" width="12.42578125" style="895" customWidth="1"/>
    <col min="11" max="11" width="19.5703125" style="895" customWidth="1"/>
    <col min="12" max="12" width="10.7109375" style="895" customWidth="1"/>
    <col min="13" max="13" width="12.7109375" style="895" customWidth="1"/>
    <col min="14" max="14" width="12.42578125" style="895" customWidth="1"/>
    <col min="15" max="15" width="9.140625" style="895" customWidth="1"/>
    <col min="16" max="16" width="12.140625" style="895" customWidth="1"/>
    <col min="17" max="17" width="29.7109375" style="895" customWidth="1"/>
    <col min="18" max="18" width="14" style="895" customWidth="1"/>
    <col min="19" max="19" width="2.7109375" style="895" customWidth="1"/>
    <col min="20" max="20" width="9.42578125" style="895" customWidth="1"/>
    <col min="21" max="16384" width="9.140625" style="895"/>
  </cols>
  <sheetData>
    <row r="1" spans="1:37" ht="118.5" customHeight="1" x14ac:dyDescent="0.3">
      <c r="A1" s="892"/>
      <c r="B1" s="360" t="s">
        <v>1102</v>
      </c>
      <c r="C1" s="893" t="s">
        <v>104</v>
      </c>
      <c r="D1" s="258" t="s">
        <v>104</v>
      </c>
      <c r="E1" s="258" t="s">
        <v>104</v>
      </c>
      <c r="F1" s="258" t="s">
        <v>104</v>
      </c>
      <c r="G1" s="258" t="s">
        <v>104</v>
      </c>
      <c r="H1" s="258" t="s">
        <v>104</v>
      </c>
      <c r="I1" s="258" t="s">
        <v>104</v>
      </c>
      <c r="J1" s="258" t="s">
        <v>104</v>
      </c>
      <c r="K1" s="258" t="s">
        <v>104</v>
      </c>
      <c r="L1" s="258" t="s">
        <v>104</v>
      </c>
      <c r="M1" s="258" t="s">
        <v>104</v>
      </c>
      <c r="N1" s="894"/>
      <c r="O1" s="894"/>
      <c r="P1" s="894"/>
      <c r="Q1" s="894"/>
      <c r="R1" s="894"/>
      <c r="S1" s="894"/>
      <c r="T1" s="894"/>
    </row>
    <row r="2" spans="1:37" ht="26.25" customHeight="1" x14ac:dyDescent="0.3">
      <c r="A2" s="894"/>
      <c r="B2" s="862" t="s">
        <v>1178</v>
      </c>
      <c r="C2" s="896"/>
      <c r="D2" s="258" t="s">
        <v>104</v>
      </c>
      <c r="E2" s="258" t="s">
        <v>104</v>
      </c>
      <c r="F2" s="258" t="s">
        <v>104</v>
      </c>
      <c r="G2" s="258" t="s">
        <v>104</v>
      </c>
      <c r="H2" s="258" t="s">
        <v>104</v>
      </c>
      <c r="I2" s="258" t="s">
        <v>104</v>
      </c>
      <c r="J2" s="258" t="s">
        <v>104</v>
      </c>
      <c r="K2" s="259" t="s">
        <v>104</v>
      </c>
      <c r="L2" s="259"/>
      <c r="M2" s="259"/>
      <c r="N2" s="258" t="s">
        <v>104</v>
      </c>
      <c r="O2" s="894"/>
      <c r="P2" s="856"/>
      <c r="Q2" s="874"/>
      <c r="R2" s="874"/>
      <c r="S2" s="874"/>
      <c r="T2" s="874"/>
      <c r="U2" s="863"/>
      <c r="V2" s="863"/>
      <c r="W2" s="863"/>
      <c r="X2" s="863"/>
      <c r="Y2" s="863"/>
      <c r="Z2" s="863"/>
      <c r="AA2" s="863"/>
      <c r="AB2" s="863"/>
      <c r="AC2" s="863"/>
      <c r="AD2" s="863"/>
      <c r="AE2" s="863"/>
      <c r="AF2" s="863"/>
      <c r="AG2" s="863"/>
      <c r="AH2" s="863"/>
      <c r="AI2" s="863"/>
      <c r="AJ2" s="863"/>
      <c r="AK2" s="863"/>
    </row>
    <row r="3" spans="1:37" s="3" customFormat="1" ht="14.25" x14ac:dyDescent="0.2">
      <c r="A3" s="257" t="s">
        <v>104</v>
      </c>
      <c r="B3" s="850" t="s">
        <v>104</v>
      </c>
      <c r="C3" s="850" t="s">
        <v>104</v>
      </c>
      <c r="D3" s="850" t="s">
        <v>104</v>
      </c>
      <c r="E3" s="258" t="s">
        <v>104</v>
      </c>
      <c r="F3" s="258" t="s">
        <v>104</v>
      </c>
      <c r="G3" s="258" t="s">
        <v>104</v>
      </c>
      <c r="H3" s="258" t="s">
        <v>104</v>
      </c>
      <c r="I3" s="258" t="s">
        <v>104</v>
      </c>
      <c r="J3" s="259" t="s">
        <v>104</v>
      </c>
      <c r="K3" s="259"/>
      <c r="L3" s="259"/>
      <c r="M3" s="259" t="s">
        <v>104</v>
      </c>
      <c r="N3" s="666"/>
      <c r="O3" s="666"/>
      <c r="P3" s="666"/>
      <c r="Q3" s="666"/>
      <c r="R3" s="666"/>
      <c r="S3" s="666"/>
      <c r="T3" s="666"/>
    </row>
    <row r="4" spans="1:37" s="3" customFormat="1" ht="14.25" x14ac:dyDescent="0.2">
      <c r="A4" s="666"/>
      <c r="B4" s="265" t="s">
        <v>1179</v>
      </c>
      <c r="C4" s="850"/>
      <c r="D4" s="850"/>
      <c r="E4" s="850"/>
      <c r="F4" s="258"/>
      <c r="G4" s="258"/>
      <c r="H4" s="258"/>
      <c r="I4" s="258"/>
      <c r="J4" s="258"/>
      <c r="K4" s="259"/>
      <c r="L4" s="259"/>
      <c r="M4" s="259"/>
      <c r="N4" s="258"/>
      <c r="O4" s="666"/>
      <c r="P4" s="666"/>
      <c r="Q4" s="666"/>
      <c r="R4" s="666"/>
      <c r="S4" s="666"/>
      <c r="T4" s="666"/>
    </row>
    <row r="5" spans="1:37" s="3" customFormat="1" ht="15" thickBot="1" x14ac:dyDescent="0.25">
      <c r="A5" s="897"/>
      <c r="B5" s="850"/>
      <c r="C5" s="850"/>
      <c r="D5" s="850"/>
      <c r="E5" s="1206"/>
      <c r="F5" s="258"/>
      <c r="G5" s="258"/>
      <c r="H5" s="258"/>
      <c r="I5" s="258"/>
      <c r="J5" s="259"/>
      <c r="K5" s="259"/>
      <c r="L5" s="259"/>
      <c r="M5" s="259"/>
      <c r="N5" s="666"/>
      <c r="O5" s="666"/>
      <c r="P5" s="666"/>
      <c r="Q5" s="666"/>
      <c r="R5" s="666"/>
      <c r="S5" s="666"/>
      <c r="T5" s="666"/>
    </row>
    <row r="6" spans="1:37" s="868" customFormat="1" ht="15" x14ac:dyDescent="0.25">
      <c r="A6" s="873"/>
      <c r="B6" s="1203" t="s">
        <v>1180</v>
      </c>
      <c r="C6" s="1207" t="s">
        <v>1181</v>
      </c>
      <c r="D6" s="1207" t="s">
        <v>1163</v>
      </c>
      <c r="E6" s="1208" t="s">
        <v>1182</v>
      </c>
      <c r="F6" s="864" t="s">
        <v>104</v>
      </c>
      <c r="G6" s="864" t="s">
        <v>104</v>
      </c>
      <c r="H6" s="865"/>
      <c r="I6" s="866"/>
      <c r="J6" s="867"/>
      <c r="K6" s="867"/>
      <c r="L6" s="838"/>
      <c r="M6" s="839"/>
      <c r="N6" s="875" t="s">
        <v>104</v>
      </c>
      <c r="O6" s="873"/>
      <c r="P6" s="873"/>
      <c r="Q6" s="873"/>
      <c r="R6" s="873"/>
      <c r="S6" s="873"/>
      <c r="T6" s="873"/>
    </row>
    <row r="7" spans="1:37" s="868" customFormat="1" ht="15" x14ac:dyDescent="0.25">
      <c r="A7" s="873"/>
      <c r="B7" s="1204" t="s">
        <v>1183</v>
      </c>
      <c r="C7" s="1258">
        <v>0</v>
      </c>
      <c r="D7" s="1259">
        <v>0</v>
      </c>
      <c r="E7" s="869">
        <f>C7+(C7*D7)</f>
        <v>0</v>
      </c>
      <c r="F7" s="865"/>
      <c r="G7" s="865"/>
      <c r="H7" s="865"/>
      <c r="I7" s="866"/>
      <c r="J7" s="839"/>
      <c r="K7" s="839"/>
      <c r="L7" s="839"/>
      <c r="M7" s="839"/>
      <c r="N7" s="875"/>
      <c r="O7" s="873"/>
      <c r="P7" s="873"/>
      <c r="Q7" s="873"/>
      <c r="R7" s="873"/>
      <c r="S7" s="873"/>
      <c r="T7" s="873"/>
    </row>
    <row r="8" spans="1:37" s="868" customFormat="1" ht="15" x14ac:dyDescent="0.25">
      <c r="A8" s="873"/>
      <c r="B8" s="898" t="s">
        <v>1184</v>
      </c>
      <c r="C8" s="1258">
        <v>0</v>
      </c>
      <c r="D8" s="1259">
        <v>0</v>
      </c>
      <c r="E8" s="869">
        <f t="shared" ref="E8:E9" si="0">C8+(C8*D8)</f>
        <v>0</v>
      </c>
      <c r="F8" s="870"/>
      <c r="G8" s="870"/>
      <c r="H8" s="870"/>
      <c r="I8" s="870"/>
      <c r="J8" s="870"/>
      <c r="K8" s="870"/>
      <c r="L8" s="870"/>
      <c r="M8" s="870"/>
      <c r="N8" s="875"/>
      <c r="O8" s="873"/>
      <c r="P8" s="873"/>
      <c r="Q8" s="873"/>
      <c r="R8" s="873"/>
      <c r="S8" s="873"/>
      <c r="T8" s="873"/>
    </row>
    <row r="9" spans="1:37" s="868" customFormat="1" ht="15.75" thickBot="1" x14ac:dyDescent="0.3">
      <c r="A9" s="873"/>
      <c r="B9" s="1205" t="s">
        <v>1273</v>
      </c>
      <c r="C9" s="1260">
        <v>0</v>
      </c>
      <c r="D9" s="1261">
        <v>0</v>
      </c>
      <c r="E9" s="871">
        <f t="shared" si="0"/>
        <v>0</v>
      </c>
      <c r="F9" s="870"/>
      <c r="G9" s="870"/>
      <c r="H9" s="870"/>
      <c r="I9" s="870"/>
      <c r="J9" s="870"/>
      <c r="K9" s="870"/>
      <c r="L9" s="870"/>
      <c r="M9" s="870"/>
      <c r="N9" s="875"/>
      <c r="O9" s="873"/>
      <c r="P9" s="899"/>
      <c r="Q9" s="873"/>
      <c r="R9" s="873"/>
      <c r="S9" s="873"/>
      <c r="T9" s="873"/>
    </row>
    <row r="10" spans="1:37" s="3" customFormat="1" ht="14.25" x14ac:dyDescent="0.2">
      <c r="A10" s="257" t="s">
        <v>104</v>
      </c>
      <c r="B10" s="850" t="s">
        <v>104</v>
      </c>
      <c r="C10" s="850" t="s">
        <v>104</v>
      </c>
      <c r="D10" s="850" t="s">
        <v>104</v>
      </c>
      <c r="E10" s="258" t="s">
        <v>104</v>
      </c>
      <c r="F10" s="258" t="s">
        <v>104</v>
      </c>
      <c r="G10" s="258" t="s">
        <v>104</v>
      </c>
      <c r="H10" s="258" t="s">
        <v>104</v>
      </c>
      <c r="I10" s="258" t="s">
        <v>104</v>
      </c>
      <c r="J10" s="259" t="s">
        <v>104</v>
      </c>
      <c r="K10" s="259"/>
      <c r="L10" s="259"/>
      <c r="M10" s="259" t="s">
        <v>104</v>
      </c>
      <c r="N10" s="666"/>
      <c r="O10" s="666"/>
      <c r="P10" s="666"/>
      <c r="Q10" s="666"/>
      <c r="R10" s="666"/>
      <c r="S10" s="666"/>
      <c r="T10" s="666"/>
    </row>
    <row r="11" spans="1:37" ht="14.45" customHeight="1" x14ac:dyDescent="0.3">
      <c r="A11" s="892"/>
      <c r="B11" s="132"/>
      <c r="C11" s="893"/>
      <c r="D11" s="258"/>
      <c r="E11" s="258"/>
      <c r="F11" s="258"/>
      <c r="G11" s="258" t="s">
        <v>104</v>
      </c>
      <c r="H11" s="258" t="s">
        <v>104</v>
      </c>
      <c r="I11" s="258" t="s">
        <v>104</v>
      </c>
      <c r="J11" s="258" t="s">
        <v>104</v>
      </c>
      <c r="K11" s="259" t="s">
        <v>104</v>
      </c>
      <c r="L11" s="259"/>
      <c r="M11" s="259"/>
      <c r="N11" s="258"/>
      <c r="O11" s="894"/>
      <c r="P11" s="894"/>
      <c r="Q11" s="894"/>
      <c r="R11" s="894"/>
      <c r="S11" s="894"/>
      <c r="T11" s="894"/>
    </row>
    <row r="12" spans="1:37" ht="14.45" customHeight="1" x14ac:dyDescent="0.3">
      <c r="A12" s="892"/>
      <c r="B12" s="1" t="s">
        <v>106</v>
      </c>
      <c r="C12" s="893"/>
      <c r="D12" s="258"/>
      <c r="E12" s="258"/>
      <c r="F12" s="258"/>
      <c r="G12" s="258" t="s">
        <v>104</v>
      </c>
      <c r="H12" s="258" t="s">
        <v>104</v>
      </c>
      <c r="I12" s="258" t="s">
        <v>104</v>
      </c>
      <c r="J12" s="258" t="s">
        <v>104</v>
      </c>
      <c r="K12" s="259" t="s">
        <v>104</v>
      </c>
      <c r="L12" s="258"/>
      <c r="M12" s="259"/>
      <c r="N12" s="258"/>
      <c r="O12" s="258"/>
      <c r="P12" s="258"/>
      <c r="Q12" s="258"/>
      <c r="R12" s="258"/>
      <c r="S12" s="258"/>
      <c r="T12" s="894"/>
    </row>
    <row r="13" spans="1:37" ht="14.45" customHeight="1" x14ac:dyDescent="0.3">
      <c r="A13" s="894"/>
      <c r="B13" s="1" t="s">
        <v>39</v>
      </c>
      <c r="C13" s="893"/>
      <c r="D13" s="258"/>
      <c r="E13" s="258"/>
      <c r="F13" s="258"/>
      <c r="G13" s="258"/>
      <c r="H13" s="258" t="s">
        <v>104</v>
      </c>
      <c r="I13" s="258" t="s">
        <v>104</v>
      </c>
      <c r="J13" s="258" t="s">
        <v>104</v>
      </c>
      <c r="K13" s="259" t="s">
        <v>104</v>
      </c>
      <c r="L13" s="258"/>
      <c r="M13" s="259"/>
      <c r="N13" s="258"/>
      <c r="O13" s="258"/>
      <c r="P13" s="258"/>
      <c r="Q13" s="258"/>
      <c r="R13" s="258"/>
      <c r="S13" s="258"/>
      <c r="T13" s="894"/>
    </row>
    <row r="14" spans="1:37" s="3" customFormat="1" ht="15" x14ac:dyDescent="0.2">
      <c r="A14" s="666"/>
      <c r="B14" s="900" t="s">
        <v>1203</v>
      </c>
      <c r="C14" s="892"/>
      <c r="D14" s="892"/>
      <c r="E14" s="892"/>
      <c r="F14" s="901"/>
      <c r="G14" s="892"/>
      <c r="H14" s="902"/>
      <c r="I14" s="901"/>
      <c r="J14" s="903"/>
      <c r="K14" s="904"/>
      <c r="L14" s="832"/>
      <c r="M14" s="904"/>
      <c r="N14" s="258"/>
      <c r="O14" s="666"/>
      <c r="P14" s="856"/>
      <c r="Q14" s="666"/>
      <c r="R14" s="666"/>
      <c r="S14" s="666"/>
      <c r="T14" s="666"/>
    </row>
    <row r="15" spans="1:37" s="3" customFormat="1" ht="15" x14ac:dyDescent="0.2">
      <c r="A15" s="666"/>
      <c r="B15" s="900" t="s">
        <v>1204</v>
      </c>
      <c r="C15" s="892"/>
      <c r="D15" s="892"/>
      <c r="E15" s="892"/>
      <c r="F15" s="901"/>
      <c r="G15" s="892"/>
      <c r="H15" s="902"/>
      <c r="I15" s="901"/>
      <c r="J15" s="903"/>
      <c r="K15" s="904"/>
      <c r="L15" s="832"/>
      <c r="M15" s="904"/>
      <c r="N15" s="258"/>
      <c r="O15" s="666"/>
      <c r="P15" s="856"/>
      <c r="Q15" s="666"/>
      <c r="R15" s="666"/>
      <c r="S15" s="666"/>
      <c r="T15" s="666"/>
    </row>
    <row r="16" spans="1:37" s="3" customFormat="1" ht="5.0999999999999996" customHeight="1" x14ac:dyDescent="0.2">
      <c r="A16" s="666"/>
      <c r="B16" s="905"/>
      <c r="C16" s="892"/>
      <c r="D16" s="892"/>
      <c r="E16" s="892"/>
      <c r="F16" s="901"/>
      <c r="G16" s="892"/>
      <c r="H16" s="902"/>
      <c r="I16" s="901"/>
      <c r="J16" s="903"/>
      <c r="K16" s="904"/>
      <c r="L16" s="832"/>
      <c r="M16" s="904"/>
      <c r="N16" s="258"/>
      <c r="O16" s="666"/>
      <c r="P16" s="856"/>
      <c r="Q16" s="666"/>
      <c r="R16" s="666"/>
      <c r="S16" s="666"/>
      <c r="T16" s="666"/>
    </row>
    <row r="17" spans="1:37" s="3" customFormat="1" ht="18" customHeight="1" x14ac:dyDescent="0.2">
      <c r="A17" s="666"/>
      <c r="B17" s="906" t="s">
        <v>1285</v>
      </c>
      <c r="C17" s="892"/>
      <c r="D17" s="892"/>
      <c r="E17" s="892"/>
      <c r="F17" s="901"/>
      <c r="G17" s="892"/>
      <c r="H17" s="902"/>
      <c r="I17" s="901"/>
      <c r="J17" s="903"/>
      <c r="K17" s="904"/>
      <c r="L17" s="832"/>
      <c r="M17" s="904"/>
      <c r="N17" s="258"/>
      <c r="O17" s="666"/>
      <c r="P17" s="856"/>
      <c r="Q17" s="666"/>
      <c r="R17" s="666"/>
      <c r="S17" s="666"/>
      <c r="T17" s="666"/>
    </row>
    <row r="18" spans="1:37" s="3" customFormat="1" ht="15" x14ac:dyDescent="0.2">
      <c r="A18" s="666"/>
      <c r="B18" s="906"/>
      <c r="C18" s="892"/>
      <c r="D18" s="892"/>
      <c r="E18" s="892"/>
      <c r="F18" s="901"/>
      <c r="G18" s="892"/>
      <c r="H18" s="902"/>
      <c r="I18" s="901"/>
      <c r="J18" s="903"/>
      <c r="K18" s="904"/>
      <c r="L18" s="832"/>
      <c r="M18" s="904"/>
      <c r="N18" s="258"/>
      <c r="O18" s="666"/>
      <c r="P18" s="856"/>
      <c r="Q18" s="666"/>
      <c r="R18" s="666"/>
      <c r="S18" s="666"/>
      <c r="T18" s="666"/>
    </row>
    <row r="19" spans="1:37" ht="26.25" customHeight="1" x14ac:dyDescent="0.3">
      <c r="A19" s="894"/>
      <c r="B19" s="877" t="s">
        <v>1185</v>
      </c>
      <c r="C19" s="907"/>
      <c r="D19" s="258" t="s">
        <v>104</v>
      </c>
      <c r="E19" s="258" t="s">
        <v>104</v>
      </c>
      <c r="F19" s="258" t="s">
        <v>104</v>
      </c>
      <c r="G19" s="258" t="s">
        <v>104</v>
      </c>
      <c r="H19" s="258" t="s">
        <v>104</v>
      </c>
      <c r="I19" s="258" t="s">
        <v>104</v>
      </c>
      <c r="J19" s="258" t="s">
        <v>104</v>
      </c>
      <c r="K19" s="259" t="s">
        <v>104</v>
      </c>
      <c r="L19" s="259"/>
      <c r="M19" s="259"/>
      <c r="N19" s="259" t="s">
        <v>104</v>
      </c>
      <c r="O19" s="894"/>
      <c r="P19" s="856"/>
      <c r="Q19" s="874"/>
      <c r="R19" s="874"/>
      <c r="S19" s="874"/>
      <c r="T19" s="874"/>
      <c r="U19" s="863"/>
      <c r="V19" s="863"/>
      <c r="W19" s="863"/>
      <c r="X19" s="863"/>
      <c r="Y19" s="863"/>
      <c r="Z19" s="863"/>
      <c r="AA19" s="863"/>
      <c r="AB19" s="863"/>
      <c r="AC19" s="863"/>
      <c r="AD19" s="863"/>
      <c r="AE19" s="863"/>
      <c r="AF19" s="863"/>
      <c r="AG19" s="863"/>
      <c r="AH19" s="863"/>
      <c r="AI19" s="863"/>
      <c r="AJ19" s="863"/>
      <c r="AK19" s="863"/>
    </row>
    <row r="20" spans="1:37" ht="26.25" customHeight="1" x14ac:dyDescent="0.3">
      <c r="A20" s="894"/>
      <c r="B20" s="876"/>
      <c r="C20" s="908"/>
      <c r="D20" s="258"/>
      <c r="E20" s="258"/>
      <c r="F20" s="258"/>
      <c r="G20" s="258"/>
      <c r="H20" s="258"/>
      <c r="I20" s="258"/>
      <c r="J20" s="258"/>
      <c r="K20" s="259"/>
      <c r="L20" s="259"/>
      <c r="M20" s="259"/>
      <c r="N20" s="259"/>
      <c r="O20" s="894"/>
      <c r="P20" s="856"/>
      <c r="Q20" s="874"/>
      <c r="R20" s="874"/>
      <c r="S20" s="874"/>
      <c r="T20" s="874"/>
      <c r="U20" s="863"/>
      <c r="V20" s="863"/>
      <c r="W20" s="863"/>
      <c r="X20" s="863"/>
      <c r="Y20" s="863"/>
      <c r="Z20" s="863"/>
      <c r="AA20" s="863"/>
      <c r="AB20" s="863"/>
      <c r="AC20" s="863"/>
      <c r="AD20" s="863"/>
      <c r="AE20" s="863"/>
      <c r="AF20" s="863"/>
      <c r="AG20" s="863"/>
      <c r="AH20" s="863"/>
      <c r="AI20" s="863"/>
      <c r="AJ20" s="863"/>
      <c r="AK20" s="863"/>
    </row>
    <row r="21" spans="1:37" s="3" customFormat="1" ht="16.5" thickBot="1" x14ac:dyDescent="0.3">
      <c r="A21" s="666"/>
      <c r="B21" s="909" t="s">
        <v>1143</v>
      </c>
      <c r="C21" s="4"/>
      <c r="D21" s="4"/>
      <c r="E21" s="4"/>
      <c r="F21" s="4"/>
      <c r="G21" s="4"/>
      <c r="H21" s="4"/>
      <c r="I21" s="4"/>
      <c r="J21" s="4"/>
      <c r="K21" s="4"/>
      <c r="L21" s="832"/>
      <c r="M21" s="904"/>
      <c r="N21" s="258"/>
      <c r="O21" s="666"/>
      <c r="P21" s="666"/>
      <c r="Q21" s="666"/>
      <c r="R21" s="666"/>
      <c r="S21" s="666"/>
      <c r="T21" s="666"/>
    </row>
    <row r="22" spans="1:37" s="3" customFormat="1" ht="70.349999999999994" customHeight="1" x14ac:dyDescent="0.2">
      <c r="A22" s="666"/>
      <c r="B22" s="833"/>
      <c r="C22" s="834" t="s">
        <v>1144</v>
      </c>
      <c r="D22" s="835" t="s">
        <v>1145</v>
      </c>
      <c r="E22" s="835" t="s">
        <v>1146</v>
      </c>
      <c r="F22" s="835" t="s">
        <v>1147</v>
      </c>
      <c r="G22" s="835" t="s">
        <v>1148</v>
      </c>
      <c r="H22" s="835" t="s">
        <v>1149</v>
      </c>
      <c r="I22" s="836" t="s">
        <v>1150</v>
      </c>
      <c r="J22" s="837" t="s">
        <v>1151</v>
      </c>
      <c r="K22" s="861" t="s">
        <v>1152</v>
      </c>
      <c r="L22" s="838"/>
      <c r="M22" s="839"/>
      <c r="N22" s="258"/>
      <c r="O22" s="666"/>
      <c r="P22" s="666"/>
      <c r="Q22" s="1222"/>
      <c r="R22" s="666"/>
      <c r="S22" s="666"/>
      <c r="T22" s="666"/>
    </row>
    <row r="23" spans="1:37" s="3" customFormat="1" ht="14.25" x14ac:dyDescent="0.2">
      <c r="A23" s="666"/>
      <c r="B23" s="1262" t="s">
        <v>1153</v>
      </c>
      <c r="C23" s="1263">
        <v>1</v>
      </c>
      <c r="D23" s="1264">
        <v>500</v>
      </c>
      <c r="E23" s="1264">
        <v>3.25</v>
      </c>
      <c r="F23" s="1265">
        <v>875</v>
      </c>
      <c r="G23" s="1264">
        <v>3</v>
      </c>
      <c r="H23" s="1266">
        <f>ROUNDUP(F23/D23,0)</f>
        <v>2</v>
      </c>
      <c r="I23" s="1267">
        <f>(G23*H23*E23)*C23</f>
        <v>19.5</v>
      </c>
      <c r="J23" s="910">
        <v>0</v>
      </c>
      <c r="K23" s="911">
        <f t="shared" ref="K23:K26" si="1">I23*(1+J23)</f>
        <v>19.5</v>
      </c>
      <c r="L23" s="838"/>
      <c r="M23" s="839"/>
      <c r="N23" s="258"/>
      <c r="O23" s="666"/>
      <c r="P23" s="666"/>
      <c r="Q23" s="1222"/>
      <c r="R23" s="666"/>
      <c r="S23" s="666"/>
      <c r="T23" s="666"/>
    </row>
    <row r="24" spans="1:37" s="3" customFormat="1" ht="14.25" x14ac:dyDescent="0.2">
      <c r="A24" s="666"/>
      <c r="B24" s="1268" t="s">
        <v>1154</v>
      </c>
      <c r="C24" s="1263">
        <v>1</v>
      </c>
      <c r="D24" s="1264">
        <v>50</v>
      </c>
      <c r="E24" s="1264">
        <v>9.8699999999999992</v>
      </c>
      <c r="F24" s="1265">
        <v>175</v>
      </c>
      <c r="G24" s="1264">
        <v>3</v>
      </c>
      <c r="H24" s="1266">
        <f>ROUNDUP(F24/D24,0)</f>
        <v>4</v>
      </c>
      <c r="I24" s="1267">
        <f>(G24*H24*E24)*C24</f>
        <v>118.44</v>
      </c>
      <c r="J24" s="910">
        <v>0</v>
      </c>
      <c r="K24" s="911">
        <f t="shared" si="1"/>
        <v>118.44</v>
      </c>
      <c r="L24" s="838"/>
      <c r="M24" s="839"/>
      <c r="N24" s="258"/>
      <c r="O24" s="666"/>
      <c r="P24" s="666"/>
      <c r="Q24" s="1222"/>
      <c r="R24" s="666"/>
      <c r="S24" s="666"/>
      <c r="T24" s="666"/>
    </row>
    <row r="25" spans="1:37" s="3" customFormat="1" ht="14.25" x14ac:dyDescent="0.2">
      <c r="A25" s="666"/>
      <c r="B25" s="1262" t="s">
        <v>1155</v>
      </c>
      <c r="C25" s="1263">
        <v>1</v>
      </c>
      <c r="D25" s="1264">
        <v>1000</v>
      </c>
      <c r="E25" s="1264">
        <v>13.23</v>
      </c>
      <c r="F25" s="1265">
        <v>875</v>
      </c>
      <c r="G25" s="1264">
        <v>3</v>
      </c>
      <c r="H25" s="1266">
        <f t="shared" ref="H25" si="2">ROUNDUP(F25/D25,0)</f>
        <v>1</v>
      </c>
      <c r="I25" s="1267">
        <f>(G25*H25*E25)*C25</f>
        <v>39.69</v>
      </c>
      <c r="J25" s="910">
        <v>0</v>
      </c>
      <c r="K25" s="911">
        <f t="shared" si="1"/>
        <v>39.69</v>
      </c>
      <c r="L25" s="838"/>
      <c r="M25" s="839"/>
      <c r="N25" s="258"/>
      <c r="O25" s="666"/>
      <c r="P25" s="666"/>
      <c r="Q25" s="1222"/>
      <c r="R25" s="666"/>
      <c r="S25" s="666"/>
      <c r="T25" s="666"/>
    </row>
    <row r="26" spans="1:37" s="3" customFormat="1" ht="14.25" x14ac:dyDescent="0.2">
      <c r="A26" s="666"/>
      <c r="B26" s="1269" t="s">
        <v>1156</v>
      </c>
      <c r="C26" s="1263">
        <v>1</v>
      </c>
      <c r="D26" s="1270">
        <v>160</v>
      </c>
      <c r="E26" s="912">
        <v>15.67</v>
      </c>
      <c r="F26" s="913">
        <v>175</v>
      </c>
      <c r="G26" s="914">
        <v>3</v>
      </c>
      <c r="H26" s="1271" t="s">
        <v>104</v>
      </c>
      <c r="I26" s="1267">
        <f>G26*E26*C26</f>
        <v>47.01</v>
      </c>
      <c r="J26" s="910">
        <v>0</v>
      </c>
      <c r="K26" s="911">
        <f t="shared" si="1"/>
        <v>47.01</v>
      </c>
      <c r="L26" s="839"/>
      <c r="M26" s="839"/>
      <c r="N26" s="258"/>
      <c r="O26" s="666"/>
      <c r="P26" s="666"/>
      <c r="Q26" s="1222"/>
      <c r="R26" s="666"/>
      <c r="S26" s="666"/>
      <c r="T26" s="666"/>
    </row>
    <row r="27" spans="1:37" s="3" customFormat="1" ht="14.25" x14ac:dyDescent="0.2">
      <c r="A27" s="666"/>
      <c r="B27" s="1262" t="s">
        <v>1157</v>
      </c>
      <c r="C27" s="1263">
        <v>1</v>
      </c>
      <c r="D27" s="1270">
        <v>20</v>
      </c>
      <c r="E27" s="912">
        <v>3.57</v>
      </c>
      <c r="F27" s="913">
        <v>175</v>
      </c>
      <c r="G27" s="914">
        <v>3</v>
      </c>
      <c r="H27" s="1271" t="s">
        <v>104</v>
      </c>
      <c r="I27" s="1267">
        <f>G27*E27*C27</f>
        <v>10.709999999999999</v>
      </c>
      <c r="J27" s="910">
        <v>0</v>
      </c>
      <c r="K27" s="911">
        <f>I27*(1+J27)</f>
        <v>10.709999999999999</v>
      </c>
      <c r="L27" s="839"/>
      <c r="M27" s="839"/>
      <c r="N27" s="258"/>
      <c r="O27" s="666"/>
      <c r="P27" s="666"/>
      <c r="Q27" s="1222"/>
      <c r="R27" s="666"/>
      <c r="S27" s="666"/>
      <c r="T27" s="666"/>
    </row>
    <row r="28" spans="1:37" s="3" customFormat="1" ht="14.25" x14ac:dyDescent="0.2">
      <c r="A28" s="666"/>
      <c r="B28" s="1262" t="s">
        <v>1158</v>
      </c>
      <c r="C28" s="1263">
        <v>0.2</v>
      </c>
      <c r="D28" s="1270">
        <v>285</v>
      </c>
      <c r="E28" s="912">
        <v>8.0500000000000007</v>
      </c>
      <c r="F28" s="913">
        <v>285</v>
      </c>
      <c r="G28" s="914">
        <v>6</v>
      </c>
      <c r="H28" s="1271" t="s">
        <v>104</v>
      </c>
      <c r="I28" s="1267">
        <f>G28*E28*C28</f>
        <v>9.6600000000000019</v>
      </c>
      <c r="J28" s="910">
        <v>0</v>
      </c>
      <c r="K28" s="911">
        <f t="shared" ref="K28:K30" si="3">I28*(1+J28)</f>
        <v>9.6600000000000019</v>
      </c>
      <c r="L28" s="839"/>
      <c r="M28" s="839"/>
      <c r="N28" s="258"/>
      <c r="O28" s="666"/>
      <c r="P28" s="666"/>
      <c r="Q28" s="1222"/>
      <c r="R28" s="666"/>
      <c r="S28" s="666"/>
      <c r="T28" s="666"/>
    </row>
    <row r="29" spans="1:37" s="3" customFormat="1" ht="14.25" x14ac:dyDescent="0.2">
      <c r="A29" s="666"/>
      <c r="B29" s="1262" t="s">
        <v>1159</v>
      </c>
      <c r="C29" s="1272">
        <v>0.222108</v>
      </c>
      <c r="D29" s="1273">
        <v>0.3</v>
      </c>
      <c r="E29" s="915">
        <v>250.75</v>
      </c>
      <c r="F29" s="916">
        <v>2.23</v>
      </c>
      <c r="G29" s="917">
        <v>3</v>
      </c>
      <c r="H29" s="1266">
        <f>ROUNDUP(F29/D29,0)</f>
        <v>8</v>
      </c>
      <c r="I29" s="1267">
        <f>G29*E29*C29</f>
        <v>167.08074300000001</v>
      </c>
      <c r="J29" s="910">
        <v>0</v>
      </c>
      <c r="K29" s="911">
        <f t="shared" si="3"/>
        <v>167.08074300000001</v>
      </c>
      <c r="L29" s="839"/>
      <c r="M29" s="839"/>
      <c r="N29" s="258"/>
      <c r="O29" s="666"/>
      <c r="P29" s="666"/>
      <c r="Q29" s="1222"/>
      <c r="R29" s="666"/>
      <c r="S29" s="666"/>
      <c r="T29" s="666"/>
    </row>
    <row r="30" spans="1:37" s="3" customFormat="1" ht="14.25" x14ac:dyDescent="0.2">
      <c r="A30" s="666"/>
      <c r="B30" s="1268" t="s">
        <v>1160</v>
      </c>
      <c r="C30" s="1272">
        <v>0.97778799999999999</v>
      </c>
      <c r="D30" s="1274">
        <v>0.48</v>
      </c>
      <c r="E30" s="916">
        <v>399.5</v>
      </c>
      <c r="F30" s="916">
        <v>2.23</v>
      </c>
      <c r="G30" s="1273">
        <v>3</v>
      </c>
      <c r="H30" s="1275" t="s">
        <v>104</v>
      </c>
      <c r="I30" s="1276">
        <f>G30*E30*C30</f>
        <v>1171.8789179999999</v>
      </c>
      <c r="J30" s="1229">
        <v>0</v>
      </c>
      <c r="K30" s="919">
        <f t="shared" si="3"/>
        <v>1171.8789179999999</v>
      </c>
      <c r="L30" s="920"/>
      <c r="M30" s="920"/>
      <c r="N30" s="258"/>
      <c r="O30" s="666"/>
      <c r="P30" s="666"/>
      <c r="Q30" s="1222"/>
      <c r="R30" s="666"/>
      <c r="S30" s="666"/>
      <c r="T30" s="666"/>
    </row>
    <row r="31" spans="1:37" s="3" customFormat="1" ht="15" thickBot="1" x14ac:dyDescent="0.25">
      <c r="A31" s="666"/>
      <c r="B31" s="1277" t="s">
        <v>1289</v>
      </c>
      <c r="C31" s="1278"/>
      <c r="D31" s="1279"/>
      <c r="E31" s="941"/>
      <c r="F31" s="941"/>
      <c r="G31" s="1280"/>
      <c r="H31" s="1281"/>
      <c r="I31" s="1282"/>
      <c r="J31" s="943"/>
      <c r="K31" s="944">
        <f t="shared" ref="K31" si="4">I31*(1+J31)</f>
        <v>0</v>
      </c>
      <c r="L31" s="920"/>
      <c r="M31" s="920"/>
      <c r="N31" s="258"/>
      <c r="O31" s="666"/>
      <c r="P31" s="666"/>
      <c r="Q31" s="1222"/>
      <c r="R31" s="666"/>
      <c r="S31" s="666"/>
      <c r="T31" s="666"/>
    </row>
    <row r="32" spans="1:37" s="3" customFormat="1" ht="15" thickBot="1" x14ac:dyDescent="0.25">
      <c r="A32" s="666"/>
      <c r="B32" s="840"/>
      <c r="C32" s="921"/>
      <c r="D32" s="921"/>
      <c r="E32" s="921"/>
      <c r="F32" s="258"/>
      <c r="G32" s="841"/>
      <c r="H32" s="258"/>
      <c r="I32" s="1230">
        <f>SUM(I23:I31)</f>
        <v>1583.9696609999999</v>
      </c>
      <c r="J32" s="4"/>
      <c r="K32" s="1230">
        <f>SUM(K23:K30)</f>
        <v>1583.9696609999999</v>
      </c>
      <c r="L32" s="920"/>
      <c r="M32" s="920"/>
      <c r="N32" s="258"/>
      <c r="O32" s="666"/>
      <c r="P32" s="666"/>
      <c r="Q32" s="1222"/>
      <c r="R32" s="666"/>
      <c r="S32" s="666"/>
      <c r="T32" s="666"/>
    </row>
    <row r="33" spans="1:20" s="3" customFormat="1" ht="14.25" x14ac:dyDescent="0.2">
      <c r="A33" s="666"/>
      <c r="B33" s="840"/>
      <c r="C33" s="921"/>
      <c r="D33" s="921"/>
      <c r="E33" s="921"/>
      <c r="F33" s="258"/>
      <c r="G33" s="841"/>
      <c r="H33" s="258"/>
      <c r="I33" s="842"/>
      <c r="J33" s="4"/>
      <c r="K33" s="842"/>
      <c r="L33" s="920"/>
      <c r="M33" s="920"/>
      <c r="N33" s="258"/>
      <c r="O33" s="666"/>
      <c r="P33" s="666"/>
      <c r="Q33" s="1222"/>
      <c r="R33" s="666"/>
      <c r="S33" s="666"/>
      <c r="T33" s="666"/>
    </row>
    <row r="34" spans="1:20" s="3" customFormat="1" ht="14.25" x14ac:dyDescent="0.2">
      <c r="A34" s="666"/>
      <c r="B34" s="840"/>
      <c r="C34" s="850"/>
      <c r="D34" s="922"/>
      <c r="E34" s="850"/>
      <c r="F34" s="892"/>
      <c r="G34" s="892"/>
      <c r="H34" s="259"/>
      <c r="I34" s="259"/>
      <c r="J34" s="923"/>
      <c r="K34" s="4"/>
      <c r="L34" s="832"/>
      <c r="M34" s="924"/>
      <c r="N34" s="258"/>
      <c r="O34" s="666"/>
      <c r="P34" s="666"/>
      <c r="Q34" s="1222"/>
      <c r="R34" s="666"/>
      <c r="S34" s="666"/>
      <c r="T34" s="666"/>
    </row>
    <row r="35" spans="1:20" s="3" customFormat="1" ht="16.5" thickBot="1" x14ac:dyDescent="0.3">
      <c r="A35" s="666"/>
      <c r="B35" s="925" t="s">
        <v>1165</v>
      </c>
      <c r="C35" s="850"/>
      <c r="D35" s="922"/>
      <c r="E35" s="850"/>
      <c r="F35" s="259"/>
      <c r="G35" s="892"/>
      <c r="H35" s="259"/>
      <c r="I35" s="259"/>
      <c r="J35" s="923"/>
      <c r="K35" s="4"/>
      <c r="L35" s="838"/>
      <c r="M35" s="851"/>
      <c r="N35" s="258"/>
      <c r="O35" s="666"/>
      <c r="P35" s="666"/>
      <c r="Q35" s="1222"/>
      <c r="R35" s="666"/>
      <c r="S35" s="666"/>
      <c r="T35" s="666"/>
    </row>
    <row r="36" spans="1:20" s="3" customFormat="1" ht="39" thickBot="1" x14ac:dyDescent="0.25">
      <c r="A36" s="666"/>
      <c r="B36" s="857"/>
      <c r="C36" s="858" t="s">
        <v>1144</v>
      </c>
      <c r="D36" s="859" t="s">
        <v>1145</v>
      </c>
      <c r="E36" s="859" t="s">
        <v>1146</v>
      </c>
      <c r="F36" s="859" t="s">
        <v>1147</v>
      </c>
      <c r="G36" s="859" t="s">
        <v>1148</v>
      </c>
      <c r="H36" s="859" t="s">
        <v>1149</v>
      </c>
      <c r="I36" s="860" t="s">
        <v>1150</v>
      </c>
      <c r="J36" s="859" t="s">
        <v>1151</v>
      </c>
      <c r="K36" s="837" t="s">
        <v>1152</v>
      </c>
      <c r="L36" s="838"/>
      <c r="M36" s="851"/>
      <c r="N36" s="258"/>
      <c r="O36" s="666"/>
      <c r="P36" s="666"/>
      <c r="Q36" s="1222"/>
      <c r="R36" s="666"/>
      <c r="S36" s="666"/>
      <c r="T36" s="666"/>
    </row>
    <row r="37" spans="1:20" s="3" customFormat="1" ht="14.25" x14ac:dyDescent="0.2">
      <c r="A37" s="666"/>
      <c r="B37" s="1283" t="s">
        <v>1155</v>
      </c>
      <c r="C37" s="1284">
        <v>1</v>
      </c>
      <c r="D37" s="1285">
        <v>1000</v>
      </c>
      <c r="E37" s="1285">
        <v>13.23</v>
      </c>
      <c r="F37" s="1286">
        <v>1050</v>
      </c>
      <c r="G37" s="1285">
        <v>4</v>
      </c>
      <c r="H37" s="1287">
        <v>1</v>
      </c>
      <c r="I37" s="1288">
        <f>(G37*H37*E37)*C37</f>
        <v>52.92</v>
      </c>
      <c r="J37" s="926">
        <v>0</v>
      </c>
      <c r="K37" s="911">
        <f t="shared" ref="K37:K43" si="5">I37*(1+J37)</f>
        <v>52.92</v>
      </c>
      <c r="L37" s="839"/>
      <c r="M37" s="851"/>
      <c r="N37" s="258"/>
      <c r="O37" s="666"/>
      <c r="P37" s="1222"/>
      <c r="Q37" s="1222"/>
      <c r="R37" s="666"/>
      <c r="S37" s="666"/>
      <c r="T37" s="666"/>
    </row>
    <row r="38" spans="1:20" s="3" customFormat="1" ht="14.25" x14ac:dyDescent="0.2">
      <c r="A38" s="666"/>
      <c r="B38" s="1262" t="s">
        <v>1166</v>
      </c>
      <c r="C38" s="1263">
        <v>1</v>
      </c>
      <c r="D38" s="1264">
        <v>500</v>
      </c>
      <c r="E38" s="1264">
        <v>8.43</v>
      </c>
      <c r="F38" s="1265">
        <v>500</v>
      </c>
      <c r="G38" s="1264">
        <v>4</v>
      </c>
      <c r="H38" s="1266">
        <v>1</v>
      </c>
      <c r="I38" s="1267">
        <f>(G38*H38*E38)*C38</f>
        <v>33.72</v>
      </c>
      <c r="J38" s="910">
        <v>0</v>
      </c>
      <c r="K38" s="911">
        <f t="shared" si="5"/>
        <v>33.72</v>
      </c>
      <c r="L38" s="839"/>
      <c r="M38" s="851"/>
      <c r="N38" s="258"/>
      <c r="O38" s="666"/>
      <c r="P38" s="666"/>
      <c r="Q38" s="1222"/>
      <c r="R38" s="666"/>
      <c r="S38" s="666"/>
      <c r="T38" s="666"/>
    </row>
    <row r="39" spans="1:20" s="3" customFormat="1" ht="14.25" x14ac:dyDescent="0.2">
      <c r="A39" s="666"/>
      <c r="B39" s="1262" t="s">
        <v>1156</v>
      </c>
      <c r="C39" s="1263">
        <v>1</v>
      </c>
      <c r="D39" s="1270">
        <v>160</v>
      </c>
      <c r="E39" s="912">
        <v>15.67</v>
      </c>
      <c r="F39" s="913">
        <v>175</v>
      </c>
      <c r="G39" s="914">
        <v>4</v>
      </c>
      <c r="H39" s="1271" t="s">
        <v>104</v>
      </c>
      <c r="I39" s="1267">
        <f>G39*E39*C39</f>
        <v>62.68</v>
      </c>
      <c r="J39" s="910">
        <v>0</v>
      </c>
      <c r="K39" s="911">
        <f t="shared" si="5"/>
        <v>62.68</v>
      </c>
      <c r="L39" s="4"/>
      <c r="M39" s="666"/>
      <c r="N39" s="258"/>
      <c r="O39" s="666"/>
      <c r="P39" s="666"/>
      <c r="Q39" s="1222"/>
      <c r="R39" s="666"/>
      <c r="S39" s="666"/>
      <c r="T39" s="666"/>
    </row>
    <row r="40" spans="1:20" s="3" customFormat="1" ht="17.649999999999999" customHeight="1" x14ac:dyDescent="0.2">
      <c r="A40" s="666"/>
      <c r="B40" s="1262" t="s">
        <v>1167</v>
      </c>
      <c r="C40" s="1263">
        <v>0.2</v>
      </c>
      <c r="D40" s="1270">
        <v>285</v>
      </c>
      <c r="E40" s="912">
        <v>8.0500000000000007</v>
      </c>
      <c r="F40" s="913">
        <v>285</v>
      </c>
      <c r="G40" s="914">
        <v>4</v>
      </c>
      <c r="H40" s="1271" t="s">
        <v>104</v>
      </c>
      <c r="I40" s="1267">
        <f>G40*E40*C40</f>
        <v>6.4400000000000013</v>
      </c>
      <c r="J40" s="910">
        <v>0</v>
      </c>
      <c r="K40" s="911">
        <f t="shared" si="5"/>
        <v>6.4400000000000013</v>
      </c>
      <c r="L40" s="4"/>
      <c r="M40" s="666"/>
      <c r="N40" s="258"/>
      <c r="O40" s="666"/>
      <c r="P40" s="666"/>
      <c r="Q40" s="1222"/>
      <c r="R40" s="666"/>
      <c r="S40" s="666"/>
      <c r="T40" s="666"/>
    </row>
    <row r="41" spans="1:20" s="3" customFormat="1" ht="14.25" x14ac:dyDescent="0.2">
      <c r="A41" s="666"/>
      <c r="B41" s="1262" t="s">
        <v>1159</v>
      </c>
      <c r="C41" s="1272">
        <v>0.1850986</v>
      </c>
      <c r="D41" s="1273">
        <v>0.3</v>
      </c>
      <c r="E41" s="915">
        <v>250.75</v>
      </c>
      <c r="F41" s="916">
        <v>2.23</v>
      </c>
      <c r="G41" s="917">
        <v>4</v>
      </c>
      <c r="H41" s="1266">
        <f>ROUNDUP(F41/D41,0)</f>
        <v>8</v>
      </c>
      <c r="I41" s="1267">
        <f>G41*E41*C41</f>
        <v>185.65389580000002</v>
      </c>
      <c r="J41" s="910">
        <v>0</v>
      </c>
      <c r="K41" s="911">
        <f t="shared" si="5"/>
        <v>185.65389580000002</v>
      </c>
      <c r="L41" s="4"/>
      <c r="M41" s="666"/>
      <c r="N41" s="258"/>
      <c r="O41" s="666"/>
      <c r="P41" s="666"/>
      <c r="Q41" s="1222"/>
      <c r="R41" s="666"/>
      <c r="S41" s="666"/>
      <c r="T41" s="666"/>
    </row>
    <row r="42" spans="1:20" s="3" customFormat="1" ht="15" thickBot="1" x14ac:dyDescent="0.25">
      <c r="A42" s="666"/>
      <c r="B42" s="1277" t="s">
        <v>1160</v>
      </c>
      <c r="C42" s="1278">
        <v>0.81490136170000005</v>
      </c>
      <c r="D42" s="1279">
        <v>0.48</v>
      </c>
      <c r="E42" s="941">
        <v>399.5</v>
      </c>
      <c r="F42" s="941">
        <v>2.23</v>
      </c>
      <c r="G42" s="1280">
        <v>4</v>
      </c>
      <c r="H42" s="1281" t="s">
        <v>104</v>
      </c>
      <c r="I42" s="1282">
        <f>G42*E42*C42</f>
        <v>1302.2123759966</v>
      </c>
      <c r="J42" s="918">
        <v>0</v>
      </c>
      <c r="K42" s="919">
        <f t="shared" si="5"/>
        <v>1302.2123759966</v>
      </c>
      <c r="L42" s="4"/>
      <c r="M42" s="666"/>
      <c r="N42" s="258"/>
      <c r="O42" s="666"/>
      <c r="P42" s="666"/>
      <c r="Q42" s="1222"/>
      <c r="R42" s="666"/>
      <c r="S42" s="666"/>
      <c r="T42" s="666"/>
    </row>
    <row r="43" spans="1:20" s="3" customFormat="1" ht="15" thickBot="1" x14ac:dyDescent="0.25">
      <c r="A43" s="666"/>
      <c r="B43" s="1277" t="s">
        <v>1289</v>
      </c>
      <c r="C43" s="1278"/>
      <c r="D43" s="1279"/>
      <c r="E43" s="941"/>
      <c r="F43" s="941"/>
      <c r="G43" s="1280"/>
      <c r="H43" s="1281"/>
      <c r="I43" s="1282"/>
      <c r="J43" s="943"/>
      <c r="K43" s="944">
        <f t="shared" si="5"/>
        <v>0</v>
      </c>
      <c r="L43" s="920"/>
      <c r="M43" s="920"/>
      <c r="N43" s="258"/>
      <c r="O43" s="666"/>
      <c r="P43" s="666"/>
      <c r="Q43" s="1222"/>
      <c r="R43" s="666"/>
      <c r="S43" s="666"/>
      <c r="T43" s="666"/>
    </row>
    <row r="44" spans="1:20" s="3" customFormat="1" ht="15" thickBot="1" x14ac:dyDescent="0.25">
      <c r="A44" s="666"/>
      <c r="B44" s="840"/>
      <c r="C44" s="921"/>
      <c r="D44" s="921"/>
      <c r="E44" s="921"/>
      <c r="F44" s="258"/>
      <c r="G44" s="841"/>
      <c r="H44" s="258"/>
      <c r="I44" s="927">
        <f>SUM(I37:I42)</f>
        <v>1643.6262717966001</v>
      </c>
      <c r="J44" s="892"/>
      <c r="K44" s="927">
        <f>SUM(K37:K42)</f>
        <v>1643.6262717966001</v>
      </c>
      <c r="L44" s="920"/>
      <c r="M44" s="928"/>
      <c r="N44" s="258"/>
      <c r="O44" s="666"/>
      <c r="P44" s="666"/>
      <c r="Q44" s="1222"/>
      <c r="R44" s="666"/>
      <c r="S44" s="666"/>
      <c r="T44" s="666"/>
    </row>
    <row r="45" spans="1:20" s="3" customFormat="1" ht="21" customHeight="1" x14ac:dyDescent="0.2">
      <c r="A45" s="666"/>
      <c r="B45" s="929"/>
      <c r="C45" s="892"/>
      <c r="D45" s="892"/>
      <c r="E45" s="892"/>
      <c r="F45" s="901"/>
      <c r="G45" s="892"/>
      <c r="H45" s="902"/>
      <c r="I45" s="901"/>
      <c r="J45" s="903"/>
      <c r="K45" s="904"/>
      <c r="L45" s="832"/>
      <c r="M45" s="924"/>
      <c r="N45" s="258"/>
      <c r="O45" s="666"/>
      <c r="P45" s="666"/>
      <c r="Q45" s="1222"/>
      <c r="R45" s="666"/>
      <c r="S45" s="666"/>
      <c r="T45" s="666"/>
    </row>
    <row r="46" spans="1:20" s="3" customFormat="1" ht="21" customHeight="1" x14ac:dyDescent="0.2">
      <c r="A46" s="666"/>
      <c r="B46" s="666"/>
      <c r="C46" s="850"/>
      <c r="D46" s="850"/>
      <c r="E46" s="850"/>
      <c r="F46" s="259"/>
      <c r="G46" s="259"/>
      <c r="H46" s="259"/>
      <c r="I46" s="259"/>
      <c r="J46" s="839"/>
      <c r="K46" s="839"/>
      <c r="L46" s="838"/>
      <c r="M46" s="851"/>
      <c r="N46" s="258"/>
      <c r="O46" s="666"/>
      <c r="P46" s="666"/>
      <c r="Q46" s="1222"/>
      <c r="R46" s="666"/>
      <c r="S46" s="666"/>
      <c r="T46" s="666"/>
    </row>
    <row r="47" spans="1:20" s="3" customFormat="1" ht="16.350000000000001" customHeight="1" thickBot="1" x14ac:dyDescent="0.3">
      <c r="A47" s="666"/>
      <c r="B47" s="930" t="s">
        <v>1168</v>
      </c>
      <c r="C47" s="850"/>
      <c r="D47" s="850"/>
      <c r="E47" s="850"/>
      <c r="F47" s="259"/>
      <c r="G47" s="259"/>
      <c r="H47" s="259"/>
      <c r="I47" s="259"/>
      <c r="J47" s="923"/>
      <c r="K47" s="839"/>
      <c r="L47" s="839"/>
      <c r="M47" s="851"/>
      <c r="N47" s="258"/>
      <c r="O47" s="666"/>
      <c r="P47" s="666"/>
      <c r="Q47" s="1222"/>
      <c r="R47" s="666"/>
      <c r="S47" s="666"/>
      <c r="T47" s="666"/>
    </row>
    <row r="48" spans="1:20" s="3" customFormat="1" ht="50.65" customHeight="1" thickBot="1" x14ac:dyDescent="0.25">
      <c r="A48" s="666"/>
      <c r="B48" s="857"/>
      <c r="C48" s="858" t="s">
        <v>1144</v>
      </c>
      <c r="D48" s="859" t="s">
        <v>1145</v>
      </c>
      <c r="E48" s="859" t="s">
        <v>1146</v>
      </c>
      <c r="F48" s="859" t="s">
        <v>1147</v>
      </c>
      <c r="G48" s="859" t="s">
        <v>1148</v>
      </c>
      <c r="H48" s="859" t="s">
        <v>1149</v>
      </c>
      <c r="I48" s="860" t="s">
        <v>1150</v>
      </c>
      <c r="J48" s="835" t="s">
        <v>1151</v>
      </c>
      <c r="K48" s="837" t="s">
        <v>1152</v>
      </c>
      <c r="L48" s="838"/>
      <c r="M48" s="851"/>
      <c r="N48" s="258"/>
      <c r="O48" s="666"/>
      <c r="P48" s="666"/>
      <c r="Q48" s="1222"/>
      <c r="R48" s="666"/>
      <c r="S48" s="666"/>
      <c r="T48" s="666"/>
    </row>
    <row r="49" spans="1:20" s="3" customFormat="1" ht="21" customHeight="1" x14ac:dyDescent="0.2">
      <c r="A49" s="666"/>
      <c r="B49" s="1289" t="s">
        <v>1169</v>
      </c>
      <c r="C49" s="1284">
        <v>1</v>
      </c>
      <c r="D49" s="1285">
        <v>50</v>
      </c>
      <c r="E49" s="1285">
        <v>9.8699999999999992</v>
      </c>
      <c r="F49" s="1286">
        <v>157.5</v>
      </c>
      <c r="G49" s="1285">
        <v>4</v>
      </c>
      <c r="H49" s="1287">
        <f>ROUNDUP(F49/D49,0)</f>
        <v>4</v>
      </c>
      <c r="I49" s="1290">
        <f>(G49*H49*E49)*C49</f>
        <v>157.91999999999999</v>
      </c>
      <c r="J49" s="931">
        <v>0</v>
      </c>
      <c r="K49" s="932">
        <f t="shared" ref="K49:K56" si="6">I49*(1+J49)</f>
        <v>157.91999999999999</v>
      </c>
      <c r="L49" s="838"/>
      <c r="M49" s="851"/>
      <c r="N49" s="258"/>
      <c r="O49" s="666"/>
      <c r="P49" s="666"/>
      <c r="Q49" s="1222"/>
      <c r="R49" s="666"/>
      <c r="S49" s="666"/>
      <c r="T49" s="666"/>
    </row>
    <row r="50" spans="1:20" s="3" customFormat="1" ht="14.25" x14ac:dyDescent="0.2">
      <c r="A50" s="666"/>
      <c r="B50" s="1268" t="s">
        <v>1155</v>
      </c>
      <c r="C50" s="1263">
        <v>1</v>
      </c>
      <c r="D50" s="1264">
        <v>1000</v>
      </c>
      <c r="E50" s="1264">
        <v>13.23</v>
      </c>
      <c r="F50" s="1265">
        <v>1050</v>
      </c>
      <c r="G50" s="1264">
        <v>4</v>
      </c>
      <c r="H50" s="1266">
        <v>1</v>
      </c>
      <c r="I50" s="1291">
        <f>(G50*H50*E50)*C50</f>
        <v>52.92</v>
      </c>
      <c r="J50" s="931">
        <v>0</v>
      </c>
      <c r="K50" s="932">
        <f t="shared" si="6"/>
        <v>52.92</v>
      </c>
      <c r="L50" s="839"/>
      <c r="M50" s="851"/>
      <c r="N50" s="258"/>
      <c r="O50" s="666"/>
      <c r="P50" s="666"/>
      <c r="Q50" s="1222"/>
      <c r="R50" s="666"/>
      <c r="S50" s="666"/>
      <c r="T50" s="666"/>
    </row>
    <row r="51" spans="1:20" s="3" customFormat="1" ht="14.25" x14ac:dyDescent="0.2">
      <c r="A51" s="666"/>
      <c r="B51" s="1262" t="s">
        <v>1166</v>
      </c>
      <c r="C51" s="1263">
        <v>1</v>
      </c>
      <c r="D51" s="1264">
        <v>500</v>
      </c>
      <c r="E51" s="1264">
        <v>8.43</v>
      </c>
      <c r="F51" s="1265">
        <v>500</v>
      </c>
      <c r="G51" s="1264">
        <v>4</v>
      </c>
      <c r="H51" s="1266">
        <v>1</v>
      </c>
      <c r="I51" s="1291">
        <f>(G51*H51*E51)*C51</f>
        <v>33.72</v>
      </c>
      <c r="J51" s="931">
        <v>0</v>
      </c>
      <c r="K51" s="932">
        <f t="shared" si="6"/>
        <v>33.72</v>
      </c>
      <c r="L51" s="839"/>
      <c r="M51" s="851"/>
      <c r="N51" s="258"/>
      <c r="O51" s="666"/>
      <c r="P51" s="666"/>
      <c r="Q51" s="1222"/>
      <c r="R51" s="666"/>
      <c r="S51" s="666"/>
      <c r="T51" s="666"/>
    </row>
    <row r="52" spans="1:20" s="3" customFormat="1" ht="14.25" x14ac:dyDescent="0.2">
      <c r="A52" s="666"/>
      <c r="B52" s="1262" t="s">
        <v>1156</v>
      </c>
      <c r="C52" s="1263">
        <v>1</v>
      </c>
      <c r="D52" s="1270">
        <v>160</v>
      </c>
      <c r="E52" s="912">
        <v>15.67</v>
      </c>
      <c r="F52" s="913">
        <v>175</v>
      </c>
      <c r="G52" s="914">
        <v>4</v>
      </c>
      <c r="H52" s="1271" t="s">
        <v>104</v>
      </c>
      <c r="I52" s="1291">
        <f>G52*E52*C52</f>
        <v>62.68</v>
      </c>
      <c r="J52" s="931">
        <v>0</v>
      </c>
      <c r="K52" s="932">
        <f t="shared" si="6"/>
        <v>62.68</v>
      </c>
      <c r="L52" s="4"/>
      <c r="M52" s="666"/>
      <c r="N52" s="258"/>
      <c r="O52" s="666"/>
      <c r="P52" s="666"/>
      <c r="Q52" s="1222"/>
      <c r="R52" s="666"/>
      <c r="S52" s="666"/>
      <c r="T52" s="666"/>
    </row>
    <row r="53" spans="1:20" s="3" customFormat="1" ht="17.649999999999999" customHeight="1" x14ac:dyDescent="0.2">
      <c r="A53" s="666"/>
      <c r="B53" s="1262" t="s">
        <v>1167</v>
      </c>
      <c r="C53" s="1263">
        <v>0.2</v>
      </c>
      <c r="D53" s="1270">
        <v>285</v>
      </c>
      <c r="E53" s="912">
        <v>8.0500000000000007</v>
      </c>
      <c r="F53" s="913">
        <v>285</v>
      </c>
      <c r="G53" s="914">
        <v>8</v>
      </c>
      <c r="H53" s="1271" t="s">
        <v>104</v>
      </c>
      <c r="I53" s="1291">
        <f>G53*E53*C53</f>
        <v>12.880000000000003</v>
      </c>
      <c r="J53" s="931">
        <v>0</v>
      </c>
      <c r="K53" s="932">
        <f t="shared" si="6"/>
        <v>12.880000000000003</v>
      </c>
      <c r="L53" s="4"/>
      <c r="M53" s="666"/>
      <c r="N53" s="258"/>
      <c r="O53" s="666"/>
      <c r="P53" s="666"/>
      <c r="Q53" s="1222"/>
      <c r="R53" s="666"/>
      <c r="S53" s="666"/>
      <c r="T53" s="666"/>
    </row>
    <row r="54" spans="1:20" s="3" customFormat="1" ht="17.649999999999999" customHeight="1" x14ac:dyDescent="0.2">
      <c r="A54" s="666"/>
      <c r="B54" s="1262" t="s">
        <v>1159</v>
      </c>
      <c r="C54" s="1272">
        <v>0.222108</v>
      </c>
      <c r="D54" s="1273">
        <v>0.3</v>
      </c>
      <c r="E54" s="915">
        <v>250.75</v>
      </c>
      <c r="F54" s="916">
        <v>2.23</v>
      </c>
      <c r="G54" s="917">
        <v>4</v>
      </c>
      <c r="H54" s="1266">
        <f>ROUNDUP(F54/D54,0)</f>
        <v>8</v>
      </c>
      <c r="I54" s="1291">
        <f>G54*E54*C54</f>
        <v>222.77432400000001</v>
      </c>
      <c r="J54" s="931">
        <v>0</v>
      </c>
      <c r="K54" s="932">
        <f t="shared" si="6"/>
        <v>222.77432400000001</v>
      </c>
      <c r="L54" s="4"/>
      <c r="M54" s="666"/>
      <c r="N54" s="258"/>
      <c r="O54" s="666"/>
      <c r="P54" s="666"/>
      <c r="Q54" s="1222"/>
      <c r="R54" s="666"/>
      <c r="S54" s="666"/>
      <c r="T54" s="666"/>
    </row>
    <row r="55" spans="1:20" s="3" customFormat="1" ht="15" thickBot="1" x14ac:dyDescent="0.25">
      <c r="A55" s="666"/>
      <c r="B55" s="1277" t="s">
        <v>1160</v>
      </c>
      <c r="C55" s="1278">
        <v>0.97778799999999999</v>
      </c>
      <c r="D55" s="1279">
        <v>0.48</v>
      </c>
      <c r="E55" s="941">
        <v>399.5</v>
      </c>
      <c r="F55" s="941">
        <v>2.23</v>
      </c>
      <c r="G55" s="1280">
        <v>4</v>
      </c>
      <c r="H55" s="1281" t="s">
        <v>104</v>
      </c>
      <c r="I55" s="1292">
        <f>G55*E55*C55</f>
        <v>1562.505224</v>
      </c>
      <c r="J55" s="933">
        <v>0</v>
      </c>
      <c r="K55" s="934">
        <f t="shared" si="6"/>
        <v>1562.505224</v>
      </c>
      <c r="L55" s="4"/>
      <c r="M55" s="666"/>
      <c r="N55" s="258"/>
      <c r="O55" s="666"/>
      <c r="P55" s="666"/>
      <c r="Q55" s="1222"/>
      <c r="R55" s="666"/>
      <c r="S55" s="666"/>
      <c r="T55" s="666"/>
    </row>
    <row r="56" spans="1:20" s="3" customFormat="1" ht="15" thickBot="1" x14ac:dyDescent="0.25">
      <c r="A56" s="666"/>
      <c r="B56" s="1277" t="s">
        <v>1289</v>
      </c>
      <c r="C56" s="1278"/>
      <c r="D56" s="1279"/>
      <c r="E56" s="941"/>
      <c r="F56" s="941"/>
      <c r="G56" s="1280"/>
      <c r="H56" s="1281"/>
      <c r="I56" s="1282"/>
      <c r="J56" s="943"/>
      <c r="K56" s="944">
        <f t="shared" si="6"/>
        <v>0</v>
      </c>
      <c r="L56" s="920"/>
      <c r="M56" s="920"/>
      <c r="N56" s="258"/>
      <c r="O56" s="666"/>
      <c r="P56" s="666"/>
      <c r="Q56" s="1222"/>
      <c r="R56" s="666"/>
      <c r="S56" s="666"/>
      <c r="T56" s="666"/>
    </row>
    <row r="57" spans="1:20" s="3" customFormat="1" ht="15" thickBot="1" x14ac:dyDescent="0.25">
      <c r="A57" s="666"/>
      <c r="B57" s="840"/>
      <c r="C57" s="921"/>
      <c r="D57" s="921"/>
      <c r="E57" s="921"/>
      <c r="F57" s="258"/>
      <c r="G57" s="841"/>
      <c r="H57" s="258"/>
      <c r="I57" s="927">
        <f>SUM(I49:I55)</f>
        <v>2105.3995479999999</v>
      </c>
      <c r="J57" s="892"/>
      <c r="K57" s="927">
        <f>SUM(K49:K55)</f>
        <v>2105.3995479999999</v>
      </c>
      <c r="L57" s="920"/>
      <c r="M57" s="928"/>
      <c r="N57" s="258"/>
      <c r="O57" s="666"/>
      <c r="P57" s="5"/>
      <c r="Q57" s="1222"/>
      <c r="R57" s="666"/>
      <c r="S57" s="666"/>
      <c r="T57" s="666"/>
    </row>
    <row r="58" spans="1:20" s="3" customFormat="1" ht="14.25" x14ac:dyDescent="0.2">
      <c r="A58" s="666"/>
      <c r="B58" s="840"/>
      <c r="C58" s="921"/>
      <c r="D58" s="921"/>
      <c r="E58" s="921"/>
      <c r="F58" s="258"/>
      <c r="G58" s="841"/>
      <c r="H58" s="258"/>
      <c r="I58" s="935"/>
      <c r="J58" s="892"/>
      <c r="K58" s="935"/>
      <c r="L58" s="920"/>
      <c r="M58" s="928"/>
      <c r="N58" s="258"/>
      <c r="O58" s="666"/>
      <c r="P58" s="666"/>
      <c r="Q58" s="1222"/>
      <c r="R58" s="666"/>
      <c r="S58" s="666"/>
      <c r="T58" s="666"/>
    </row>
    <row r="59" spans="1:20" s="3" customFormat="1" ht="14.25" x14ac:dyDescent="0.2">
      <c r="A59" s="666"/>
      <c r="B59" s="936"/>
      <c r="C59" s="4"/>
      <c r="D59" s="4"/>
      <c r="E59" s="4"/>
      <c r="F59" s="4"/>
      <c r="G59" s="4"/>
      <c r="H59" s="4"/>
      <c r="I59" s="4"/>
      <c r="J59" s="4"/>
      <c r="K59" s="4"/>
      <c r="L59" s="4"/>
      <c r="M59" s="666"/>
      <c r="N59" s="258"/>
      <c r="O59" s="666"/>
      <c r="P59" s="666"/>
      <c r="Q59" s="1222"/>
      <c r="R59" s="666"/>
      <c r="S59" s="666"/>
      <c r="T59" s="666"/>
    </row>
    <row r="60" spans="1:20" s="3" customFormat="1" ht="16.5" thickBot="1" x14ac:dyDescent="0.3">
      <c r="A60" s="666"/>
      <c r="B60" s="909" t="s">
        <v>1170</v>
      </c>
      <c r="C60" s="850"/>
      <c r="D60" s="922"/>
      <c r="E60" s="850"/>
      <c r="F60" s="259"/>
      <c r="G60" s="892"/>
      <c r="H60" s="259"/>
      <c r="I60" s="259"/>
      <c r="J60" s="923"/>
      <c r="K60" s="4"/>
      <c r="L60" s="838"/>
      <c r="M60" s="851"/>
      <c r="N60" s="258"/>
      <c r="O60" s="666"/>
      <c r="P60" s="666"/>
      <c r="Q60" s="1222"/>
      <c r="R60" s="666"/>
      <c r="S60" s="666"/>
      <c r="T60" s="666"/>
    </row>
    <row r="61" spans="1:20" s="3" customFormat="1" ht="53.65" customHeight="1" thickBot="1" x14ac:dyDescent="0.25">
      <c r="A61" s="666"/>
      <c r="B61" s="857"/>
      <c r="C61" s="858" t="s">
        <v>1144</v>
      </c>
      <c r="D61" s="859" t="s">
        <v>1145</v>
      </c>
      <c r="E61" s="859" t="s">
        <v>1146</v>
      </c>
      <c r="F61" s="859" t="s">
        <v>1147</v>
      </c>
      <c r="G61" s="859" t="s">
        <v>1148</v>
      </c>
      <c r="H61" s="859" t="s">
        <v>1149</v>
      </c>
      <c r="I61" s="860" t="s">
        <v>1150</v>
      </c>
      <c r="J61" s="859" t="s">
        <v>1151</v>
      </c>
      <c r="K61" s="837" t="s">
        <v>1152</v>
      </c>
      <c r="L61" s="838"/>
      <c r="M61" s="851"/>
      <c r="N61" s="258"/>
      <c r="O61" s="666"/>
      <c r="P61" s="666"/>
      <c r="Q61" s="1222"/>
      <c r="R61" s="666"/>
      <c r="S61" s="666"/>
      <c r="T61" s="666"/>
    </row>
    <row r="62" spans="1:20" s="3" customFormat="1" ht="14.25" x14ac:dyDescent="0.2">
      <c r="A62" s="666"/>
      <c r="B62" s="1289" t="s">
        <v>1171</v>
      </c>
      <c r="C62" s="1284">
        <v>1</v>
      </c>
      <c r="D62" s="1285">
        <v>600</v>
      </c>
      <c r="E62" s="1285">
        <v>21.32</v>
      </c>
      <c r="F62" s="1286">
        <v>500</v>
      </c>
      <c r="G62" s="1285">
        <v>6</v>
      </c>
      <c r="H62" s="1287">
        <v>1</v>
      </c>
      <c r="I62" s="1288">
        <f>(G62*H62*E62)*C62</f>
        <v>127.92</v>
      </c>
      <c r="J62" s="926">
        <v>0</v>
      </c>
      <c r="K62" s="911">
        <f t="shared" ref="K62:K67" si="7">I62*(1+J62)</f>
        <v>127.92</v>
      </c>
      <c r="L62" s="839"/>
      <c r="M62" s="851"/>
      <c r="N62" s="258"/>
      <c r="O62" s="666"/>
      <c r="P62" s="666"/>
      <c r="Q62" s="1222"/>
      <c r="R62" s="666"/>
      <c r="S62" s="666"/>
      <c r="T62" s="666"/>
    </row>
    <row r="63" spans="1:20" s="3" customFormat="1" ht="14.25" x14ac:dyDescent="0.2">
      <c r="A63" s="666"/>
      <c r="B63" s="1262" t="s">
        <v>1156</v>
      </c>
      <c r="C63" s="1263">
        <v>1</v>
      </c>
      <c r="D63" s="1270">
        <v>160</v>
      </c>
      <c r="E63" s="912">
        <v>15.67</v>
      </c>
      <c r="F63" s="913">
        <v>175</v>
      </c>
      <c r="G63" s="914">
        <v>6</v>
      </c>
      <c r="H63" s="1271" t="s">
        <v>104</v>
      </c>
      <c r="I63" s="1267">
        <f>G63*E63*C63</f>
        <v>94.02</v>
      </c>
      <c r="J63" s="910">
        <v>0</v>
      </c>
      <c r="K63" s="911">
        <f t="shared" si="7"/>
        <v>94.02</v>
      </c>
      <c r="L63" s="4"/>
      <c r="M63" s="666"/>
      <c r="N63" s="258"/>
      <c r="O63" s="666"/>
      <c r="P63" s="666"/>
      <c r="Q63" s="1222"/>
      <c r="R63" s="666"/>
      <c r="S63" s="666"/>
      <c r="T63" s="666"/>
    </row>
    <row r="64" spans="1:20" s="3" customFormat="1" ht="17.649999999999999" customHeight="1" x14ac:dyDescent="0.2">
      <c r="A64" s="666"/>
      <c r="B64" s="1262" t="s">
        <v>1167</v>
      </c>
      <c r="C64" s="1263">
        <v>0.2</v>
      </c>
      <c r="D64" s="1270">
        <v>285</v>
      </c>
      <c r="E64" s="912">
        <v>8.0500000000000007</v>
      </c>
      <c r="F64" s="913">
        <v>285</v>
      </c>
      <c r="G64" s="914">
        <v>6</v>
      </c>
      <c r="H64" s="1271" t="s">
        <v>104</v>
      </c>
      <c r="I64" s="1267">
        <f>G64*E64*C64</f>
        <v>9.6600000000000019</v>
      </c>
      <c r="J64" s="910">
        <v>0</v>
      </c>
      <c r="K64" s="911">
        <f t="shared" si="7"/>
        <v>9.6600000000000019</v>
      </c>
      <c r="L64" s="4"/>
      <c r="M64" s="666"/>
      <c r="N64" s="258"/>
      <c r="O64" s="666"/>
      <c r="P64" s="666"/>
      <c r="Q64" s="1222"/>
      <c r="R64" s="666"/>
      <c r="S64" s="666"/>
      <c r="T64" s="666"/>
    </row>
    <row r="65" spans="1:20" s="3" customFormat="1" ht="14.25" x14ac:dyDescent="0.2">
      <c r="A65" s="666"/>
      <c r="B65" s="1262" t="s">
        <v>1159</v>
      </c>
      <c r="C65" s="1272">
        <v>0.1850986</v>
      </c>
      <c r="D65" s="1273">
        <v>0.3</v>
      </c>
      <c r="E65" s="915">
        <v>250.75</v>
      </c>
      <c r="F65" s="916">
        <v>2.23</v>
      </c>
      <c r="G65" s="917">
        <v>6</v>
      </c>
      <c r="H65" s="1266">
        <f>ROUNDUP(F65/D65,0)</f>
        <v>8</v>
      </c>
      <c r="I65" s="1267">
        <f>G65*E65*C65</f>
        <v>278.48084369999998</v>
      </c>
      <c r="J65" s="910">
        <v>0</v>
      </c>
      <c r="K65" s="911">
        <f t="shared" si="7"/>
        <v>278.48084369999998</v>
      </c>
      <c r="L65" s="4"/>
      <c r="M65" s="666"/>
      <c r="N65" s="258"/>
      <c r="O65" s="666"/>
      <c r="P65" s="666"/>
      <c r="Q65" s="1222"/>
      <c r="R65" s="666"/>
      <c r="S65" s="666"/>
      <c r="T65" s="666"/>
    </row>
    <row r="66" spans="1:20" s="3" customFormat="1" ht="17.649999999999999" customHeight="1" thickBot="1" x14ac:dyDescent="0.25">
      <c r="A66" s="666"/>
      <c r="B66" s="1277" t="s">
        <v>1160</v>
      </c>
      <c r="C66" s="1278">
        <v>0.81490136170000005</v>
      </c>
      <c r="D66" s="1279">
        <v>0.48</v>
      </c>
      <c r="E66" s="941">
        <v>399.5</v>
      </c>
      <c r="F66" s="941">
        <v>2.23</v>
      </c>
      <c r="G66" s="1280">
        <v>6</v>
      </c>
      <c r="H66" s="1281" t="s">
        <v>104</v>
      </c>
      <c r="I66" s="1282">
        <f>G66*E66*C66</f>
        <v>1953.3185639949002</v>
      </c>
      <c r="J66" s="918">
        <v>0</v>
      </c>
      <c r="K66" s="919">
        <f t="shared" si="7"/>
        <v>1953.3185639949002</v>
      </c>
      <c r="L66" s="4"/>
      <c r="M66" s="666"/>
      <c r="N66" s="258"/>
      <c r="O66" s="666"/>
      <c r="P66" s="666"/>
      <c r="Q66" s="1222"/>
      <c r="R66" s="666"/>
      <c r="S66" s="666"/>
      <c r="T66" s="666"/>
    </row>
    <row r="67" spans="1:20" s="3" customFormat="1" ht="15" thickBot="1" x14ac:dyDescent="0.25">
      <c r="A67" s="666"/>
      <c r="B67" s="1277" t="s">
        <v>1289</v>
      </c>
      <c r="C67" s="1278"/>
      <c r="D67" s="1279"/>
      <c r="E67" s="941"/>
      <c r="F67" s="941"/>
      <c r="G67" s="1280"/>
      <c r="H67" s="1281"/>
      <c r="I67" s="1282"/>
      <c r="J67" s="943"/>
      <c r="K67" s="944">
        <f t="shared" si="7"/>
        <v>0</v>
      </c>
      <c r="L67" s="920"/>
      <c r="M67" s="920"/>
      <c r="N67" s="258"/>
      <c r="O67" s="666"/>
      <c r="P67" s="666"/>
      <c r="Q67" s="1222"/>
      <c r="R67" s="666"/>
      <c r="S67" s="666"/>
      <c r="T67" s="666"/>
    </row>
    <row r="68" spans="1:20" s="3" customFormat="1" ht="15" thickBot="1" x14ac:dyDescent="0.25">
      <c r="A68" s="666"/>
      <c r="B68" s="840"/>
      <c r="C68" s="921"/>
      <c r="D68" s="921"/>
      <c r="E68" s="921"/>
      <c r="F68" s="258"/>
      <c r="G68" s="841"/>
      <c r="H68" s="258"/>
      <c r="I68" s="927">
        <f>SUM(I62:I66)</f>
        <v>2463.3994076949002</v>
      </c>
      <c r="J68" s="892"/>
      <c r="K68" s="927">
        <f>SUM(K62:K66)</f>
        <v>2463.3994076949002</v>
      </c>
      <c r="L68" s="920"/>
      <c r="M68" s="928"/>
      <c r="N68" s="258"/>
      <c r="O68" s="666"/>
      <c r="P68" s="5"/>
      <c r="Q68" s="1222"/>
      <c r="R68" s="666"/>
      <c r="S68" s="666"/>
      <c r="T68" s="666"/>
    </row>
    <row r="69" spans="1:20" s="3" customFormat="1" ht="14.25" x14ac:dyDescent="0.2">
      <c r="A69" s="666"/>
      <c r="B69" s="852"/>
      <c r="C69" s="921"/>
      <c r="D69" s="921"/>
      <c r="E69" s="921"/>
      <c r="F69" s="258"/>
      <c r="G69" s="841"/>
      <c r="H69" s="258"/>
      <c r="I69" s="935"/>
      <c r="J69" s="892"/>
      <c r="K69" s="935"/>
      <c r="L69" s="920"/>
      <c r="M69" s="928"/>
      <c r="N69" s="258"/>
      <c r="O69" s="666"/>
      <c r="P69" s="666"/>
      <c r="Q69" s="1222"/>
      <c r="R69" s="666"/>
      <c r="S69" s="666"/>
      <c r="T69" s="666"/>
    </row>
    <row r="70" spans="1:20" s="3" customFormat="1" ht="16.5" thickBot="1" x14ac:dyDescent="0.3">
      <c r="A70" s="666"/>
      <c r="B70" s="909" t="s">
        <v>1172</v>
      </c>
      <c r="C70" s="850"/>
      <c r="D70" s="922"/>
      <c r="E70" s="850"/>
      <c r="F70" s="259"/>
      <c r="G70" s="892"/>
      <c r="H70" s="259"/>
      <c r="I70" s="259"/>
      <c r="J70" s="923"/>
      <c r="K70" s="4"/>
      <c r="L70" s="838"/>
      <c r="M70" s="851"/>
      <c r="N70" s="258"/>
      <c r="O70" s="666"/>
      <c r="P70" s="666"/>
      <c r="Q70" s="666"/>
      <c r="R70" s="666"/>
      <c r="S70" s="666"/>
      <c r="T70" s="666"/>
    </row>
    <row r="71" spans="1:20" s="3" customFormat="1" ht="39" thickBot="1" x14ac:dyDescent="0.25">
      <c r="A71" s="666"/>
      <c r="B71" s="857"/>
      <c r="C71" s="858" t="s">
        <v>1144</v>
      </c>
      <c r="D71" s="859" t="s">
        <v>1145</v>
      </c>
      <c r="E71" s="859" t="s">
        <v>1146</v>
      </c>
      <c r="F71" s="859" t="s">
        <v>1147</v>
      </c>
      <c r="G71" s="859" t="s">
        <v>1148</v>
      </c>
      <c r="H71" s="859" t="s">
        <v>1149</v>
      </c>
      <c r="I71" s="860" t="s">
        <v>1150</v>
      </c>
      <c r="J71" s="835" t="s">
        <v>1151</v>
      </c>
      <c r="K71" s="837" t="s">
        <v>1152</v>
      </c>
      <c r="L71" s="838"/>
      <c r="M71" s="851"/>
      <c r="N71" s="258"/>
      <c r="O71" s="666"/>
      <c r="P71" s="666"/>
      <c r="Q71" s="666"/>
      <c r="R71" s="666"/>
      <c r="S71" s="666"/>
      <c r="T71" s="666"/>
    </row>
    <row r="72" spans="1:20" s="3" customFormat="1" ht="14.25" x14ac:dyDescent="0.2">
      <c r="A72" s="666"/>
      <c r="B72" s="1289" t="s">
        <v>1156</v>
      </c>
      <c r="C72" s="1284">
        <v>1</v>
      </c>
      <c r="D72" s="1293">
        <v>160</v>
      </c>
      <c r="E72" s="937">
        <v>15.67</v>
      </c>
      <c r="F72" s="938">
        <v>175</v>
      </c>
      <c r="G72" s="939">
        <v>6</v>
      </c>
      <c r="H72" s="1287">
        <f>ROUNDUP(F72/D72,0)</f>
        <v>2</v>
      </c>
      <c r="I72" s="1290">
        <f t="shared" ref="I72:I77" si="8">G72*E72*C72</f>
        <v>94.02</v>
      </c>
      <c r="J72" s="931">
        <v>0</v>
      </c>
      <c r="K72" s="932">
        <f t="shared" ref="K72:K78" si="9">I72*(1+J72)</f>
        <v>94.02</v>
      </c>
      <c r="L72" s="4"/>
      <c r="M72" s="666"/>
      <c r="N72" s="258"/>
      <c r="O72" s="666"/>
      <c r="P72" s="666"/>
      <c r="Q72" s="666"/>
      <c r="R72" s="666"/>
      <c r="S72" s="666"/>
      <c r="T72" s="666"/>
    </row>
    <row r="73" spans="1:20" s="3" customFormat="1" ht="14.25" x14ac:dyDescent="0.2">
      <c r="A73" s="666"/>
      <c r="B73" s="1262" t="s">
        <v>1173</v>
      </c>
      <c r="C73" s="1263">
        <v>1</v>
      </c>
      <c r="D73" s="1270">
        <v>200</v>
      </c>
      <c r="E73" s="912">
        <v>16.600000000000001</v>
      </c>
      <c r="F73" s="913">
        <v>87.5</v>
      </c>
      <c r="G73" s="914">
        <v>6</v>
      </c>
      <c r="H73" s="1266">
        <f>ROUNDUP(F73/D73,0)</f>
        <v>1</v>
      </c>
      <c r="I73" s="1291">
        <f t="shared" si="8"/>
        <v>99.600000000000009</v>
      </c>
      <c r="J73" s="931">
        <v>0</v>
      </c>
      <c r="K73" s="932">
        <f t="shared" si="9"/>
        <v>99.600000000000009</v>
      </c>
      <c r="L73" s="4"/>
      <c r="M73" s="666"/>
      <c r="N73" s="258"/>
      <c r="O73" s="666"/>
      <c r="P73" s="666"/>
      <c r="Q73" s="666"/>
      <c r="R73" s="666"/>
      <c r="S73" s="666"/>
      <c r="T73" s="666"/>
    </row>
    <row r="74" spans="1:20" s="3" customFormat="1" ht="14.25" x14ac:dyDescent="0.2">
      <c r="A74" s="666"/>
      <c r="B74" s="1262" t="s">
        <v>1155</v>
      </c>
      <c r="C74" s="1263">
        <v>1</v>
      </c>
      <c r="D74" s="1270">
        <v>1000</v>
      </c>
      <c r="E74" s="912">
        <v>13.23</v>
      </c>
      <c r="F74" s="913">
        <v>875</v>
      </c>
      <c r="G74" s="914">
        <v>6</v>
      </c>
      <c r="H74" s="1271" t="s">
        <v>104</v>
      </c>
      <c r="I74" s="1291">
        <f t="shared" si="8"/>
        <v>79.38</v>
      </c>
      <c r="J74" s="931">
        <v>0</v>
      </c>
      <c r="K74" s="932">
        <f t="shared" si="9"/>
        <v>79.38</v>
      </c>
      <c r="L74" s="4"/>
      <c r="M74" s="666"/>
      <c r="N74" s="258"/>
      <c r="O74" s="666"/>
      <c r="P74" s="666"/>
      <c r="Q74" s="666"/>
      <c r="R74" s="666"/>
      <c r="S74" s="666"/>
      <c r="T74" s="666"/>
    </row>
    <row r="75" spans="1:20" s="3" customFormat="1" ht="17.649999999999999" customHeight="1" x14ac:dyDescent="0.2">
      <c r="A75" s="666"/>
      <c r="B75" s="1262" t="s">
        <v>1167</v>
      </c>
      <c r="C75" s="1263">
        <v>0.2</v>
      </c>
      <c r="D75" s="1270">
        <v>285</v>
      </c>
      <c r="E75" s="912">
        <v>8.0500000000000007</v>
      </c>
      <c r="F75" s="913">
        <v>285</v>
      </c>
      <c r="G75" s="914">
        <v>6</v>
      </c>
      <c r="H75" s="1271" t="s">
        <v>104</v>
      </c>
      <c r="I75" s="1291">
        <f t="shared" si="8"/>
        <v>9.6600000000000019</v>
      </c>
      <c r="J75" s="931">
        <v>0</v>
      </c>
      <c r="K75" s="932">
        <f t="shared" si="9"/>
        <v>9.6600000000000019</v>
      </c>
      <c r="L75" s="4"/>
      <c r="M75" s="666"/>
      <c r="N75" s="258"/>
      <c r="O75" s="666"/>
      <c r="P75" s="666"/>
      <c r="Q75" s="666"/>
      <c r="R75" s="666"/>
      <c r="S75" s="666"/>
      <c r="T75" s="666"/>
    </row>
    <row r="76" spans="1:20" s="3" customFormat="1" ht="17.649999999999999" customHeight="1" x14ac:dyDescent="0.2">
      <c r="A76" s="666"/>
      <c r="B76" s="1262" t="s">
        <v>1159</v>
      </c>
      <c r="C76" s="1272">
        <v>0.1850986</v>
      </c>
      <c r="D76" s="1273">
        <v>0.3</v>
      </c>
      <c r="E76" s="915">
        <v>250.75</v>
      </c>
      <c r="F76" s="916">
        <v>2.23</v>
      </c>
      <c r="G76" s="917">
        <v>6</v>
      </c>
      <c r="H76" s="1266">
        <f>ROUNDUP(F76/D76,0)</f>
        <v>8</v>
      </c>
      <c r="I76" s="1291">
        <f t="shared" si="8"/>
        <v>278.48084369999998</v>
      </c>
      <c r="J76" s="931">
        <v>0</v>
      </c>
      <c r="K76" s="932">
        <f t="shared" si="9"/>
        <v>278.48084369999998</v>
      </c>
      <c r="L76" s="4"/>
      <c r="M76" s="666"/>
      <c r="N76" s="258"/>
      <c r="O76" s="666"/>
      <c r="P76" s="666"/>
      <c r="Q76" s="666"/>
      <c r="R76" s="666"/>
      <c r="S76" s="666"/>
      <c r="T76" s="666"/>
    </row>
    <row r="77" spans="1:20" s="3" customFormat="1" ht="17.649999999999999" customHeight="1" thickBot="1" x14ac:dyDescent="0.25">
      <c r="A77" s="666"/>
      <c r="B77" s="1277" t="s">
        <v>1160</v>
      </c>
      <c r="C77" s="1278">
        <v>0.81490136170000005</v>
      </c>
      <c r="D77" s="1279">
        <v>0.48</v>
      </c>
      <c r="E77" s="941">
        <v>399.5</v>
      </c>
      <c r="F77" s="941">
        <v>2.23</v>
      </c>
      <c r="G77" s="1280">
        <v>6</v>
      </c>
      <c r="H77" s="1281" t="s">
        <v>104</v>
      </c>
      <c r="I77" s="1292">
        <f t="shared" si="8"/>
        <v>1953.3185639949002</v>
      </c>
      <c r="J77" s="933">
        <v>0</v>
      </c>
      <c r="K77" s="934">
        <f t="shared" si="9"/>
        <v>1953.3185639949002</v>
      </c>
      <c r="L77" s="4"/>
      <c r="M77" s="666"/>
      <c r="N77" s="258"/>
      <c r="O77" s="666"/>
      <c r="P77" s="666"/>
      <c r="Q77" s="666"/>
      <c r="R77" s="666"/>
      <c r="S77" s="666"/>
      <c r="T77" s="666"/>
    </row>
    <row r="78" spans="1:20" s="3" customFormat="1" ht="15" thickBot="1" x14ac:dyDescent="0.25">
      <c r="A78" s="666"/>
      <c r="B78" s="1277" t="s">
        <v>1289</v>
      </c>
      <c r="C78" s="1278"/>
      <c r="D78" s="1279"/>
      <c r="E78" s="941"/>
      <c r="F78" s="941"/>
      <c r="G78" s="1280"/>
      <c r="H78" s="1281"/>
      <c r="I78" s="1282"/>
      <c r="J78" s="943"/>
      <c r="K78" s="944">
        <f t="shared" si="9"/>
        <v>0</v>
      </c>
      <c r="L78" s="920"/>
      <c r="M78" s="920"/>
      <c r="N78" s="258"/>
      <c r="O78" s="666"/>
      <c r="P78" s="666"/>
      <c r="Q78" s="1222"/>
      <c r="R78" s="666"/>
      <c r="S78" s="666"/>
      <c r="T78" s="666"/>
    </row>
    <row r="79" spans="1:20" s="3" customFormat="1" ht="15" thickBot="1" x14ac:dyDescent="0.25">
      <c r="A79" s="666"/>
      <c r="B79" s="840"/>
      <c r="C79" s="921"/>
      <c r="D79" s="921"/>
      <c r="E79" s="921"/>
      <c r="F79" s="258"/>
      <c r="G79" s="841"/>
      <c r="H79" s="258"/>
      <c r="I79" s="927">
        <f>SUM(I72:I77)</f>
        <v>2514.4594076949002</v>
      </c>
      <c r="J79" s="892"/>
      <c r="K79" s="927">
        <f>SUM(K72:K77)</f>
        <v>2514.4594076949002</v>
      </c>
      <c r="L79" s="920"/>
      <c r="M79" s="928"/>
      <c r="N79" s="258"/>
      <c r="O79" s="666"/>
      <c r="P79" s="666"/>
      <c r="Q79" s="666"/>
      <c r="R79" s="666"/>
      <c r="S79" s="666"/>
      <c r="T79" s="666"/>
    </row>
    <row r="80" spans="1:20" s="3" customFormat="1" ht="14.25" x14ac:dyDescent="0.2">
      <c r="A80" s="666"/>
      <c r="B80" s="840"/>
      <c r="C80" s="921"/>
      <c r="D80" s="921"/>
      <c r="E80" s="921"/>
      <c r="F80" s="258"/>
      <c r="G80" s="841"/>
      <c r="H80" s="258"/>
      <c r="I80" s="935"/>
      <c r="J80" s="892"/>
      <c r="K80" s="935"/>
      <c r="L80" s="920"/>
      <c r="M80" s="928"/>
      <c r="N80" s="258"/>
      <c r="O80" s="666"/>
      <c r="P80" s="666"/>
      <c r="Q80" s="666"/>
      <c r="R80" s="666"/>
      <c r="S80" s="666"/>
      <c r="T80" s="666"/>
    </row>
    <row r="81" spans="1:20" s="3" customFormat="1" ht="14.25" x14ac:dyDescent="0.2">
      <c r="A81" s="666"/>
      <c r="B81" s="840"/>
      <c r="C81" s="921"/>
      <c r="D81" s="921"/>
      <c r="E81" s="921"/>
      <c r="F81" s="258"/>
      <c r="G81" s="841"/>
      <c r="H81" s="258"/>
      <c r="I81" s="935"/>
      <c r="J81" s="892"/>
      <c r="K81" s="935"/>
      <c r="L81" s="920"/>
      <c r="M81" s="928"/>
      <c r="N81" s="258"/>
      <c r="O81" s="666"/>
      <c r="P81" s="666"/>
      <c r="Q81" s="666"/>
      <c r="R81" s="666"/>
      <c r="S81" s="666"/>
      <c r="T81" s="666"/>
    </row>
    <row r="82" spans="1:20" s="3" customFormat="1" ht="14.25" x14ac:dyDescent="0.2">
      <c r="A82" s="666"/>
      <c r="B82" s="840"/>
      <c r="C82" s="921"/>
      <c r="D82" s="921"/>
      <c r="E82" s="921"/>
      <c r="F82" s="258"/>
      <c r="G82" s="841"/>
      <c r="H82" s="258"/>
      <c r="I82" s="935"/>
      <c r="J82" s="892"/>
      <c r="K82" s="935"/>
      <c r="L82" s="920"/>
      <c r="M82" s="928"/>
      <c r="N82" s="258"/>
      <c r="O82" s="666"/>
      <c r="P82" s="666"/>
      <c r="Q82" s="666"/>
      <c r="R82" s="666"/>
      <c r="S82" s="666"/>
      <c r="T82" s="666"/>
    </row>
    <row r="83" spans="1:20" s="3" customFormat="1" ht="16.5" thickBot="1" x14ac:dyDescent="0.3">
      <c r="A83" s="666"/>
      <c r="B83" s="930" t="s">
        <v>1174</v>
      </c>
      <c r="C83" s="850"/>
      <c r="D83" s="850"/>
      <c r="E83" s="850"/>
      <c r="F83" s="259"/>
      <c r="G83" s="259"/>
      <c r="H83" s="259"/>
      <c r="I83" s="259"/>
      <c r="J83" s="923"/>
      <c r="K83" s="839"/>
      <c r="L83" s="839"/>
      <c r="M83" s="851"/>
      <c r="N83" s="258"/>
      <c r="O83" s="666"/>
      <c r="P83" s="666"/>
      <c r="Q83" s="666"/>
      <c r="R83" s="666"/>
      <c r="S83" s="666"/>
      <c r="T83" s="666"/>
    </row>
    <row r="84" spans="1:20" s="3" customFormat="1" ht="39" thickBot="1" x14ac:dyDescent="0.25">
      <c r="A84" s="666"/>
      <c r="B84" s="857"/>
      <c r="C84" s="858" t="s">
        <v>1144</v>
      </c>
      <c r="D84" s="859" t="s">
        <v>1145</v>
      </c>
      <c r="E84" s="859" t="s">
        <v>1146</v>
      </c>
      <c r="F84" s="859" t="s">
        <v>1147</v>
      </c>
      <c r="G84" s="859" t="s">
        <v>1148</v>
      </c>
      <c r="H84" s="859" t="s">
        <v>1149</v>
      </c>
      <c r="I84" s="860" t="s">
        <v>1150</v>
      </c>
      <c r="J84" s="859" t="s">
        <v>1151</v>
      </c>
      <c r="K84" s="837" t="s">
        <v>1152</v>
      </c>
      <c r="L84" s="838"/>
      <c r="M84" s="851"/>
      <c r="N84" s="258"/>
      <c r="O84" s="666"/>
      <c r="P84" s="666"/>
      <c r="Q84" s="666"/>
      <c r="R84" s="666"/>
      <c r="S84" s="666"/>
      <c r="T84" s="666"/>
    </row>
    <row r="85" spans="1:20" s="3" customFormat="1" ht="14.25" x14ac:dyDescent="0.2">
      <c r="A85" s="666"/>
      <c r="B85" s="1289" t="s">
        <v>1169</v>
      </c>
      <c r="C85" s="1284">
        <v>1</v>
      </c>
      <c r="D85" s="1285">
        <v>50</v>
      </c>
      <c r="E85" s="1285">
        <v>9.8699999999999992</v>
      </c>
      <c r="F85" s="1286">
        <v>157.5</v>
      </c>
      <c r="G85" s="1285">
        <v>4</v>
      </c>
      <c r="H85" s="1287">
        <f>ROUNDUP(F85/D85,0)</f>
        <v>4</v>
      </c>
      <c r="I85" s="1288">
        <f>(G85*H85*E85)*C85</f>
        <v>157.91999999999999</v>
      </c>
      <c r="J85" s="926">
        <v>0</v>
      </c>
      <c r="K85" s="911">
        <f t="shared" ref="K85:K92" si="10">I85*(1+J85)</f>
        <v>157.91999999999999</v>
      </c>
      <c r="L85" s="838"/>
      <c r="M85" s="851"/>
      <c r="N85" s="258"/>
      <c r="O85" s="666"/>
      <c r="P85" s="666"/>
      <c r="Q85" s="666"/>
      <c r="R85" s="666"/>
      <c r="S85" s="666"/>
      <c r="T85" s="666"/>
    </row>
    <row r="86" spans="1:20" s="3" customFormat="1" ht="14.25" x14ac:dyDescent="0.2">
      <c r="A86" s="666"/>
      <c r="B86" s="1268" t="s">
        <v>1155</v>
      </c>
      <c r="C86" s="1263">
        <v>1</v>
      </c>
      <c r="D86" s="1264">
        <v>1000</v>
      </c>
      <c r="E86" s="1264">
        <v>13.23</v>
      </c>
      <c r="F86" s="1265">
        <v>1050</v>
      </c>
      <c r="G86" s="1264">
        <v>4</v>
      </c>
      <c r="H86" s="1266">
        <v>1</v>
      </c>
      <c r="I86" s="1267">
        <f>(G86*H86*E86)*C86</f>
        <v>52.92</v>
      </c>
      <c r="J86" s="910">
        <v>0</v>
      </c>
      <c r="K86" s="911">
        <f t="shared" si="10"/>
        <v>52.92</v>
      </c>
      <c r="L86" s="839"/>
      <c r="M86" s="851"/>
      <c r="N86" s="258"/>
      <c r="O86" s="666"/>
      <c r="P86" s="666"/>
      <c r="Q86" s="666"/>
      <c r="R86" s="666"/>
      <c r="S86" s="666"/>
      <c r="T86" s="666"/>
    </row>
    <row r="87" spans="1:20" s="3" customFormat="1" ht="14.25" x14ac:dyDescent="0.2">
      <c r="A87" s="666"/>
      <c r="B87" s="1262" t="s">
        <v>1166</v>
      </c>
      <c r="C87" s="1263">
        <v>1</v>
      </c>
      <c r="D87" s="1264">
        <v>500</v>
      </c>
      <c r="E87" s="1264">
        <v>8.43</v>
      </c>
      <c r="F87" s="1265">
        <v>500</v>
      </c>
      <c r="G87" s="1264">
        <v>4</v>
      </c>
      <c r="H87" s="1266">
        <v>1</v>
      </c>
      <c r="I87" s="1267">
        <f>(G87*H87*E87)*C87</f>
        <v>33.72</v>
      </c>
      <c r="J87" s="910">
        <v>0</v>
      </c>
      <c r="K87" s="911">
        <f t="shared" si="10"/>
        <v>33.72</v>
      </c>
      <c r="L87" s="839"/>
      <c r="M87" s="851"/>
      <c r="N87" s="258"/>
      <c r="O87" s="666"/>
      <c r="P87" s="666"/>
      <c r="Q87" s="666"/>
      <c r="R87" s="666"/>
      <c r="S87" s="666"/>
      <c r="T87" s="666"/>
    </row>
    <row r="88" spans="1:20" s="3" customFormat="1" ht="14.25" x14ac:dyDescent="0.2">
      <c r="A88" s="666"/>
      <c r="B88" s="1262" t="s">
        <v>1175</v>
      </c>
      <c r="C88" s="1263">
        <v>1</v>
      </c>
      <c r="D88" s="1270">
        <v>150</v>
      </c>
      <c r="E88" s="912">
        <v>12.93</v>
      </c>
      <c r="F88" s="913">
        <v>306.25</v>
      </c>
      <c r="G88" s="914">
        <v>4</v>
      </c>
      <c r="H88" s="1266">
        <f>ROUNDUP(F88/D88,0)</f>
        <v>3</v>
      </c>
      <c r="I88" s="1267">
        <f>(G88*H88*E88)*C88</f>
        <v>155.16</v>
      </c>
      <c r="J88" s="910">
        <v>0</v>
      </c>
      <c r="K88" s="911">
        <f t="shared" si="10"/>
        <v>155.16</v>
      </c>
      <c r="L88" s="4"/>
      <c r="M88" s="666"/>
      <c r="N88" s="258"/>
      <c r="O88" s="666"/>
      <c r="P88" s="666"/>
      <c r="Q88" s="666"/>
      <c r="R88" s="666"/>
      <c r="S88" s="666"/>
      <c r="T88" s="666"/>
    </row>
    <row r="89" spans="1:20" s="3" customFormat="1" ht="17.649999999999999" customHeight="1" x14ac:dyDescent="0.2">
      <c r="A89" s="666"/>
      <c r="B89" s="1262" t="s">
        <v>1167</v>
      </c>
      <c r="C89" s="1263">
        <v>0.2</v>
      </c>
      <c r="D89" s="1270">
        <v>285</v>
      </c>
      <c r="E89" s="912">
        <v>8.0500000000000007</v>
      </c>
      <c r="F89" s="913">
        <v>285</v>
      </c>
      <c r="G89" s="914">
        <v>8</v>
      </c>
      <c r="H89" s="1271" t="s">
        <v>104</v>
      </c>
      <c r="I89" s="1267">
        <f>G89*E89*C89</f>
        <v>12.880000000000003</v>
      </c>
      <c r="J89" s="910">
        <v>0</v>
      </c>
      <c r="K89" s="911">
        <f t="shared" si="10"/>
        <v>12.880000000000003</v>
      </c>
      <c r="L89" s="4"/>
      <c r="M89" s="666"/>
      <c r="N89" s="258"/>
      <c r="O89" s="666"/>
      <c r="P89" s="666"/>
      <c r="Q89" s="666"/>
      <c r="R89" s="666"/>
      <c r="S89" s="666"/>
      <c r="T89" s="666"/>
    </row>
    <row r="90" spans="1:20" s="3" customFormat="1" ht="14.25" x14ac:dyDescent="0.2">
      <c r="A90" s="666"/>
      <c r="B90" s="1262" t="s">
        <v>1159</v>
      </c>
      <c r="C90" s="1272">
        <v>0.1850986</v>
      </c>
      <c r="D90" s="1273">
        <v>0.3</v>
      </c>
      <c r="E90" s="915">
        <v>250.75</v>
      </c>
      <c r="F90" s="916">
        <v>2.23</v>
      </c>
      <c r="G90" s="917">
        <v>8</v>
      </c>
      <c r="H90" s="1266">
        <f>ROUNDUP(F90/D90,0)</f>
        <v>8</v>
      </c>
      <c r="I90" s="1267">
        <f>G90*E90*C90</f>
        <v>371.30779160000003</v>
      </c>
      <c r="J90" s="910">
        <v>0</v>
      </c>
      <c r="K90" s="911">
        <f t="shared" si="10"/>
        <v>371.30779160000003</v>
      </c>
      <c r="L90" s="4"/>
      <c r="M90" s="666"/>
      <c r="N90" s="666"/>
      <c r="O90" s="666"/>
      <c r="P90" s="666"/>
      <c r="Q90" s="666"/>
      <c r="R90" s="666"/>
      <c r="S90" s="666"/>
      <c r="T90" s="666"/>
    </row>
    <row r="91" spans="1:20" s="3" customFormat="1" ht="15" thickBot="1" x14ac:dyDescent="0.25">
      <c r="A91" s="666"/>
      <c r="B91" s="1277" t="s">
        <v>1160</v>
      </c>
      <c r="C91" s="1278">
        <v>0.81490136170000005</v>
      </c>
      <c r="D91" s="1279">
        <v>0.48</v>
      </c>
      <c r="E91" s="941">
        <v>399.5</v>
      </c>
      <c r="F91" s="941">
        <v>2.23</v>
      </c>
      <c r="G91" s="1280">
        <v>8</v>
      </c>
      <c r="H91" s="1281" t="s">
        <v>104</v>
      </c>
      <c r="I91" s="1282">
        <f>G91*E91*C91</f>
        <v>2604.4247519932001</v>
      </c>
      <c r="J91" s="918">
        <v>0</v>
      </c>
      <c r="K91" s="919">
        <f t="shared" si="10"/>
        <v>2604.4247519932001</v>
      </c>
      <c r="L91" s="4"/>
      <c r="M91" s="666"/>
      <c r="N91" s="666"/>
      <c r="O91" s="666"/>
      <c r="P91" s="666"/>
      <c r="Q91" s="666"/>
      <c r="R91" s="666"/>
      <c r="S91" s="666"/>
      <c r="T91" s="666"/>
    </row>
    <row r="92" spans="1:20" s="3" customFormat="1" ht="15" thickBot="1" x14ac:dyDescent="0.25">
      <c r="A92" s="666"/>
      <c r="B92" s="1277" t="s">
        <v>1289</v>
      </c>
      <c r="C92" s="1278"/>
      <c r="D92" s="1279"/>
      <c r="E92" s="941"/>
      <c r="F92" s="941"/>
      <c r="G92" s="1280"/>
      <c r="H92" s="1281"/>
      <c r="I92" s="1282"/>
      <c r="J92" s="943"/>
      <c r="K92" s="944">
        <f t="shared" si="10"/>
        <v>0</v>
      </c>
      <c r="L92" s="920"/>
      <c r="M92" s="920"/>
      <c r="N92" s="258"/>
      <c r="O92" s="666"/>
      <c r="P92" s="666"/>
      <c r="Q92" s="1222"/>
      <c r="R92" s="666"/>
      <c r="S92" s="666"/>
      <c r="T92" s="666"/>
    </row>
    <row r="93" spans="1:20" s="3" customFormat="1" ht="15" thickBot="1" x14ac:dyDescent="0.25">
      <c r="A93" s="666"/>
      <c r="B93" s="840"/>
      <c r="C93" s="921"/>
      <c r="D93" s="921"/>
      <c r="E93" s="921"/>
      <c r="F93" s="258"/>
      <c r="G93" s="841"/>
      <c r="H93" s="258"/>
      <c r="I93" s="927">
        <f>SUM(I85:I91)</f>
        <v>3388.3325435932002</v>
      </c>
      <c r="J93" s="892"/>
      <c r="K93" s="927">
        <f>SUM(K85:K91)</f>
        <v>3388.3325435932002</v>
      </c>
      <c r="L93" s="920"/>
      <c r="M93" s="928"/>
      <c r="N93" s="666"/>
      <c r="O93" s="666"/>
      <c r="P93" s="666"/>
      <c r="Q93" s="666"/>
      <c r="R93" s="666"/>
      <c r="S93" s="666"/>
      <c r="T93" s="666"/>
    </row>
    <row r="94" spans="1:20" s="3" customFormat="1" ht="14.25" x14ac:dyDescent="0.2">
      <c r="A94" s="666"/>
      <c r="B94" s="922"/>
      <c r="C94" s="850"/>
      <c r="D94" s="922"/>
      <c r="E94" s="850">
        <v>368.44455785389198</v>
      </c>
      <c r="F94" s="259"/>
      <c r="G94" s="904"/>
      <c r="H94" s="259"/>
      <c r="I94" s="259"/>
      <c r="J94" s="923"/>
      <c r="K94" s="4"/>
      <c r="L94" s="832"/>
      <c r="M94" s="924"/>
      <c r="N94" s="258"/>
      <c r="O94" s="666"/>
      <c r="P94" s="666"/>
      <c r="Q94" s="666"/>
      <c r="R94" s="666"/>
      <c r="S94" s="666"/>
      <c r="T94" s="666"/>
    </row>
    <row r="95" spans="1:20" s="3" customFormat="1" ht="14.25" x14ac:dyDescent="0.2">
      <c r="A95" s="666"/>
      <c r="B95" s="666"/>
      <c r="C95" s="666"/>
      <c r="D95" s="666"/>
      <c r="E95" s="666"/>
      <c r="F95" s="666"/>
      <c r="G95" s="666"/>
      <c r="H95" s="666"/>
      <c r="I95" s="666"/>
      <c r="J95" s="666"/>
      <c r="K95" s="666"/>
      <c r="L95" s="666"/>
      <c r="M95" s="666"/>
      <c r="N95" s="258"/>
      <c r="O95" s="666"/>
      <c r="P95" s="666"/>
      <c r="Q95" s="666"/>
      <c r="R95" s="666"/>
      <c r="S95" s="666"/>
      <c r="T95" s="666"/>
    </row>
    <row r="96" spans="1:20" s="3" customFormat="1" ht="14.25" x14ac:dyDescent="0.2">
      <c r="A96" s="666"/>
      <c r="B96" s="666"/>
      <c r="C96" s="666"/>
      <c r="D96" s="666"/>
      <c r="E96" s="666"/>
      <c r="F96" s="666"/>
      <c r="G96" s="666"/>
      <c r="H96" s="666"/>
      <c r="I96" s="666"/>
      <c r="J96" s="666"/>
      <c r="K96" s="666"/>
      <c r="L96" s="666"/>
      <c r="M96" s="666"/>
      <c r="N96" s="258"/>
      <c r="O96" s="666"/>
      <c r="P96" s="666"/>
      <c r="Q96" s="666"/>
      <c r="R96" s="666"/>
      <c r="S96" s="666"/>
      <c r="T96" s="666"/>
    </row>
    <row r="97" spans="1:20" s="3" customFormat="1" ht="17.649999999999999" customHeight="1" thickBot="1" x14ac:dyDescent="0.3">
      <c r="A97" s="666"/>
      <c r="B97" s="930" t="s">
        <v>1176</v>
      </c>
      <c r="C97" s="850"/>
      <c r="D97" s="850"/>
      <c r="E97" s="850"/>
      <c r="F97" s="259"/>
      <c r="G97" s="259"/>
      <c r="H97" s="259"/>
      <c r="I97" s="259"/>
      <c r="J97" s="923"/>
      <c r="K97" s="839"/>
      <c r="L97" s="839"/>
      <c r="M97" s="851"/>
      <c r="N97" s="258"/>
      <c r="O97" s="666"/>
      <c r="P97" s="666"/>
      <c r="Q97" s="666"/>
      <c r="R97" s="666"/>
      <c r="S97" s="666"/>
      <c r="T97" s="666"/>
    </row>
    <row r="98" spans="1:20" s="3" customFormat="1" ht="38.25" x14ac:dyDescent="0.2">
      <c r="A98" s="666"/>
      <c r="B98" s="833"/>
      <c r="C98" s="834" t="s">
        <v>1144</v>
      </c>
      <c r="D98" s="835" t="s">
        <v>1145</v>
      </c>
      <c r="E98" s="835" t="s">
        <v>1146</v>
      </c>
      <c r="F98" s="835" t="s">
        <v>1147</v>
      </c>
      <c r="G98" s="835" t="s">
        <v>1148</v>
      </c>
      <c r="H98" s="835" t="s">
        <v>1149</v>
      </c>
      <c r="I98" s="836" t="s">
        <v>1150</v>
      </c>
      <c r="J98" s="835" t="s">
        <v>1151</v>
      </c>
      <c r="K98" s="837" t="s">
        <v>1152</v>
      </c>
      <c r="L98" s="838"/>
      <c r="M98" s="851"/>
      <c r="N98" s="666"/>
      <c r="O98" s="666"/>
      <c r="P98" s="666"/>
      <c r="Q98" s="666"/>
      <c r="R98" s="666"/>
      <c r="S98" s="666"/>
      <c r="T98" s="666"/>
    </row>
    <row r="99" spans="1:20" s="3" customFormat="1" ht="15" thickBot="1" x14ac:dyDescent="0.25">
      <c r="A99" s="666"/>
      <c r="B99" s="1277" t="s">
        <v>1175</v>
      </c>
      <c r="C99" s="1294">
        <v>1</v>
      </c>
      <c r="D99" s="1280">
        <v>150</v>
      </c>
      <c r="E99" s="940">
        <v>12.93</v>
      </c>
      <c r="F99" s="941">
        <v>306.25</v>
      </c>
      <c r="G99" s="942">
        <v>4</v>
      </c>
      <c r="H99" s="1295">
        <v>3</v>
      </c>
      <c r="I99" s="1282">
        <f>(G99*H99*E99)*C99</f>
        <v>155.16</v>
      </c>
      <c r="J99" s="943">
        <v>0</v>
      </c>
      <c r="K99" s="944">
        <f t="shared" ref="K99:K100" si="11">I99*(1+J99)</f>
        <v>155.16</v>
      </c>
      <c r="L99" s="4"/>
      <c r="M99" s="666"/>
      <c r="N99" s="666"/>
      <c r="O99" s="666"/>
      <c r="P99" s="666"/>
      <c r="Q99" s="666"/>
      <c r="R99" s="666"/>
      <c r="S99" s="666"/>
      <c r="T99" s="666"/>
    </row>
    <row r="100" spans="1:20" s="3" customFormat="1" ht="15" thickBot="1" x14ac:dyDescent="0.25">
      <c r="A100" s="666"/>
      <c r="B100" s="1277" t="s">
        <v>1289</v>
      </c>
      <c r="C100" s="1278"/>
      <c r="D100" s="1279"/>
      <c r="E100" s="941"/>
      <c r="F100" s="941"/>
      <c r="G100" s="1280"/>
      <c r="H100" s="1281"/>
      <c r="I100" s="1282"/>
      <c r="J100" s="943"/>
      <c r="K100" s="944">
        <f t="shared" si="11"/>
        <v>0</v>
      </c>
      <c r="L100" s="920"/>
      <c r="M100" s="920"/>
      <c r="N100" s="258"/>
      <c r="O100" s="666"/>
      <c r="P100" s="666"/>
      <c r="Q100" s="1222"/>
      <c r="R100" s="666"/>
      <c r="S100" s="666"/>
      <c r="T100" s="666"/>
    </row>
    <row r="101" spans="1:20" s="3" customFormat="1" ht="15" thickBot="1" x14ac:dyDescent="0.25">
      <c r="A101" s="666"/>
      <c r="B101" s="840"/>
      <c r="C101" s="921"/>
      <c r="D101" s="921"/>
      <c r="E101" s="921"/>
      <c r="F101" s="258"/>
      <c r="G101" s="841"/>
      <c r="H101" s="258"/>
      <c r="I101" s="945">
        <f>SUM(I99:I99)</f>
        <v>155.16</v>
      </c>
      <c r="J101" s="892"/>
      <c r="K101" s="945">
        <f>SUM(K99:K99)</f>
        <v>155.16</v>
      </c>
      <c r="L101" s="920"/>
      <c r="M101" s="928"/>
      <c r="N101" s="666"/>
      <c r="O101" s="666"/>
      <c r="P101" s="666"/>
      <c r="Q101" s="666"/>
      <c r="R101" s="666"/>
      <c r="S101" s="666"/>
      <c r="T101" s="666"/>
    </row>
    <row r="102" spans="1:20" s="3" customFormat="1" ht="14.25" x14ac:dyDescent="0.2">
      <c r="A102" s="666"/>
      <c r="B102" s="666"/>
      <c r="C102" s="666"/>
      <c r="D102" s="666"/>
      <c r="E102" s="666"/>
      <c r="F102" s="666"/>
      <c r="G102" s="666"/>
      <c r="H102" s="666"/>
      <c r="I102" s="666"/>
      <c r="J102" s="666"/>
      <c r="K102" s="666"/>
      <c r="L102" s="666"/>
      <c r="M102" s="666"/>
      <c r="N102" s="258"/>
      <c r="O102" s="666"/>
      <c r="P102" s="666"/>
      <c r="Q102" s="666"/>
      <c r="R102" s="666"/>
      <c r="S102" s="666"/>
      <c r="T102" s="666"/>
    </row>
    <row r="103" spans="1:20" s="3" customFormat="1" ht="14.25" x14ac:dyDescent="0.2">
      <c r="A103" s="666"/>
      <c r="B103" s="666"/>
      <c r="C103" s="666"/>
      <c r="D103" s="666"/>
      <c r="E103" s="666"/>
      <c r="F103" s="666"/>
      <c r="G103" s="666"/>
      <c r="H103" s="666"/>
      <c r="I103" s="666"/>
      <c r="J103" s="666"/>
      <c r="K103" s="666"/>
      <c r="L103" s="666"/>
      <c r="M103" s="666"/>
      <c r="N103" s="258"/>
      <c r="O103" s="666"/>
      <c r="P103" s="666"/>
      <c r="Q103" s="666"/>
      <c r="R103" s="666"/>
      <c r="S103" s="666"/>
      <c r="T103" s="666"/>
    </row>
    <row r="104" spans="1:20" s="3" customFormat="1" ht="16.5" thickBot="1" x14ac:dyDescent="0.3">
      <c r="A104" s="666"/>
      <c r="B104" s="930" t="s">
        <v>1177</v>
      </c>
      <c r="C104" s="850"/>
      <c r="D104" s="850"/>
      <c r="E104" s="850"/>
      <c r="F104" s="259"/>
      <c r="G104" s="259"/>
      <c r="H104" s="259"/>
      <c r="I104" s="259"/>
      <c r="J104" s="923"/>
      <c r="K104" s="839"/>
      <c r="L104" s="839"/>
      <c r="M104" s="851"/>
      <c r="N104" s="258"/>
      <c r="O104" s="666"/>
      <c r="P104" s="666"/>
      <c r="Q104" s="666"/>
      <c r="R104" s="666"/>
      <c r="S104" s="666"/>
      <c r="T104" s="666"/>
    </row>
    <row r="105" spans="1:20" s="3" customFormat="1" ht="38.25" x14ac:dyDescent="0.2">
      <c r="A105" s="666"/>
      <c r="B105" s="833"/>
      <c r="C105" s="834" t="s">
        <v>1144</v>
      </c>
      <c r="D105" s="835" t="s">
        <v>1145</v>
      </c>
      <c r="E105" s="835" t="s">
        <v>1146</v>
      </c>
      <c r="F105" s="835" t="s">
        <v>1147</v>
      </c>
      <c r="G105" s="835" t="s">
        <v>1148</v>
      </c>
      <c r="H105" s="835" t="s">
        <v>1149</v>
      </c>
      <c r="I105" s="836" t="s">
        <v>1150</v>
      </c>
      <c r="J105" s="835" t="s">
        <v>1151</v>
      </c>
      <c r="K105" s="837" t="s">
        <v>1152</v>
      </c>
      <c r="L105" s="838"/>
      <c r="M105" s="851"/>
      <c r="N105" s="258"/>
      <c r="O105" s="666"/>
      <c r="P105" s="666"/>
      <c r="Q105" s="666"/>
      <c r="R105" s="666"/>
      <c r="S105" s="666"/>
      <c r="T105" s="666"/>
    </row>
    <row r="106" spans="1:20" s="3" customFormat="1" ht="14.25" x14ac:dyDescent="0.2">
      <c r="A106" s="666"/>
      <c r="B106" s="1262" t="s">
        <v>1169</v>
      </c>
      <c r="C106" s="1263">
        <v>1</v>
      </c>
      <c r="D106" s="1264">
        <v>50</v>
      </c>
      <c r="E106" s="1264">
        <v>9.8699999999999992</v>
      </c>
      <c r="F106" s="1296">
        <v>157.5</v>
      </c>
      <c r="G106" s="1297">
        <v>4</v>
      </c>
      <c r="H106" s="1266">
        <f>ROUNDUP(F106/D106,0)</f>
        <v>4</v>
      </c>
      <c r="I106" s="1267">
        <f>(G106*H106*E106)*C106</f>
        <v>157.91999999999999</v>
      </c>
      <c r="J106" s="946">
        <v>0</v>
      </c>
      <c r="K106" s="932">
        <f t="shared" ref="K106:K113" si="12">I106*(1+J106)</f>
        <v>157.91999999999999</v>
      </c>
      <c r="L106" s="838"/>
      <c r="M106" s="851"/>
      <c r="N106" s="258"/>
      <c r="O106" s="666"/>
      <c r="P106" s="666"/>
      <c r="Q106" s="666"/>
      <c r="R106" s="666"/>
      <c r="S106" s="666"/>
      <c r="T106" s="666"/>
    </row>
    <row r="107" spans="1:20" s="3" customFormat="1" ht="14.25" x14ac:dyDescent="0.2">
      <c r="A107" s="666"/>
      <c r="B107" s="1268" t="s">
        <v>1155</v>
      </c>
      <c r="C107" s="1263">
        <v>1</v>
      </c>
      <c r="D107" s="1264">
        <v>1000</v>
      </c>
      <c r="E107" s="1264">
        <v>13.23</v>
      </c>
      <c r="F107" s="1265">
        <v>1050</v>
      </c>
      <c r="G107" s="1264">
        <v>4</v>
      </c>
      <c r="H107" s="1266">
        <v>1</v>
      </c>
      <c r="I107" s="1267">
        <f>(G107*H107*E107)*C107</f>
        <v>52.92</v>
      </c>
      <c r="J107" s="946">
        <v>0</v>
      </c>
      <c r="K107" s="932">
        <f t="shared" si="12"/>
        <v>52.92</v>
      </c>
      <c r="L107" s="839"/>
      <c r="M107" s="851"/>
      <c r="N107" s="258"/>
      <c r="O107" s="666"/>
      <c r="P107" s="666"/>
      <c r="Q107" s="666"/>
      <c r="R107" s="666"/>
      <c r="S107" s="666"/>
      <c r="T107" s="666"/>
    </row>
    <row r="108" spans="1:20" s="3" customFormat="1" ht="14.25" x14ac:dyDescent="0.2">
      <c r="A108" s="666"/>
      <c r="B108" s="1262" t="s">
        <v>1166</v>
      </c>
      <c r="C108" s="1263">
        <v>1</v>
      </c>
      <c r="D108" s="1264">
        <v>500</v>
      </c>
      <c r="E108" s="1264">
        <v>8.43</v>
      </c>
      <c r="F108" s="1265">
        <v>500</v>
      </c>
      <c r="G108" s="1264">
        <v>4</v>
      </c>
      <c r="H108" s="1266">
        <v>1</v>
      </c>
      <c r="I108" s="1267">
        <f>(G108*H108*E108)*C108</f>
        <v>33.72</v>
      </c>
      <c r="J108" s="946">
        <v>0</v>
      </c>
      <c r="K108" s="932">
        <f t="shared" si="12"/>
        <v>33.72</v>
      </c>
      <c r="L108" s="839"/>
      <c r="M108" s="851"/>
      <c r="N108" s="258"/>
      <c r="O108" s="666"/>
      <c r="P108" s="666"/>
      <c r="Q108" s="666"/>
      <c r="R108" s="666"/>
      <c r="S108" s="666"/>
      <c r="T108" s="666"/>
    </row>
    <row r="109" spans="1:20" s="3" customFormat="1" ht="14.25" x14ac:dyDescent="0.2">
      <c r="A109" s="666"/>
      <c r="B109" s="1262" t="s">
        <v>1175</v>
      </c>
      <c r="C109" s="1263">
        <v>1</v>
      </c>
      <c r="D109" s="1270">
        <v>150</v>
      </c>
      <c r="E109" s="912">
        <v>12.93</v>
      </c>
      <c r="F109" s="913">
        <v>306.25</v>
      </c>
      <c r="G109" s="914">
        <v>4</v>
      </c>
      <c r="H109" s="1266">
        <f>ROUNDUP(F109/D109,0)</f>
        <v>3</v>
      </c>
      <c r="I109" s="1267">
        <f>(G109*H109*E109)*C109</f>
        <v>155.16</v>
      </c>
      <c r="J109" s="946">
        <v>0</v>
      </c>
      <c r="K109" s="932">
        <f t="shared" si="12"/>
        <v>155.16</v>
      </c>
      <c r="L109" s="4"/>
      <c r="M109" s="666"/>
      <c r="N109" s="258"/>
      <c r="O109" s="666"/>
      <c r="P109" s="666"/>
      <c r="Q109" s="666"/>
      <c r="R109" s="666"/>
      <c r="S109" s="666"/>
      <c r="T109" s="666"/>
    </row>
    <row r="110" spans="1:20" s="3" customFormat="1" ht="17.649999999999999" customHeight="1" x14ac:dyDescent="0.2">
      <c r="A110" s="666"/>
      <c r="B110" s="1262" t="s">
        <v>1167</v>
      </c>
      <c r="C110" s="1263">
        <v>0.2</v>
      </c>
      <c r="D110" s="1270">
        <v>285</v>
      </c>
      <c r="E110" s="912">
        <v>8.0500000000000007</v>
      </c>
      <c r="F110" s="913">
        <v>285</v>
      </c>
      <c r="G110" s="914">
        <v>4</v>
      </c>
      <c r="H110" s="1271" t="s">
        <v>104</v>
      </c>
      <c r="I110" s="1267">
        <f>G110*E110*C110</f>
        <v>6.4400000000000013</v>
      </c>
      <c r="J110" s="946">
        <v>0</v>
      </c>
      <c r="K110" s="932">
        <f t="shared" si="12"/>
        <v>6.4400000000000013</v>
      </c>
      <c r="L110" s="4"/>
      <c r="M110" s="666"/>
      <c r="N110" s="258"/>
      <c r="O110" s="666"/>
      <c r="P110" s="666"/>
      <c r="Q110" s="666"/>
      <c r="R110" s="666"/>
      <c r="S110" s="666"/>
      <c r="T110" s="666"/>
    </row>
    <row r="111" spans="1:20" ht="14.25" x14ac:dyDescent="0.2">
      <c r="A111" s="894"/>
      <c r="B111" s="1262" t="s">
        <v>1159</v>
      </c>
      <c r="C111" s="1272">
        <v>3.7081799999999998E-2</v>
      </c>
      <c r="D111" s="1273">
        <v>0.3</v>
      </c>
      <c r="E111" s="915">
        <v>250.75</v>
      </c>
      <c r="F111" s="916">
        <v>2.23</v>
      </c>
      <c r="G111" s="917">
        <v>4</v>
      </c>
      <c r="H111" s="1266">
        <f>ROUNDUP(F111/D111,0)</f>
        <v>8</v>
      </c>
      <c r="I111" s="1267">
        <f>G111*E111*C111</f>
        <v>37.193045399999995</v>
      </c>
      <c r="J111" s="946">
        <v>0</v>
      </c>
      <c r="K111" s="932">
        <f t="shared" si="12"/>
        <v>37.193045399999995</v>
      </c>
      <c r="L111" s="4"/>
      <c r="M111" s="666"/>
      <c r="N111" s="894"/>
      <c r="O111" s="894"/>
      <c r="P111" s="894"/>
      <c r="Q111" s="894"/>
      <c r="R111" s="894"/>
      <c r="S111" s="894"/>
      <c r="T111" s="894"/>
    </row>
    <row r="112" spans="1:20" ht="15" thickBot="1" x14ac:dyDescent="0.25">
      <c r="A112" s="894"/>
      <c r="B112" s="1277" t="s">
        <v>1160</v>
      </c>
      <c r="C112" s="1278">
        <v>0.16298000000000001</v>
      </c>
      <c r="D112" s="1279">
        <v>0.48</v>
      </c>
      <c r="E112" s="941">
        <v>399.5</v>
      </c>
      <c r="F112" s="941">
        <v>2.23</v>
      </c>
      <c r="G112" s="1280">
        <v>4</v>
      </c>
      <c r="H112" s="1281" t="s">
        <v>104</v>
      </c>
      <c r="I112" s="1282">
        <f>G112*E112*C112</f>
        <v>260.44204000000002</v>
      </c>
      <c r="J112" s="943">
        <v>0</v>
      </c>
      <c r="K112" s="944">
        <f t="shared" si="12"/>
        <v>260.44204000000002</v>
      </c>
      <c r="L112" s="4"/>
      <c r="M112" s="666"/>
      <c r="N112" s="894"/>
      <c r="O112" s="894"/>
      <c r="P112" s="894"/>
      <c r="Q112" s="894"/>
      <c r="R112" s="894"/>
      <c r="S112" s="894"/>
      <c r="T112" s="894"/>
    </row>
    <row r="113" spans="1:22" s="3" customFormat="1" ht="15" thickBot="1" x14ac:dyDescent="0.25">
      <c r="A113" s="666"/>
      <c r="B113" s="1277" t="s">
        <v>1289</v>
      </c>
      <c r="C113" s="1278"/>
      <c r="D113" s="1279"/>
      <c r="E113" s="941"/>
      <c r="F113" s="941"/>
      <c r="G113" s="1280"/>
      <c r="H113" s="1281"/>
      <c r="I113" s="1282"/>
      <c r="J113" s="943"/>
      <c r="K113" s="944">
        <f t="shared" si="12"/>
        <v>0</v>
      </c>
      <c r="L113" s="920"/>
      <c r="M113" s="920"/>
      <c r="N113" s="258"/>
      <c r="O113" s="666"/>
      <c r="P113" s="666"/>
      <c r="Q113" s="1222"/>
      <c r="R113" s="666"/>
      <c r="S113" s="666"/>
      <c r="T113" s="666"/>
    </row>
    <row r="114" spans="1:22" ht="23.1" customHeight="1" thickBot="1" x14ac:dyDescent="0.25">
      <c r="A114" s="894"/>
      <c r="B114" s="840"/>
      <c r="C114" s="921"/>
      <c r="D114" s="921"/>
      <c r="E114" s="921"/>
      <c r="F114" s="258"/>
      <c r="G114" s="841"/>
      <c r="H114" s="258"/>
      <c r="I114" s="945">
        <f>SUM(I106:I112)</f>
        <v>703.79508540000006</v>
      </c>
      <c r="J114" s="892"/>
      <c r="K114" s="945">
        <f>SUM(K106:K112)</f>
        <v>703.79508540000006</v>
      </c>
      <c r="L114" s="920"/>
      <c r="M114" s="928"/>
      <c r="N114" s="894"/>
      <c r="O114" s="894"/>
      <c r="P114" s="894"/>
      <c r="Q114" s="894"/>
      <c r="R114" s="894"/>
      <c r="S114" s="894"/>
      <c r="T114" s="894"/>
    </row>
    <row r="115" spans="1:22" ht="23.1" customHeight="1" x14ac:dyDescent="0.2">
      <c r="A115" s="894"/>
      <c r="B115" s="840"/>
      <c r="C115" s="921"/>
      <c r="D115" s="921"/>
      <c r="E115" s="921"/>
      <c r="F115" s="258"/>
      <c r="G115" s="841"/>
      <c r="H115" s="258"/>
      <c r="I115" s="935"/>
      <c r="J115" s="892"/>
      <c r="K115" s="935"/>
      <c r="L115" s="920"/>
      <c r="M115" s="928"/>
      <c r="N115" s="894"/>
      <c r="O115" s="894"/>
      <c r="P115" s="894"/>
      <c r="Q115" s="894"/>
      <c r="R115" s="894"/>
      <c r="S115" s="894"/>
      <c r="T115" s="894"/>
    </row>
    <row r="116" spans="1:22" s="3" customFormat="1" ht="15" x14ac:dyDescent="0.25">
      <c r="A116" s="666"/>
      <c r="B116" s="884" t="s">
        <v>1161</v>
      </c>
      <c r="C116" s="921"/>
      <c r="D116" s="921"/>
      <c r="E116" s="921"/>
      <c r="F116" s="258"/>
      <c r="G116" s="841"/>
      <c r="H116" s="258"/>
      <c r="I116" s="842"/>
      <c r="J116" s="4"/>
      <c r="K116" s="842"/>
      <c r="L116" s="920"/>
      <c r="M116" s="928"/>
      <c r="N116" s="258"/>
      <c r="O116" s="666"/>
      <c r="P116" s="666"/>
      <c r="Q116" s="666"/>
      <c r="R116" s="666"/>
      <c r="S116" s="666"/>
      <c r="T116" s="666"/>
    </row>
    <row r="117" spans="1:22" s="3" customFormat="1" ht="14.25" x14ac:dyDescent="0.2">
      <c r="A117" s="666"/>
      <c r="B117" s="840"/>
      <c r="C117" s="921"/>
      <c r="D117" s="921"/>
      <c r="E117" s="921"/>
      <c r="F117" s="258"/>
      <c r="G117" s="841"/>
      <c r="H117" s="258"/>
      <c r="I117" s="842"/>
      <c r="J117" s="4"/>
      <c r="K117" s="842"/>
      <c r="L117" s="920"/>
      <c r="M117" s="928"/>
      <c r="N117" s="258"/>
      <c r="O117" s="666"/>
      <c r="P117" s="666"/>
      <c r="Q117" s="666"/>
      <c r="R117" s="666"/>
      <c r="S117" s="666"/>
      <c r="T117" s="666"/>
    </row>
    <row r="118" spans="1:22" s="3" customFormat="1" ht="15" thickBot="1" x14ac:dyDescent="0.25">
      <c r="A118" s="666"/>
      <c r="B118" s="843" t="s">
        <v>1187</v>
      </c>
      <c r="C118" s="921"/>
      <c r="D118" s="921"/>
      <c r="E118" s="921"/>
      <c r="F118" s="258"/>
      <c r="G118" s="841"/>
      <c r="H118" s="258"/>
      <c r="I118" s="842"/>
      <c r="J118" s="4"/>
      <c r="K118" s="842"/>
      <c r="L118" s="920"/>
      <c r="M118" s="928"/>
      <c r="N118" s="258"/>
      <c r="O118" s="666"/>
      <c r="P118" s="666"/>
      <c r="Q118" s="666"/>
      <c r="R118" s="666"/>
      <c r="S118" s="666"/>
      <c r="T118" s="666"/>
    </row>
    <row r="119" spans="1:22" s="849" customFormat="1" ht="45" customHeight="1" x14ac:dyDescent="0.25">
      <c r="A119" s="846"/>
      <c r="B119" s="886" t="s">
        <v>1189</v>
      </c>
      <c r="C119" s="947" t="s">
        <v>1190</v>
      </c>
      <c r="D119" s="887" t="s">
        <v>1162</v>
      </c>
      <c r="E119" s="887" t="s">
        <v>1163</v>
      </c>
      <c r="F119" s="888" t="s">
        <v>1164</v>
      </c>
      <c r="G119" s="845"/>
      <c r="H119" s="846"/>
      <c r="I119" s="948"/>
      <c r="J119" s="847"/>
      <c r="K119" s="847"/>
      <c r="L119" s="847"/>
      <c r="M119" s="847"/>
      <c r="N119" s="847"/>
      <c r="O119" s="847"/>
      <c r="P119" s="847"/>
      <c r="Q119" s="847"/>
      <c r="R119" s="847"/>
      <c r="S119" s="847"/>
      <c r="T119" s="847"/>
      <c r="U119" s="848"/>
    </row>
    <row r="120" spans="1:22" s="3" customFormat="1" ht="14.25" x14ac:dyDescent="0.2">
      <c r="A120" s="666"/>
      <c r="B120" s="1298" t="s">
        <v>1191</v>
      </c>
      <c r="C120" s="1299" t="s">
        <v>115</v>
      </c>
      <c r="D120" s="1300">
        <v>353.64</v>
      </c>
      <c r="E120" s="1259">
        <v>0</v>
      </c>
      <c r="F120" s="949">
        <f>D120+(D120*E120)</f>
        <v>353.64</v>
      </c>
      <c r="G120" s="259"/>
      <c r="H120" s="666"/>
      <c r="I120" s="666"/>
      <c r="J120" s="666"/>
      <c r="K120" s="666"/>
      <c r="L120" s="666"/>
      <c r="M120" s="666"/>
      <c r="N120" s="666"/>
      <c r="O120" s="666"/>
      <c r="P120" s="666"/>
      <c r="Q120" s="666"/>
      <c r="R120" s="666"/>
      <c r="S120" s="666"/>
      <c r="T120" s="666"/>
    </row>
    <row r="121" spans="1:22" s="3" customFormat="1" ht="15" thickBot="1" x14ac:dyDescent="0.25">
      <c r="A121" s="666"/>
      <c r="B121" s="1301" t="s">
        <v>1192</v>
      </c>
      <c r="C121" s="1302" t="s">
        <v>117</v>
      </c>
      <c r="D121" s="1303">
        <v>368.44</v>
      </c>
      <c r="E121" s="1261">
        <v>0</v>
      </c>
      <c r="F121" s="950">
        <f>D121+(D121*E121)</f>
        <v>368.44</v>
      </c>
      <c r="G121" s="259"/>
      <c r="H121" s="666"/>
      <c r="I121" s="5"/>
      <c r="J121" s="666"/>
      <c r="K121" s="666"/>
      <c r="L121" s="666"/>
      <c r="M121" s="666"/>
      <c r="N121" s="666"/>
      <c r="O121" s="666"/>
      <c r="P121" s="666"/>
      <c r="Q121" s="666"/>
      <c r="R121" s="666"/>
      <c r="S121" s="666"/>
      <c r="T121" s="666"/>
    </row>
    <row r="122" spans="1:22" s="3" customFormat="1" ht="14.25" x14ac:dyDescent="0.2">
      <c r="A122" s="666"/>
      <c r="B122" s="922"/>
      <c r="C122" s="850"/>
      <c r="D122" s="922"/>
      <c r="E122" s="850">
        <v>368.44455785389198</v>
      </c>
      <c r="F122" s="259"/>
      <c r="G122" s="904"/>
      <c r="H122" s="259"/>
      <c r="I122" s="259"/>
      <c r="J122" s="923"/>
      <c r="K122" s="4"/>
      <c r="L122" s="832"/>
      <c r="M122" s="924"/>
      <c r="N122" s="258"/>
      <c r="O122" s="666"/>
      <c r="P122" s="666"/>
      <c r="Q122" s="666"/>
      <c r="R122" s="666"/>
      <c r="S122" s="666"/>
      <c r="T122" s="666"/>
    </row>
    <row r="123" spans="1:22" s="3" customFormat="1" ht="14.25" x14ac:dyDescent="0.2">
      <c r="A123" s="666"/>
      <c r="B123" s="666"/>
      <c r="C123" s="666"/>
      <c r="D123" s="666"/>
      <c r="E123" s="666"/>
      <c r="F123" s="666"/>
      <c r="G123" s="666"/>
      <c r="H123" s="666"/>
      <c r="I123" s="666"/>
      <c r="J123" s="666"/>
      <c r="K123" s="666"/>
      <c r="L123" s="666"/>
      <c r="M123" s="666"/>
      <c r="N123" s="258"/>
      <c r="O123" s="666"/>
      <c r="P123" s="666"/>
      <c r="Q123" s="666"/>
      <c r="R123" s="666"/>
      <c r="S123" s="666"/>
      <c r="T123" s="666"/>
    </row>
    <row r="124" spans="1:22" ht="13.5" thickBot="1" x14ac:dyDescent="0.25">
      <c r="A124" s="894"/>
      <c r="B124" s="883" t="s">
        <v>1186</v>
      </c>
      <c r="C124" s="894"/>
      <c r="D124" s="894"/>
      <c r="E124" s="894"/>
      <c r="F124" s="894"/>
      <c r="G124" s="894"/>
      <c r="H124" s="894"/>
      <c r="I124" s="894"/>
      <c r="J124" s="894"/>
      <c r="K124" s="894"/>
      <c r="L124" s="894"/>
      <c r="M124" s="894"/>
      <c r="N124" s="894"/>
      <c r="O124" s="894"/>
      <c r="P124" s="894"/>
      <c r="Q124" s="1223"/>
      <c r="R124" s="894"/>
      <c r="S124" s="894"/>
      <c r="T124" s="894"/>
    </row>
    <row r="125" spans="1:22" s="3" customFormat="1" ht="55.7" customHeight="1" x14ac:dyDescent="0.2">
      <c r="A125" s="4"/>
      <c r="B125" s="844"/>
      <c r="C125" s="835" t="s">
        <v>1162</v>
      </c>
      <c r="D125" s="835" t="s">
        <v>1163</v>
      </c>
      <c r="E125" s="837" t="s">
        <v>1164</v>
      </c>
      <c r="F125" s="855"/>
      <c r="G125" s="854"/>
      <c r="H125" s="666"/>
      <c r="I125" s="666"/>
      <c r="J125" s="847"/>
      <c r="K125" s="854"/>
      <c r="L125" s="854"/>
      <c r="M125" s="854"/>
      <c r="N125" s="854"/>
      <c r="O125" s="305"/>
      <c r="P125" s="306"/>
      <c r="Q125" s="1218"/>
      <c r="R125" s="307"/>
      <c r="S125" s="308"/>
      <c r="T125" s="666"/>
      <c r="V125" s="895"/>
    </row>
    <row r="126" spans="1:22" s="3" customFormat="1" ht="14.25" x14ac:dyDescent="0.2">
      <c r="A126" s="4"/>
      <c r="B126" s="1298" t="s">
        <v>1186</v>
      </c>
      <c r="C126" s="1300">
        <v>46.33</v>
      </c>
      <c r="D126" s="1259">
        <v>0</v>
      </c>
      <c r="E126" s="949">
        <f>C126+(C126*D126)</f>
        <v>46.33</v>
      </c>
      <c r="F126" s="304"/>
      <c r="G126" s="305"/>
      <c r="H126" s="4"/>
      <c r="I126" s="4"/>
      <c r="J126" s="306"/>
      <c r="K126" s="305"/>
      <c r="L126" s="305"/>
      <c r="M126" s="305"/>
      <c r="N126" s="305"/>
      <c r="O126" s="305"/>
      <c r="P126" s="306"/>
      <c r="Q126" s="1219"/>
      <c r="R126" s="307"/>
      <c r="S126" s="308"/>
      <c r="T126" s="666"/>
      <c r="V126" s="895"/>
    </row>
    <row r="127" spans="1:22" s="3" customFormat="1" ht="14.25" x14ac:dyDescent="0.2">
      <c r="A127" s="4"/>
      <c r="B127" s="951"/>
      <c r="C127" s="924"/>
      <c r="D127" s="885"/>
      <c r="E127" s="904"/>
      <c r="F127" s="304"/>
      <c r="G127" s="305"/>
      <c r="H127" s="4"/>
      <c r="I127" s="4"/>
      <c r="J127" s="306"/>
      <c r="K127" s="305"/>
      <c r="L127" s="305"/>
      <c r="M127" s="305"/>
      <c r="N127" s="305"/>
      <c r="O127" s="305"/>
      <c r="P127" s="306"/>
      <c r="Q127" s="1219"/>
      <c r="R127" s="307"/>
      <c r="S127" s="308"/>
      <c r="T127" s="666"/>
      <c r="V127" s="895"/>
    </row>
    <row r="128" spans="1:22" s="3" customFormat="1" ht="14.25" x14ac:dyDescent="0.2">
      <c r="A128" s="4"/>
      <c r="B128" s="951" t="s">
        <v>1188</v>
      </c>
      <c r="C128" s="924"/>
      <c r="D128" s="885"/>
      <c r="E128" s="904"/>
      <c r="F128" s="304"/>
      <c r="G128" s="305"/>
      <c r="H128" s="4"/>
      <c r="I128" s="4"/>
      <c r="J128" s="306"/>
      <c r="K128" s="305"/>
      <c r="L128" s="305"/>
      <c r="M128" s="305"/>
      <c r="N128" s="305"/>
      <c r="O128" s="305"/>
      <c r="P128" s="306"/>
      <c r="Q128" s="1220" t="s">
        <v>118</v>
      </c>
      <c r="R128" s="307"/>
      <c r="S128" s="308"/>
      <c r="T128" s="666"/>
      <c r="V128" s="895"/>
    </row>
    <row r="129" spans="1:22" s="3" customFormat="1" ht="14.25" x14ac:dyDescent="0.2">
      <c r="A129" s="4"/>
      <c r="B129" s="951"/>
      <c r="C129" s="924"/>
      <c r="D129" s="885"/>
      <c r="E129" s="904"/>
      <c r="F129" s="304"/>
      <c r="G129" s="305"/>
      <c r="H129" s="4"/>
      <c r="I129" s="4"/>
      <c r="J129" s="306"/>
      <c r="K129" s="305"/>
      <c r="L129" s="305"/>
      <c r="M129" s="305"/>
      <c r="N129" s="305"/>
      <c r="O129" s="305"/>
      <c r="P129" s="306"/>
      <c r="Q129" s="1220" t="s">
        <v>119</v>
      </c>
      <c r="R129" s="307"/>
      <c r="S129" s="308"/>
      <c r="T129" s="666"/>
      <c r="V129" s="895"/>
    </row>
    <row r="130" spans="1:22" s="3" customFormat="1" ht="15" x14ac:dyDescent="0.25">
      <c r="A130" s="4"/>
      <c r="B130" s="884" t="s">
        <v>85</v>
      </c>
      <c r="C130" s="303"/>
      <c r="D130" s="303"/>
      <c r="E130" s="114"/>
      <c r="F130" s="304"/>
      <c r="G130" s="305"/>
      <c r="H130" s="4"/>
      <c r="I130" s="4"/>
      <c r="J130" s="306"/>
      <c r="K130" s="305"/>
      <c r="L130" s="305"/>
      <c r="M130" s="305"/>
      <c r="N130" s="305"/>
      <c r="O130" s="305"/>
      <c r="P130" s="306"/>
      <c r="Q130" s="1220" t="s">
        <v>120</v>
      </c>
      <c r="R130" s="307"/>
      <c r="S130" s="308"/>
      <c r="T130" s="666"/>
      <c r="V130" s="895"/>
    </row>
    <row r="131" spans="1:22" s="3" customFormat="1" ht="15" x14ac:dyDescent="0.25">
      <c r="A131" s="4"/>
      <c r="B131" s="952" t="s">
        <v>111</v>
      </c>
      <c r="C131" s="953" t="s">
        <v>112</v>
      </c>
      <c r="D131" s="954" t="s">
        <v>113</v>
      </c>
      <c r="E131" s="662"/>
      <c r="F131" s="663"/>
      <c r="G131" s="664"/>
      <c r="H131" s="665"/>
      <c r="I131" s="664"/>
      <c r="J131" s="665"/>
      <c r="K131" s="664"/>
      <c r="L131" s="665"/>
      <c r="M131" s="664"/>
      <c r="N131" s="955" t="s">
        <v>114</v>
      </c>
      <c r="O131" s="305"/>
      <c r="P131" s="1227"/>
      <c r="Q131" s="1221" t="s">
        <v>121</v>
      </c>
      <c r="R131" s="307"/>
      <c r="S131" s="308"/>
      <c r="T131" s="666"/>
      <c r="V131" s="895"/>
    </row>
    <row r="132" spans="1:22" s="3" customFormat="1" ht="18" customHeight="1" x14ac:dyDescent="0.2">
      <c r="A132" s="4"/>
      <c r="B132" s="1304" t="s">
        <v>1194</v>
      </c>
      <c r="C132" s="1299" t="s">
        <v>1193</v>
      </c>
      <c r="D132" s="1305" t="s">
        <v>1197</v>
      </c>
      <c r="E132" s="1306"/>
      <c r="F132" s="1307"/>
      <c r="G132" s="1308"/>
      <c r="H132" s="1309"/>
      <c r="I132" s="1309"/>
      <c r="J132" s="1309"/>
      <c r="K132" s="1309"/>
      <c r="L132" s="1308"/>
      <c r="M132" s="1310"/>
      <c r="N132" s="1311">
        <v>141</v>
      </c>
      <c r="O132" s="305"/>
      <c r="P132" s="306"/>
      <c r="Q132" s="1220" t="s">
        <v>123</v>
      </c>
      <c r="R132" s="307"/>
      <c r="S132" s="308"/>
      <c r="T132" s="666"/>
      <c r="V132" s="895"/>
    </row>
    <row r="133" spans="1:22" s="3" customFormat="1" ht="18" customHeight="1" x14ac:dyDescent="0.2">
      <c r="A133" s="4"/>
      <c r="B133" s="1312" t="s">
        <v>1194</v>
      </c>
      <c r="C133" s="1299" t="s">
        <v>1193</v>
      </c>
      <c r="D133" s="1305" t="s">
        <v>1198</v>
      </c>
      <c r="E133" s="1306"/>
      <c r="F133" s="1307"/>
      <c r="G133" s="1308"/>
      <c r="H133" s="1309"/>
      <c r="I133" s="1309"/>
      <c r="J133" s="1309"/>
      <c r="K133" s="1309"/>
      <c r="L133" s="1308"/>
      <c r="M133" s="1310"/>
      <c r="N133" s="1311">
        <v>88</v>
      </c>
      <c r="O133" s="305"/>
      <c r="P133" s="306"/>
      <c r="Q133" s="1220"/>
      <c r="R133" s="307"/>
      <c r="S133" s="308"/>
      <c r="T133" s="666"/>
      <c r="V133" s="895"/>
    </row>
    <row r="134" spans="1:22" s="3" customFormat="1" ht="14.25" x14ac:dyDescent="0.2">
      <c r="A134" s="4"/>
      <c r="B134" s="891" t="s">
        <v>1195</v>
      </c>
      <c r="C134" s="666"/>
      <c r="D134" s="303"/>
      <c r="E134" s="114"/>
      <c r="F134" s="304"/>
      <c r="G134" s="305"/>
      <c r="H134" s="4"/>
      <c r="I134" s="4"/>
      <c r="J134" s="306"/>
      <c r="K134" s="305"/>
      <c r="L134" s="305"/>
      <c r="M134" s="305"/>
      <c r="N134" s="305"/>
      <c r="O134" s="305"/>
      <c r="P134" s="306"/>
      <c r="Q134" s="1220"/>
      <c r="R134" s="307"/>
      <c r="S134" s="308"/>
      <c r="T134" s="666"/>
      <c r="V134" s="895"/>
    </row>
    <row r="135" spans="1:22" s="3" customFormat="1" ht="14.25" x14ac:dyDescent="0.2">
      <c r="A135" s="4"/>
      <c r="B135" s="905" t="s">
        <v>1196</v>
      </c>
      <c r="C135" s="4"/>
      <c r="D135" s="303"/>
      <c r="E135" s="114"/>
      <c r="F135" s="304"/>
      <c r="G135" s="305"/>
      <c r="H135" s="4"/>
      <c r="I135" s="4"/>
      <c r="J135" s="306"/>
      <c r="K135" s="305"/>
      <c r="L135" s="305"/>
      <c r="M135" s="305"/>
      <c r="N135" s="305"/>
      <c r="O135" s="305"/>
      <c r="P135" s="306"/>
      <c r="Q135" s="1220" t="s">
        <v>124</v>
      </c>
      <c r="R135" s="307"/>
      <c r="S135" s="308"/>
      <c r="T135" s="666"/>
      <c r="V135" s="895"/>
    </row>
    <row r="136" spans="1:22" s="3" customFormat="1" ht="14.25" x14ac:dyDescent="0.2">
      <c r="A136" s="4"/>
      <c r="B136" s="956"/>
      <c r="C136" s="4"/>
      <c r="D136" s="303"/>
      <c r="E136" s="114"/>
      <c r="F136" s="304"/>
      <c r="G136" s="305"/>
      <c r="H136" s="4"/>
      <c r="I136" s="4"/>
      <c r="J136" s="306"/>
      <c r="K136" s="305"/>
      <c r="L136" s="305"/>
      <c r="M136" s="305"/>
      <c r="N136" s="305"/>
      <c r="O136" s="305"/>
      <c r="P136" s="306"/>
      <c r="Q136" s="1220" t="s">
        <v>125</v>
      </c>
      <c r="R136" s="307"/>
      <c r="S136" s="308"/>
      <c r="T136" s="666"/>
      <c r="V136" s="895"/>
    </row>
    <row r="137" spans="1:22" s="3" customFormat="1" ht="14.25" x14ac:dyDescent="0.2">
      <c r="A137" s="4"/>
      <c r="B137" s="956"/>
      <c r="C137" s="4"/>
      <c r="D137" s="303"/>
      <c r="E137" s="114"/>
      <c r="F137" s="304"/>
      <c r="G137" s="305"/>
      <c r="H137" s="4"/>
      <c r="I137" s="4"/>
      <c r="J137" s="306"/>
      <c r="K137" s="305"/>
      <c r="L137" s="305"/>
      <c r="M137" s="305"/>
      <c r="N137" s="305"/>
      <c r="O137" s="305"/>
      <c r="P137" s="306"/>
      <c r="Q137" s="1220" t="s">
        <v>1278</v>
      </c>
      <c r="R137" s="307"/>
      <c r="S137" s="308"/>
      <c r="T137" s="666"/>
      <c r="V137" s="895"/>
    </row>
    <row r="138" spans="1:22" s="3" customFormat="1" ht="15.75" thickBot="1" x14ac:dyDescent="0.3">
      <c r="A138" s="4"/>
      <c r="B138" s="884" t="s">
        <v>1124</v>
      </c>
      <c r="C138" s="303"/>
      <c r="D138" s="303"/>
      <c r="E138" s="114"/>
      <c r="F138" s="304"/>
      <c r="G138" s="305"/>
      <c r="H138" s="4"/>
      <c r="I138" s="4"/>
      <c r="J138" s="306"/>
      <c r="K138" s="305"/>
      <c r="L138" s="305"/>
      <c r="M138" s="305"/>
      <c r="N138" s="305"/>
      <c r="O138" s="305"/>
      <c r="P138" s="306"/>
      <c r="Q138" s="1220" t="s">
        <v>1279</v>
      </c>
      <c r="R138" s="307"/>
      <c r="S138" s="308"/>
      <c r="T138" s="666"/>
      <c r="V138" s="895"/>
    </row>
    <row r="139" spans="1:22" s="3" customFormat="1" ht="15" x14ac:dyDescent="0.25">
      <c r="A139" s="4"/>
      <c r="B139" s="961" t="s">
        <v>111</v>
      </c>
      <c r="C139" s="962" t="s">
        <v>112</v>
      </c>
      <c r="D139" s="963" t="s">
        <v>1206</v>
      </c>
      <c r="E139" s="853"/>
      <c r="F139" s="855"/>
      <c r="G139" s="854"/>
      <c r="H139" s="666"/>
      <c r="I139" s="854"/>
      <c r="J139" s="666"/>
      <c r="K139" s="854"/>
      <c r="L139" s="666"/>
      <c r="M139" s="854"/>
      <c r="N139" s="957"/>
      <c r="O139" s="854"/>
      <c r="P139" s="1198"/>
      <c r="Q139" s="1220" t="s">
        <v>133</v>
      </c>
      <c r="R139" s="307"/>
      <c r="S139" s="308"/>
      <c r="T139" s="666"/>
      <c r="V139" s="895"/>
    </row>
    <row r="140" spans="1:22" s="3" customFormat="1" ht="14.25" x14ac:dyDescent="0.2">
      <c r="A140" s="4"/>
      <c r="B140" s="1313" t="s">
        <v>1200</v>
      </c>
      <c r="C140" s="1314" t="s">
        <v>1201</v>
      </c>
      <c r="D140" s="1315">
        <v>2.96</v>
      </c>
      <c r="E140" s="855"/>
      <c r="F140" s="854"/>
      <c r="G140" s="666"/>
      <c r="H140" s="666"/>
      <c r="I140" s="666"/>
      <c r="J140" s="666"/>
      <c r="K140" s="854"/>
      <c r="L140" s="854"/>
      <c r="M140" s="959"/>
      <c r="N140" s="854"/>
      <c r="O140" s="847"/>
      <c r="P140" s="847"/>
      <c r="Q140" s="1220" t="s">
        <v>1280</v>
      </c>
      <c r="R140" s="308"/>
      <c r="S140" s="666"/>
      <c r="T140" s="666"/>
      <c r="U140" s="895"/>
    </row>
    <row r="141" spans="1:22" s="3" customFormat="1" ht="14.25" x14ac:dyDescent="0.2">
      <c r="A141" s="4"/>
      <c r="B141" s="1313" t="s">
        <v>1205</v>
      </c>
      <c r="C141" s="1316" t="s">
        <v>1202</v>
      </c>
      <c r="D141" s="1317">
        <v>1.55</v>
      </c>
      <c r="E141" s="114"/>
      <c r="F141" s="304"/>
      <c r="G141" s="305"/>
      <c r="H141" s="4"/>
      <c r="I141" s="4"/>
      <c r="J141" s="306"/>
      <c r="K141" s="305"/>
      <c r="L141" s="305"/>
      <c r="M141" s="305"/>
      <c r="N141" s="305"/>
      <c r="O141" s="305"/>
      <c r="P141" s="306"/>
      <c r="Q141" s="1220" t="s">
        <v>126</v>
      </c>
      <c r="R141" s="307"/>
      <c r="S141" s="308"/>
      <c r="T141" s="666"/>
      <c r="V141" s="895"/>
    </row>
    <row r="142" spans="1:22" s="3" customFormat="1" ht="15" thickBot="1" x14ac:dyDescent="0.25">
      <c r="A142" s="4"/>
      <c r="B142" s="1318" t="s">
        <v>1207</v>
      </c>
      <c r="C142" s="1319" t="s">
        <v>1208</v>
      </c>
      <c r="D142" s="1320">
        <v>134</v>
      </c>
      <c r="E142" s="114"/>
      <c r="F142" s="304"/>
      <c r="G142" s="305"/>
      <c r="H142" s="4"/>
      <c r="I142" s="4"/>
      <c r="J142" s="306"/>
      <c r="K142" s="305"/>
      <c r="L142" s="305"/>
      <c r="M142" s="305"/>
      <c r="N142" s="305"/>
      <c r="O142" s="305"/>
      <c r="P142" s="306"/>
      <c r="Q142" s="1220" t="s">
        <v>128</v>
      </c>
      <c r="R142" s="307"/>
      <c r="S142" s="308"/>
      <c r="T142" s="666"/>
      <c r="V142" s="895"/>
    </row>
    <row r="143" spans="1:22" s="3" customFormat="1" ht="14.25" x14ac:dyDescent="0.2">
      <c r="A143" s="4"/>
      <c r="B143" s="891"/>
      <c r="C143" s="4"/>
      <c r="D143" s="303"/>
      <c r="E143" s="114"/>
      <c r="F143" s="304"/>
      <c r="G143" s="305"/>
      <c r="H143" s="4"/>
      <c r="I143" s="4"/>
      <c r="J143" s="306"/>
      <c r="K143" s="305"/>
      <c r="L143" s="305"/>
      <c r="M143" s="305"/>
      <c r="N143" s="305"/>
      <c r="O143" s="305"/>
      <c r="P143" s="306"/>
      <c r="Q143" s="1220" t="s">
        <v>129</v>
      </c>
      <c r="R143" s="307"/>
      <c r="S143" s="308"/>
      <c r="T143" s="666"/>
      <c r="V143" s="895"/>
    </row>
    <row r="144" spans="1:22" s="3" customFormat="1" ht="14.25" x14ac:dyDescent="0.2">
      <c r="A144" s="4"/>
      <c r="B144" s="964" t="s">
        <v>1217</v>
      </c>
      <c r="C144" s="4"/>
      <c r="D144" s="303"/>
      <c r="E144" s="114"/>
      <c r="F144" s="304"/>
      <c r="G144" s="305"/>
      <c r="H144" s="4"/>
      <c r="I144" s="4"/>
      <c r="J144" s="306"/>
      <c r="K144" s="305"/>
      <c r="L144" s="305"/>
      <c r="M144" s="305"/>
      <c r="N144" s="305"/>
      <c r="O144" s="305"/>
      <c r="P144" s="306"/>
      <c r="Q144" s="1220" t="s">
        <v>131</v>
      </c>
      <c r="R144" s="307"/>
      <c r="S144" s="308"/>
      <c r="T144" s="666"/>
      <c r="V144" s="895"/>
    </row>
    <row r="145" spans="1:22" s="3" customFormat="1" ht="14.25" x14ac:dyDescent="0.2">
      <c r="A145" s="4"/>
      <c r="B145" s="905"/>
      <c r="C145" s="4"/>
      <c r="D145" s="303"/>
      <c r="E145" s="114"/>
      <c r="F145" s="304"/>
      <c r="G145" s="305"/>
      <c r="H145" s="4"/>
      <c r="I145" s="4"/>
      <c r="J145" s="306"/>
      <c r="K145" s="305"/>
      <c r="L145" s="305"/>
      <c r="M145" s="305"/>
      <c r="N145" s="305"/>
      <c r="O145" s="305"/>
      <c r="P145" s="306"/>
      <c r="Q145" s="1220" t="s">
        <v>122</v>
      </c>
      <c r="R145" s="307"/>
      <c r="S145" s="308"/>
      <c r="T145" s="666"/>
      <c r="V145" s="895"/>
    </row>
    <row r="146" spans="1:22" s="3" customFormat="1" ht="14.25" x14ac:dyDescent="0.2">
      <c r="A146" s="4"/>
      <c r="B146" s="891" t="s">
        <v>1209</v>
      </c>
      <c r="C146" s="4"/>
      <c r="D146" s="303"/>
      <c r="E146" s="114"/>
      <c r="F146" s="304"/>
      <c r="G146" s="305"/>
      <c r="H146" s="4"/>
      <c r="I146" s="4"/>
      <c r="J146" s="306"/>
      <c r="K146" s="305"/>
      <c r="L146" s="305"/>
      <c r="M146" s="305"/>
      <c r="N146" s="305"/>
      <c r="O146" s="305"/>
      <c r="P146" s="306"/>
      <c r="Q146" s="1220" t="s">
        <v>132</v>
      </c>
      <c r="R146" s="307"/>
      <c r="S146" s="308"/>
      <c r="T146" s="666"/>
      <c r="V146" s="895"/>
    </row>
    <row r="147" spans="1:22" s="3" customFormat="1" ht="14.25" x14ac:dyDescent="0.2">
      <c r="A147" s="4"/>
      <c r="B147" s="905" t="s">
        <v>1196</v>
      </c>
      <c r="C147" s="4"/>
      <c r="D147" s="303"/>
      <c r="E147" s="114"/>
      <c r="F147" s="304"/>
      <c r="G147" s="305"/>
      <c r="H147" s="4"/>
      <c r="I147" s="4"/>
      <c r="J147" s="306"/>
      <c r="K147" s="305"/>
      <c r="L147" s="305"/>
      <c r="M147" s="305"/>
      <c r="N147" s="305"/>
      <c r="O147" s="305"/>
      <c r="P147" s="306"/>
      <c r="Q147" s="1220" t="s">
        <v>133</v>
      </c>
      <c r="R147" s="307"/>
      <c r="S147" s="308"/>
      <c r="T147" s="666"/>
      <c r="V147" s="895"/>
    </row>
    <row r="148" spans="1:22" s="3" customFormat="1" ht="15" x14ac:dyDescent="0.25">
      <c r="A148" s="4"/>
      <c r="B148" s="505"/>
      <c r="C148" s="4"/>
      <c r="D148" s="303"/>
      <c r="E148" s="114"/>
      <c r="F148" s="304"/>
      <c r="G148" s="305"/>
      <c r="H148" s="4"/>
      <c r="I148" s="4"/>
      <c r="J148" s="306"/>
      <c r="K148" s="305"/>
      <c r="L148" s="305"/>
      <c r="M148" s="305"/>
      <c r="N148" s="305"/>
      <c r="O148" s="305"/>
      <c r="P148" s="306"/>
      <c r="Q148" s="1224"/>
      <c r="R148" s="307"/>
      <c r="S148" s="308"/>
      <c r="T148" s="666"/>
      <c r="V148" s="895"/>
    </row>
    <row r="149" spans="1:22" s="3" customFormat="1" ht="14.25" x14ac:dyDescent="0.2">
      <c r="A149" s="4"/>
      <c r="B149" s="853"/>
      <c r="C149" s="4"/>
      <c r="D149" s="303"/>
      <c r="E149" s="114"/>
      <c r="F149" s="304"/>
      <c r="G149" s="305"/>
      <c r="H149" s="4"/>
      <c r="I149" s="4"/>
      <c r="J149" s="306"/>
      <c r="K149" s="305"/>
      <c r="L149" s="305"/>
      <c r="M149" s="305"/>
      <c r="N149" s="305"/>
      <c r="O149" s="305"/>
      <c r="P149" s="306"/>
      <c r="Q149" s="1225"/>
      <c r="R149" s="307"/>
      <c r="S149" s="308"/>
      <c r="T149" s="666"/>
      <c r="V149" s="895"/>
    </row>
    <row r="150" spans="1:22" s="3" customFormat="1" ht="15" x14ac:dyDescent="0.25">
      <c r="A150" s="4"/>
      <c r="B150" s="873"/>
      <c r="C150" s="666"/>
      <c r="D150" s="666"/>
      <c r="E150" s="666"/>
      <c r="F150" s="666"/>
      <c r="G150" s="666"/>
      <c r="H150" s="666"/>
      <c r="I150" s="1159"/>
      <c r="J150" s="666"/>
      <c r="K150" s="854"/>
      <c r="L150" s="666"/>
      <c r="M150" s="666"/>
      <c r="N150" s="957"/>
      <c r="O150" s="666"/>
      <c r="P150" s="306"/>
      <c r="Q150" s="1225"/>
      <c r="R150" s="307"/>
      <c r="S150" s="308"/>
      <c r="T150" s="666"/>
      <c r="V150" s="895"/>
    </row>
    <row r="151" spans="1:22" s="3" customFormat="1" ht="15" x14ac:dyDescent="0.25">
      <c r="A151" s="4"/>
      <c r="B151" s="958"/>
      <c r="C151" s="1160"/>
      <c r="D151" s="1160"/>
      <c r="E151" s="1160"/>
      <c r="F151" s="1160"/>
      <c r="G151" s="1162"/>
      <c r="H151" s="1163"/>
      <c r="I151" s="1163"/>
      <c r="J151" s="874"/>
      <c r="K151" s="1164"/>
      <c r="L151" s="1160"/>
      <c r="M151" s="958"/>
      <c r="N151" s="958"/>
      <c r="O151" s="958"/>
      <c r="P151" s="306"/>
      <c r="Q151" s="1225"/>
      <c r="R151" s="307"/>
      <c r="S151" s="308"/>
      <c r="T151" s="666"/>
      <c r="V151" s="895"/>
    </row>
    <row r="152" spans="1:22" s="3" customFormat="1" ht="15" x14ac:dyDescent="0.25">
      <c r="A152" s="4"/>
      <c r="B152" s="692"/>
      <c r="C152" s="1165"/>
      <c r="D152" s="1165"/>
      <c r="E152" s="1165"/>
      <c r="F152" s="1165"/>
      <c r="G152" s="1165"/>
      <c r="H152" s="1165"/>
      <c r="I152" s="1165"/>
      <c r="J152" s="1165"/>
      <c r="K152" s="1166"/>
      <c r="L152" s="1161"/>
      <c r="M152" s="959"/>
      <c r="N152" s="959"/>
      <c r="O152" s="959"/>
      <c r="P152" s="306"/>
      <c r="Q152" s="1225"/>
      <c r="R152" s="307"/>
      <c r="S152" s="308"/>
      <c r="T152" s="666"/>
      <c r="V152" s="895"/>
    </row>
    <row r="153" spans="1:22" s="3" customFormat="1" ht="15" x14ac:dyDescent="0.25">
      <c r="A153" s="4"/>
      <c r="B153" s="692"/>
      <c r="C153" s="1165"/>
      <c r="D153" s="1165"/>
      <c r="E153" s="1165"/>
      <c r="F153" s="1165"/>
      <c r="G153" s="1165"/>
      <c r="H153" s="1165"/>
      <c r="I153" s="1165"/>
      <c r="J153" s="1165"/>
      <c r="K153" s="1166"/>
      <c r="L153" s="1161"/>
      <c r="M153" s="959"/>
      <c r="N153" s="959"/>
      <c r="O153" s="959"/>
      <c r="P153" s="306"/>
      <c r="Q153" s="1225"/>
      <c r="R153" s="307"/>
      <c r="S153" s="308"/>
      <c r="T153" s="666"/>
      <c r="V153" s="895"/>
    </row>
    <row r="154" spans="1:22" s="3" customFormat="1" ht="15" x14ac:dyDescent="0.25">
      <c r="A154" s="4"/>
      <c r="B154" s="692"/>
      <c r="C154" s="1165"/>
      <c r="D154" s="1165"/>
      <c r="E154" s="1165"/>
      <c r="F154" s="1165"/>
      <c r="G154" s="1165"/>
      <c r="H154" s="1165"/>
      <c r="I154" s="1165"/>
      <c r="J154" s="1165"/>
      <c r="K154" s="1166"/>
      <c r="L154" s="1161"/>
      <c r="M154" s="959"/>
      <c r="N154" s="959"/>
      <c r="O154" s="959"/>
      <c r="P154" s="306"/>
      <c r="Q154" s="1225"/>
      <c r="R154" s="307"/>
      <c r="S154" s="308"/>
      <c r="T154" s="666"/>
      <c r="V154" s="895"/>
    </row>
    <row r="155" spans="1:22" s="3" customFormat="1" ht="15" x14ac:dyDescent="0.25">
      <c r="A155" s="4"/>
      <c r="B155" s="692"/>
      <c r="C155" s="1165"/>
      <c r="D155" s="1165"/>
      <c r="E155" s="1165"/>
      <c r="F155" s="1165"/>
      <c r="G155" s="1165"/>
      <c r="H155" s="1165"/>
      <c r="I155" s="1165"/>
      <c r="J155" s="1165"/>
      <c r="K155" s="1166"/>
      <c r="L155" s="1161"/>
      <c r="M155" s="959"/>
      <c r="N155" s="959"/>
      <c r="O155" s="959"/>
      <c r="P155" s="306"/>
      <c r="Q155" s="1225"/>
      <c r="R155" s="307"/>
      <c r="S155" s="308"/>
      <c r="T155" s="666"/>
      <c r="V155" s="895"/>
    </row>
    <row r="156" spans="1:22" s="3" customFormat="1" ht="15" x14ac:dyDescent="0.25">
      <c r="A156" s="4"/>
      <c r="B156" s="692"/>
      <c r="C156" s="1165"/>
      <c r="D156" s="1165"/>
      <c r="E156" s="1165"/>
      <c r="F156" s="1165"/>
      <c r="G156" s="1165"/>
      <c r="H156" s="1165"/>
      <c r="I156" s="1165"/>
      <c r="J156" s="1165"/>
      <c r="K156" s="1166"/>
      <c r="L156" s="1161"/>
      <c r="M156" s="959"/>
      <c r="N156" s="959"/>
      <c r="O156" s="959"/>
      <c r="P156" s="306"/>
      <c r="Q156" s="1225"/>
      <c r="R156" s="307"/>
      <c r="S156" s="308"/>
      <c r="T156" s="666"/>
      <c r="V156" s="895"/>
    </row>
    <row r="157" spans="1:22" s="3" customFormat="1" ht="15" x14ac:dyDescent="0.25">
      <c r="A157" s="4"/>
      <c r="B157" s="692"/>
      <c r="C157" s="1165"/>
      <c r="D157" s="1165"/>
      <c r="E157" s="1165"/>
      <c r="F157" s="1165"/>
      <c r="G157" s="1165"/>
      <c r="H157" s="1165"/>
      <c r="I157" s="1165"/>
      <c r="J157" s="1165"/>
      <c r="K157" s="1166"/>
      <c r="L157" s="1161"/>
      <c r="M157" s="959"/>
      <c r="N157" s="959"/>
      <c r="O157" s="959"/>
      <c r="P157" s="306"/>
      <c r="Q157" s="1225"/>
      <c r="R157" s="307"/>
      <c r="S157" s="308"/>
      <c r="T157" s="666"/>
      <c r="V157" s="895"/>
    </row>
    <row r="158" spans="1:22" s="3" customFormat="1" ht="15" x14ac:dyDescent="0.25">
      <c r="A158" s="4"/>
      <c r="B158" s="692"/>
      <c r="C158" s="1165"/>
      <c r="D158" s="1165"/>
      <c r="E158" s="1165"/>
      <c r="F158" s="1165"/>
      <c r="G158" s="1165"/>
      <c r="H158" s="1165"/>
      <c r="I158" s="1165"/>
      <c r="J158" s="1165"/>
      <c r="K158" s="1166"/>
      <c r="L158" s="1161"/>
      <c r="M158" s="959"/>
      <c r="N158" s="959"/>
      <c r="O158" s="959"/>
      <c r="P158" s="4"/>
      <c r="Q158" s="1226"/>
      <c r="R158" s="307"/>
      <c r="S158" s="308"/>
      <c r="T158" s="666"/>
      <c r="V158" s="895"/>
    </row>
    <row r="159" spans="1:22" s="3" customFormat="1" ht="15" x14ac:dyDescent="0.25">
      <c r="A159" s="4"/>
      <c r="B159" s="692"/>
      <c r="C159" s="1165"/>
      <c r="D159" s="1165"/>
      <c r="E159" s="1165"/>
      <c r="F159" s="1165"/>
      <c r="G159" s="1165"/>
      <c r="H159" s="1165"/>
      <c r="I159" s="1165"/>
      <c r="J159" s="1165"/>
      <c r="K159" s="1166"/>
      <c r="L159" s="666"/>
      <c r="M159" s="960"/>
      <c r="N159" s="960"/>
      <c r="O159" s="960"/>
      <c r="P159" s="4"/>
      <c r="Q159" s="1226"/>
      <c r="R159" s="4"/>
      <c r="S159" s="4"/>
      <c r="T159" s="666"/>
      <c r="V159" s="895"/>
    </row>
    <row r="160" spans="1:22" s="3" customFormat="1" ht="15" x14ac:dyDescent="0.25">
      <c r="A160" s="4"/>
      <c r="B160" s="692"/>
      <c r="C160" s="1167"/>
      <c r="D160" s="1167"/>
      <c r="E160" s="1167"/>
      <c r="F160" s="1167"/>
      <c r="G160" s="1167"/>
      <c r="H160" s="1165"/>
      <c r="I160" s="1165"/>
      <c r="J160" s="1165"/>
      <c r="K160" s="1166"/>
      <c r="L160" s="666"/>
      <c r="M160" s="666"/>
      <c r="N160" s="666"/>
      <c r="O160" s="666"/>
      <c r="P160" s="4"/>
      <c r="Q160" s="1226"/>
      <c r="R160" s="4"/>
      <c r="S160" s="4"/>
      <c r="T160" s="666"/>
      <c r="V160" s="895"/>
    </row>
    <row r="161" spans="1:22" s="3" customFormat="1" ht="15" x14ac:dyDescent="0.25">
      <c r="A161" s="4"/>
      <c r="B161" s="692"/>
      <c r="C161" s="1167"/>
      <c r="D161" s="1167"/>
      <c r="E161" s="1167"/>
      <c r="F161" s="1167"/>
      <c r="G161" s="1167"/>
      <c r="H161" s="1165"/>
      <c r="I161" s="1165"/>
      <c r="J161" s="1165"/>
      <c r="K161" s="959"/>
      <c r="L161" s="666"/>
      <c r="M161" s="666"/>
      <c r="N161" s="666"/>
      <c r="O161" s="666"/>
      <c r="P161" s="4"/>
      <c r="Q161" s="1226"/>
      <c r="R161" s="4"/>
      <c r="S161" s="4"/>
      <c r="T161" s="666"/>
      <c r="V161" s="895"/>
    </row>
    <row r="162" spans="1:22" s="3" customFormat="1" ht="15" x14ac:dyDescent="0.25">
      <c r="A162" s="892"/>
      <c r="B162" s="692"/>
      <c r="C162" s="1168"/>
      <c r="D162" s="1168"/>
      <c r="E162" s="1168"/>
      <c r="F162" s="1168"/>
      <c r="G162" s="1168"/>
      <c r="H162" s="1169"/>
      <c r="I162" s="1169"/>
      <c r="J162" s="1169"/>
      <c r="K162" s="924"/>
      <c r="L162" s="894"/>
      <c r="M162" s="892"/>
      <c r="N162" s="892"/>
      <c r="O162" s="892"/>
      <c r="P162" s="4"/>
      <c r="Q162" s="1226"/>
      <c r="R162" s="4"/>
      <c r="S162" s="4"/>
      <c r="T162" s="666"/>
      <c r="V162" s="895"/>
    </row>
    <row r="163" spans="1:22" s="3" customFormat="1" ht="15" x14ac:dyDescent="0.25">
      <c r="A163" s="894"/>
      <c r="B163" s="692"/>
      <c r="C163" s="1168"/>
      <c r="D163" s="1168"/>
      <c r="E163" s="1168"/>
      <c r="F163" s="1168"/>
      <c r="G163" s="1168"/>
      <c r="H163" s="1169"/>
      <c r="I163" s="1169"/>
      <c r="J163" s="1169"/>
      <c r="K163" s="924"/>
      <c r="L163" s="894"/>
      <c r="M163" s="894"/>
      <c r="N163" s="894"/>
      <c r="O163" s="894"/>
      <c r="P163" s="666"/>
      <c r="Q163" s="1222"/>
      <c r="R163" s="4"/>
      <c r="S163" s="4"/>
      <c r="T163" s="666"/>
      <c r="V163" s="895"/>
    </row>
    <row r="164" spans="1:22" s="3" customFormat="1" ht="15" x14ac:dyDescent="0.25">
      <c r="A164" s="894"/>
      <c r="B164" s="692"/>
      <c r="C164" s="1168"/>
      <c r="D164" s="1168"/>
      <c r="E164" s="1168"/>
      <c r="F164" s="1168"/>
      <c r="G164" s="1168"/>
      <c r="H164" s="1169"/>
      <c r="I164" s="1169"/>
      <c r="J164" s="1169"/>
      <c r="K164" s="924"/>
      <c r="L164" s="894"/>
      <c r="M164" s="894"/>
      <c r="N164" s="894"/>
      <c r="O164" s="894"/>
      <c r="P164" s="666"/>
      <c r="Q164" s="1222"/>
      <c r="R164" s="4"/>
      <c r="S164" s="4"/>
      <c r="T164" s="666"/>
      <c r="V164" s="895"/>
    </row>
    <row r="165" spans="1:22" s="3" customFormat="1" ht="15" x14ac:dyDescent="0.25">
      <c r="A165" s="894"/>
      <c r="B165" s="692"/>
      <c r="C165" s="1168"/>
      <c r="D165" s="1168"/>
      <c r="E165" s="1168"/>
      <c r="F165" s="1168"/>
      <c r="G165" s="1168"/>
      <c r="H165" s="1169"/>
      <c r="I165" s="1169"/>
      <c r="J165" s="1169"/>
      <c r="K165" s="924"/>
      <c r="L165" s="894"/>
      <c r="M165" s="894"/>
      <c r="N165" s="894"/>
      <c r="O165" s="894"/>
      <c r="P165" s="666"/>
      <c r="Q165" s="1222"/>
      <c r="R165" s="4"/>
      <c r="S165" s="4"/>
      <c r="T165" s="666"/>
      <c r="V165" s="895"/>
    </row>
    <row r="166" spans="1:22" s="3" customFormat="1" ht="15" x14ac:dyDescent="0.25">
      <c r="A166" s="894"/>
      <c r="B166" s="692"/>
      <c r="C166" s="1168"/>
      <c r="D166" s="1168"/>
      <c r="E166" s="1168"/>
      <c r="F166" s="1168"/>
      <c r="G166" s="1168"/>
      <c r="H166" s="1169"/>
      <c r="I166" s="1169"/>
      <c r="J166" s="1169"/>
      <c r="K166" s="924"/>
      <c r="L166" s="894"/>
      <c r="M166" s="894"/>
      <c r="N166" s="894"/>
      <c r="O166" s="894"/>
      <c r="P166" s="666"/>
      <c r="Q166" s="1222"/>
      <c r="R166" s="4"/>
      <c r="S166" s="4"/>
      <c r="T166" s="666"/>
      <c r="V166" s="895"/>
    </row>
    <row r="167" spans="1:22" s="3" customFormat="1" ht="15" x14ac:dyDescent="0.25">
      <c r="A167" s="894"/>
      <c r="B167" s="692"/>
      <c r="C167" s="1168"/>
      <c r="D167" s="1168"/>
      <c r="E167" s="1168"/>
      <c r="F167" s="1168"/>
      <c r="G167" s="1168"/>
      <c r="H167" s="1169"/>
      <c r="I167" s="1169"/>
      <c r="J167" s="1169"/>
      <c r="K167" s="924"/>
      <c r="L167" s="894"/>
      <c r="M167" s="894"/>
      <c r="N167" s="894"/>
      <c r="O167" s="894"/>
      <c r="P167" s="666"/>
      <c r="Q167" s="1222"/>
      <c r="R167" s="4"/>
      <c r="S167" s="4"/>
      <c r="T167" s="666"/>
      <c r="V167" s="895"/>
    </row>
    <row r="168" spans="1:22" s="3" customFormat="1" ht="15" x14ac:dyDescent="0.25">
      <c r="A168" s="894"/>
      <c r="B168" s="692"/>
      <c r="C168" s="1168"/>
      <c r="D168" s="1168"/>
      <c r="E168" s="1168"/>
      <c r="F168" s="1168"/>
      <c r="G168" s="1168"/>
      <c r="H168" s="1169"/>
      <c r="I168" s="1169"/>
      <c r="J168" s="1169"/>
      <c r="K168" s="924"/>
      <c r="L168" s="894"/>
      <c r="M168" s="894"/>
      <c r="N168" s="894"/>
      <c r="O168" s="894"/>
      <c r="P168" s="666"/>
      <c r="Q168" s="1222"/>
      <c r="R168" s="4"/>
      <c r="S168" s="4"/>
      <c r="T168" s="666"/>
      <c r="V168" s="895"/>
    </row>
    <row r="169" spans="1:22" s="3" customFormat="1" ht="14.25" x14ac:dyDescent="0.2">
      <c r="A169" s="894"/>
      <c r="B169" s="5"/>
      <c r="C169" s="894"/>
      <c r="D169" s="894"/>
      <c r="E169" s="894"/>
      <c r="F169" s="894"/>
      <c r="G169" s="894"/>
      <c r="H169" s="894"/>
      <c r="I169" s="894"/>
      <c r="J169" s="894"/>
      <c r="K169" s="894"/>
      <c r="L169" s="894"/>
      <c r="M169" s="894"/>
      <c r="N169" s="894"/>
      <c r="O169" s="894"/>
      <c r="P169" s="666"/>
      <c r="Q169" s="1222"/>
      <c r="R169" s="4"/>
      <c r="S169" s="4"/>
      <c r="T169" s="666"/>
      <c r="V169" s="895"/>
    </row>
    <row r="170" spans="1:22" ht="14.25" x14ac:dyDescent="0.2">
      <c r="A170" s="894"/>
      <c r="B170" s="1"/>
      <c r="C170" s="894"/>
      <c r="D170" s="894"/>
      <c r="E170" s="894"/>
      <c r="F170" s="894"/>
      <c r="G170" s="894"/>
      <c r="H170" s="894"/>
      <c r="I170" s="894"/>
      <c r="J170" s="894"/>
      <c r="K170" s="894"/>
      <c r="L170" s="894"/>
      <c r="M170" s="894"/>
      <c r="N170" s="894"/>
      <c r="O170" s="894"/>
      <c r="P170" s="894"/>
      <c r="Q170" s="1223"/>
      <c r="R170" s="892"/>
      <c r="S170" s="892"/>
      <c r="T170" s="894"/>
    </row>
    <row r="171" spans="1:22" ht="14.25" x14ac:dyDescent="0.2">
      <c r="A171" s="894"/>
      <c r="B171" s="5"/>
      <c r="C171" s="894"/>
      <c r="D171" s="894"/>
      <c r="E171" s="894"/>
      <c r="F171" s="894"/>
      <c r="G171" s="894"/>
      <c r="H171" s="894"/>
      <c r="I171" s="894"/>
      <c r="J171" s="894"/>
      <c r="K171" s="894"/>
      <c r="L171" s="894"/>
      <c r="M171" s="894"/>
      <c r="N171" s="894"/>
      <c r="O171" s="894"/>
      <c r="P171" s="894"/>
      <c r="Q171" s="1223"/>
      <c r="R171" s="894"/>
      <c r="S171" s="894"/>
      <c r="T171" s="894"/>
    </row>
    <row r="172" spans="1:22" ht="14.25" x14ac:dyDescent="0.2">
      <c r="A172" s="894"/>
      <c r="B172" s="5"/>
      <c r="C172" s="894"/>
      <c r="D172" s="894"/>
      <c r="E172" s="894"/>
      <c r="F172" s="894"/>
      <c r="G172" s="894"/>
      <c r="H172" s="894"/>
      <c r="I172" s="894"/>
      <c r="J172" s="894"/>
      <c r="K172" s="894"/>
      <c r="L172" s="894"/>
      <c r="M172" s="894"/>
      <c r="N172" s="894"/>
      <c r="O172" s="894"/>
      <c r="P172" s="894"/>
      <c r="Q172" s="894"/>
      <c r="R172" s="894"/>
      <c r="S172" s="894"/>
      <c r="T172" s="894"/>
    </row>
    <row r="173" spans="1:22" x14ac:dyDescent="0.2">
      <c r="A173" s="894"/>
      <c r="B173" s="894"/>
      <c r="C173" s="894"/>
      <c r="D173" s="894"/>
      <c r="E173" s="894"/>
      <c r="F173" s="894"/>
      <c r="G173" s="894"/>
      <c r="H173" s="894"/>
      <c r="I173" s="894"/>
      <c r="J173" s="894"/>
      <c r="K173" s="894"/>
      <c r="L173" s="894"/>
      <c r="M173" s="894"/>
      <c r="N173" s="894"/>
      <c r="O173" s="894"/>
      <c r="P173" s="894"/>
      <c r="Q173" s="894"/>
      <c r="R173" s="894"/>
      <c r="S173" s="894"/>
      <c r="T173" s="894"/>
    </row>
    <row r="174" spans="1:22" x14ac:dyDescent="0.2">
      <c r="A174" s="894"/>
      <c r="B174" s="894"/>
      <c r="C174" s="894"/>
      <c r="D174" s="894"/>
      <c r="E174" s="894"/>
      <c r="F174" s="894"/>
      <c r="G174" s="894"/>
      <c r="H174" s="894"/>
      <c r="I174" s="894"/>
      <c r="J174" s="894"/>
      <c r="K174" s="894"/>
      <c r="L174" s="894"/>
      <c r="M174" s="894"/>
      <c r="N174" s="894"/>
      <c r="O174" s="894"/>
      <c r="P174" s="894"/>
      <c r="Q174" s="894"/>
      <c r="R174" s="894"/>
      <c r="S174" s="894"/>
      <c r="T174" s="894"/>
    </row>
    <row r="175" spans="1:22" x14ac:dyDescent="0.2">
      <c r="A175" s="894"/>
      <c r="B175" s="894"/>
      <c r="C175" s="894"/>
      <c r="D175" s="894"/>
      <c r="E175" s="894"/>
      <c r="F175" s="894"/>
      <c r="G175" s="894"/>
      <c r="H175" s="894"/>
      <c r="I175" s="894"/>
      <c r="J175" s="894"/>
      <c r="K175" s="894"/>
      <c r="L175" s="894"/>
      <c r="M175" s="894"/>
      <c r="N175" s="894"/>
      <c r="O175" s="894"/>
      <c r="P175" s="894"/>
      <c r="Q175" s="894"/>
      <c r="R175" s="894"/>
      <c r="S175" s="894"/>
      <c r="T175" s="894"/>
    </row>
    <row r="176" spans="1:22" x14ac:dyDescent="0.2">
      <c r="A176" s="894"/>
      <c r="B176" s="894"/>
      <c r="C176" s="894"/>
      <c r="D176" s="894"/>
      <c r="E176" s="894"/>
      <c r="F176" s="894"/>
      <c r="G176" s="894"/>
      <c r="H176" s="894"/>
      <c r="I176" s="894"/>
      <c r="J176" s="894"/>
      <c r="K176" s="894"/>
      <c r="L176" s="894"/>
      <c r="M176" s="894"/>
      <c r="N176" s="894"/>
      <c r="O176" s="894"/>
      <c r="P176" s="894"/>
      <c r="Q176" s="894"/>
      <c r="R176" s="894"/>
      <c r="S176" s="894"/>
      <c r="T176" s="894"/>
    </row>
    <row r="177" spans="1:20" x14ac:dyDescent="0.2">
      <c r="A177" s="894"/>
      <c r="B177" s="894"/>
      <c r="C177" s="894"/>
      <c r="D177" s="894"/>
      <c r="E177" s="894"/>
      <c r="F177" s="894"/>
      <c r="G177" s="894"/>
      <c r="H177" s="894"/>
      <c r="I177" s="894"/>
      <c r="J177" s="894"/>
      <c r="K177" s="894"/>
      <c r="L177" s="894"/>
      <c r="M177" s="894"/>
      <c r="N177" s="894"/>
      <c r="O177" s="894"/>
      <c r="P177" s="894"/>
      <c r="Q177" s="894"/>
      <c r="R177" s="894"/>
      <c r="S177" s="894"/>
      <c r="T177" s="894"/>
    </row>
    <row r="178" spans="1:20" x14ac:dyDescent="0.2">
      <c r="A178" s="894"/>
      <c r="B178" s="894"/>
      <c r="C178" s="894"/>
      <c r="D178" s="894"/>
      <c r="E178" s="894"/>
      <c r="F178" s="894"/>
      <c r="G178" s="894"/>
      <c r="H178" s="894"/>
      <c r="I178" s="894"/>
      <c r="J178" s="894"/>
      <c r="K178" s="894"/>
      <c r="L178" s="894"/>
      <c r="M178" s="894"/>
      <c r="N178" s="894"/>
      <c r="O178" s="894"/>
      <c r="P178" s="894"/>
      <c r="Q178" s="894"/>
      <c r="R178" s="894"/>
      <c r="S178" s="894"/>
      <c r="T178" s="894"/>
    </row>
    <row r="179" spans="1:20" x14ac:dyDescent="0.2">
      <c r="A179" s="894"/>
      <c r="B179" s="894"/>
      <c r="C179" s="894"/>
      <c r="D179" s="894"/>
      <c r="E179" s="894"/>
      <c r="F179" s="894"/>
      <c r="G179" s="894"/>
      <c r="H179" s="894"/>
      <c r="I179" s="894"/>
      <c r="J179" s="894"/>
      <c r="K179" s="894"/>
      <c r="L179" s="894"/>
      <c r="M179" s="894"/>
      <c r="N179" s="894"/>
      <c r="O179" s="894"/>
      <c r="P179" s="894"/>
      <c r="Q179" s="894"/>
      <c r="R179" s="894"/>
      <c r="S179" s="894"/>
      <c r="T179" s="894"/>
    </row>
    <row r="180" spans="1:20" x14ac:dyDescent="0.2">
      <c r="A180" s="894"/>
      <c r="B180" s="894"/>
      <c r="C180" s="894"/>
      <c r="D180" s="894"/>
      <c r="E180" s="894"/>
      <c r="F180" s="894"/>
      <c r="G180" s="894"/>
      <c r="H180" s="894"/>
      <c r="I180" s="894"/>
      <c r="J180" s="894"/>
      <c r="K180" s="894"/>
      <c r="L180" s="894"/>
      <c r="M180" s="894"/>
      <c r="N180" s="894"/>
      <c r="O180" s="894"/>
      <c r="P180" s="894"/>
      <c r="Q180" s="894"/>
      <c r="R180" s="894"/>
      <c r="S180" s="894"/>
      <c r="T180" s="894"/>
    </row>
    <row r="181" spans="1:20" x14ac:dyDescent="0.2">
      <c r="A181" s="894"/>
      <c r="B181" s="894"/>
      <c r="C181" s="894"/>
      <c r="D181" s="894"/>
      <c r="E181" s="894"/>
      <c r="F181" s="894"/>
      <c r="G181" s="894"/>
      <c r="H181" s="894"/>
      <c r="I181" s="894"/>
      <c r="J181" s="894"/>
      <c r="K181" s="894"/>
      <c r="L181" s="894"/>
      <c r="M181" s="894"/>
      <c r="N181" s="894"/>
      <c r="O181" s="894"/>
      <c r="P181" s="894"/>
      <c r="Q181" s="894"/>
      <c r="R181" s="894"/>
      <c r="S181" s="894"/>
      <c r="T181" s="894"/>
    </row>
    <row r="182" spans="1:20" x14ac:dyDescent="0.2">
      <c r="A182" s="894"/>
      <c r="B182" s="894"/>
      <c r="C182" s="894"/>
      <c r="D182" s="894"/>
      <c r="E182" s="894"/>
      <c r="F182" s="894"/>
      <c r="G182" s="894"/>
      <c r="H182" s="894"/>
      <c r="I182" s="894"/>
      <c r="J182" s="894"/>
      <c r="K182" s="894"/>
      <c r="L182" s="894"/>
      <c r="M182" s="894"/>
      <c r="N182" s="894"/>
      <c r="O182" s="894"/>
      <c r="P182" s="894"/>
      <c r="Q182" s="894"/>
      <c r="R182" s="894"/>
      <c r="S182" s="894"/>
      <c r="T182" s="894"/>
    </row>
    <row r="183" spans="1:20" x14ac:dyDescent="0.2">
      <c r="A183" s="894"/>
      <c r="B183" s="894"/>
      <c r="C183" s="894"/>
      <c r="D183" s="894"/>
      <c r="E183" s="894"/>
      <c r="F183" s="894"/>
      <c r="G183" s="894"/>
      <c r="H183" s="894"/>
      <c r="I183" s="894"/>
      <c r="J183" s="894"/>
      <c r="K183" s="894"/>
      <c r="L183" s="894"/>
      <c r="M183" s="894"/>
      <c r="N183" s="894"/>
      <c r="O183" s="894"/>
      <c r="P183" s="894"/>
      <c r="Q183" s="894"/>
      <c r="R183" s="894"/>
      <c r="S183" s="894"/>
      <c r="T183" s="894"/>
    </row>
    <row r="184" spans="1:20" x14ac:dyDescent="0.2">
      <c r="A184" s="894"/>
      <c r="B184" s="894"/>
      <c r="C184" s="894"/>
      <c r="D184" s="894"/>
      <c r="E184" s="894"/>
      <c r="F184" s="894"/>
      <c r="G184" s="894"/>
      <c r="H184" s="894"/>
      <c r="I184" s="894"/>
      <c r="J184" s="894"/>
      <c r="K184" s="894"/>
      <c r="L184" s="894"/>
      <c r="M184" s="894"/>
      <c r="N184" s="894"/>
      <c r="O184" s="894"/>
      <c r="P184" s="894"/>
      <c r="Q184" s="894"/>
      <c r="R184" s="894"/>
      <c r="S184" s="894"/>
      <c r="T184" s="894"/>
    </row>
    <row r="185" spans="1:20" x14ac:dyDescent="0.2">
      <c r="A185" s="894"/>
      <c r="B185" s="894"/>
      <c r="C185" s="894"/>
      <c r="D185" s="894"/>
      <c r="E185" s="894"/>
      <c r="F185" s="894"/>
      <c r="G185" s="894"/>
      <c r="H185" s="894"/>
      <c r="I185" s="894"/>
      <c r="J185" s="894"/>
      <c r="K185" s="894"/>
      <c r="L185" s="894"/>
      <c r="M185" s="894"/>
      <c r="N185" s="894"/>
      <c r="O185" s="894"/>
      <c r="P185" s="894"/>
      <c r="Q185" s="894"/>
      <c r="R185" s="894"/>
      <c r="S185" s="894"/>
      <c r="T185" s="894"/>
    </row>
    <row r="186" spans="1:20" x14ac:dyDescent="0.2">
      <c r="A186" s="894"/>
      <c r="B186" s="894"/>
      <c r="C186" s="894"/>
      <c r="D186" s="894"/>
      <c r="E186" s="894"/>
      <c r="F186" s="894"/>
      <c r="G186" s="894"/>
      <c r="H186" s="894"/>
      <c r="I186" s="894"/>
      <c r="J186" s="894"/>
      <c r="K186" s="894"/>
      <c r="L186" s="894"/>
      <c r="M186" s="894"/>
      <c r="N186" s="894"/>
      <c r="O186" s="894"/>
      <c r="P186" s="894"/>
      <c r="Q186" s="894"/>
      <c r="R186" s="894"/>
      <c r="S186" s="894"/>
      <c r="T186" s="894"/>
    </row>
  </sheetData>
  <sheetProtection algorithmName="SHA-512" hashValue="QFDnvkH0y2gh4aPNkzGtjNU/Mi1MjV0Mj1EEo8DtnrNST4arej6sl444IcnJMKlYRKQi69CGFPu5LC0ZMxgkBw==" saltValue="FXENlMJuS0C1di/kmTROHg==" spinCount="100000" sheet="1" objects="1" scenarios="1"/>
  <protectedRanges>
    <protectedRange sqref="L152:L158 B152:G158" name="Range1"/>
  </protectedRanges>
  <hyperlinks>
    <hyperlink ref="B14" r:id="rId1" xr:uid="{33B1A9A2-774F-4BB2-B365-29484390C8B1}"/>
    <hyperlink ref="B15" r:id="rId2" location="/00850171-DC/DD00849508/Part%20VIIIA%20products%20F" xr:uid="{26265C53-3819-44E3-B9D3-B5F11973DF05}"/>
    <hyperlink ref="B135" r:id="rId3" display="https://www.england.nhs.uk/publication/2023-25-nhs-payment-scheme/" xr:uid="{9EA535F2-8165-4D70-9934-C9E7FFD7B4B8}"/>
    <hyperlink ref="B147" r:id="rId4" display="https://www.england.nhs.uk/publication/2023-25-nhs-payment-scheme/" xr:uid="{42301356-054F-46A4-9605-A073DAFEC9E0}"/>
  </hyperlinks>
  <pageMargins left="0.70866141732283472" right="0.70866141732283472" top="0.74803149606299213" bottom="0.74803149606299213" header="0.31496062992125984" footer="0.31496062992125984"/>
  <pageSetup paperSize="9" scale="35" orientation="portrait" r:id="rId5"/>
  <ignoredErrors>
    <ignoredError sqref="I23:I31 I37:I43 I49:I55 H49:H55 I62:I66 H65 I72:I77 H72:H76 I85:I91 H85:H91 I99 H106:H112 I106:I11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AI87"/>
  <sheetViews>
    <sheetView showGridLines="0" zoomScale="80" zoomScaleNormal="80" zoomScaleSheetLayoutView="80" workbookViewId="0"/>
  </sheetViews>
  <sheetFormatPr defaultColWidth="8.85546875" defaultRowHeight="14.25" x14ac:dyDescent="0.2"/>
  <cols>
    <col min="1" max="1" width="3.5703125" style="1" customWidth="1"/>
    <col min="2" max="2" width="53.85546875" style="1" customWidth="1"/>
    <col min="3" max="3" width="17.28515625" style="1" customWidth="1"/>
    <col min="4" max="4" width="11.5703125" style="1" customWidth="1"/>
    <col min="5" max="8" width="11.7109375" style="1" customWidth="1"/>
    <col min="9" max="9" width="10.42578125" style="1" customWidth="1"/>
    <col min="10" max="10" width="11.7109375" style="1" customWidth="1"/>
    <col min="11" max="11" width="1.28515625" style="1" customWidth="1"/>
    <col min="12" max="16384" width="8.85546875" style="1"/>
  </cols>
  <sheetData>
    <row r="1" spans="2:11" ht="66.95" customHeight="1" x14ac:dyDescent="0.2">
      <c r="B1" s="274" t="str">
        <f>'Unit costs'!B1</f>
        <v>Tumour profiling tests to guide adjuvant chemotherapy decisions in lymph node positive early breast cancer</v>
      </c>
      <c r="C1" s="274"/>
      <c r="D1" s="971"/>
      <c r="E1" s="971"/>
      <c r="F1" s="971"/>
      <c r="G1" s="971"/>
      <c r="H1" s="971"/>
      <c r="I1" s="971"/>
      <c r="J1" s="971"/>
    </row>
    <row r="2" spans="2:11" x14ac:dyDescent="0.2">
      <c r="B2" s="971"/>
      <c r="C2" s="971"/>
      <c r="D2" s="971"/>
      <c r="E2" s="971"/>
      <c r="F2" s="971"/>
      <c r="G2" s="971"/>
      <c r="H2" s="971"/>
      <c r="I2" s="971"/>
      <c r="J2" s="971"/>
    </row>
    <row r="3" spans="2:11" ht="30" customHeight="1" x14ac:dyDescent="0.2">
      <c r="B3" s="545" t="s">
        <v>17</v>
      </c>
      <c r="C3" s="971"/>
      <c r="D3" s="130" t="s">
        <v>104</v>
      </c>
      <c r="E3" s="130" t="s">
        <v>104</v>
      </c>
      <c r="F3" s="130" t="s">
        <v>104</v>
      </c>
      <c r="G3" s="130" t="s">
        <v>104</v>
      </c>
      <c r="H3" s="130" t="s">
        <v>104</v>
      </c>
      <c r="I3" s="130" t="s">
        <v>104</v>
      </c>
      <c r="J3" s="971"/>
    </row>
    <row r="4" spans="2:11" x14ac:dyDescent="0.2">
      <c r="B4" s="257" t="s">
        <v>104</v>
      </c>
      <c r="C4" s="257"/>
      <c r="D4" s="257" t="s">
        <v>104</v>
      </c>
      <c r="E4" s="257" t="s">
        <v>104</v>
      </c>
      <c r="F4" s="257" t="s">
        <v>104</v>
      </c>
      <c r="G4" s="257" t="s">
        <v>104</v>
      </c>
      <c r="H4" s="257" t="s">
        <v>104</v>
      </c>
      <c r="I4" s="257" t="s">
        <v>104</v>
      </c>
      <c r="J4" s="971"/>
    </row>
    <row r="5" spans="2:11" x14ac:dyDescent="0.2">
      <c r="J5" s="971"/>
    </row>
    <row r="6" spans="2:11" ht="15" thickBot="1" x14ac:dyDescent="0.25">
      <c r="B6" s="4"/>
      <c r="C6" s="4"/>
      <c r="G6" s="257"/>
      <c r="H6" s="257"/>
      <c r="I6" s="257" t="s">
        <v>143</v>
      </c>
      <c r="J6" s="971"/>
    </row>
    <row r="7" spans="2:11" ht="29.25" x14ac:dyDescent="0.25">
      <c r="B7" s="1189" t="s">
        <v>144</v>
      </c>
      <c r="C7" s="1190"/>
      <c r="D7" s="1051" t="s">
        <v>146</v>
      </c>
      <c r="E7" s="1052" t="s">
        <v>62</v>
      </c>
      <c r="F7" s="1052" t="s">
        <v>63</v>
      </c>
      <c r="G7" s="1052" t="s">
        <v>64</v>
      </c>
      <c r="H7" s="1052" t="s">
        <v>65</v>
      </c>
      <c r="I7" s="1053" t="s">
        <v>66</v>
      </c>
      <c r="K7" s="971"/>
    </row>
    <row r="8" spans="2:11" s="8" customFormat="1" ht="15" x14ac:dyDescent="0.25">
      <c r="B8" s="1191" t="s">
        <v>145</v>
      </c>
      <c r="C8" s="1033"/>
      <c r="D8" s="1035">
        <f>'Inputs and eligible population'!F46</f>
        <v>3325.6486634478779</v>
      </c>
      <c r="E8" s="974">
        <f>'Inputs and eligible population'!G$46</f>
        <v>3325.6486634478779</v>
      </c>
      <c r="F8" s="974">
        <f>'Inputs and eligible population'!H$46</f>
        <v>3325.6486634478779</v>
      </c>
      <c r="G8" s="974">
        <f>'Inputs and eligible population'!I$46</f>
        <v>3325.6486634478779</v>
      </c>
      <c r="H8" s="974">
        <f>'Inputs and eligible population'!J$46</f>
        <v>3325.6486634478779</v>
      </c>
      <c r="I8" s="1060">
        <f>'Inputs and eligible population'!K$46</f>
        <v>3325.6486634478779</v>
      </c>
      <c r="J8" s="1"/>
      <c r="K8" s="971"/>
    </row>
    <row r="9" spans="2:11" x14ac:dyDescent="0.2">
      <c r="B9" s="776" t="s">
        <v>1218</v>
      </c>
      <c r="C9" s="1034"/>
      <c r="D9" s="1036">
        <f>'Inputs and eligible population'!F47</f>
        <v>0</v>
      </c>
      <c r="E9" s="975">
        <f>'Inputs and eligible population'!G$47</f>
        <v>0</v>
      </c>
      <c r="F9" s="975">
        <f>'Inputs and eligible population'!H$47</f>
        <v>0</v>
      </c>
      <c r="G9" s="975">
        <f>'Inputs and eligible population'!I$47</f>
        <v>0</v>
      </c>
      <c r="H9" s="975">
        <f>'Inputs and eligible population'!J$47</f>
        <v>0</v>
      </c>
      <c r="I9" s="1192">
        <f>'Inputs and eligible population'!K$47</f>
        <v>0</v>
      </c>
      <c r="K9" s="971"/>
    </row>
    <row r="10" spans="2:11" ht="18.95" customHeight="1" thickBot="1" x14ac:dyDescent="0.25">
      <c r="B10" s="1193" t="s">
        <v>1219</v>
      </c>
      <c r="C10" s="1194"/>
      <c r="D10" s="1195">
        <f>'Inputs and eligible population'!F48</f>
        <v>0</v>
      </c>
      <c r="E10" s="1196">
        <f>'Inputs and eligible population'!G$48</f>
        <v>0</v>
      </c>
      <c r="F10" s="1196">
        <f>'Inputs and eligible population'!H$48</f>
        <v>0</v>
      </c>
      <c r="G10" s="1196">
        <f>'Inputs and eligible population'!I$48</f>
        <v>0</v>
      </c>
      <c r="H10" s="1196">
        <f>'Inputs and eligible population'!J$48</f>
        <v>0</v>
      </c>
      <c r="I10" s="1197">
        <f>'Inputs and eligible population'!K$48</f>
        <v>0</v>
      </c>
      <c r="K10" s="257"/>
    </row>
    <row r="11" spans="2:11" ht="14.45" customHeight="1" thickBot="1" x14ac:dyDescent="0.25">
      <c r="B11" s="850"/>
      <c r="C11" s="850"/>
      <c r="D11" s="850"/>
      <c r="E11" s="257"/>
      <c r="F11" s="257"/>
      <c r="G11" s="257"/>
      <c r="H11" s="257"/>
      <c r="I11" s="257"/>
      <c r="K11" s="257"/>
    </row>
    <row r="12" spans="2:11" ht="29.25" x14ac:dyDescent="0.25">
      <c r="B12" s="1183" t="s">
        <v>1213</v>
      </c>
      <c r="C12" s="1184"/>
      <c r="D12" s="1051" t="s">
        <v>146</v>
      </c>
      <c r="E12" s="1052" t="s">
        <v>62</v>
      </c>
      <c r="F12" s="1052" t="s">
        <v>63</v>
      </c>
      <c r="G12" s="1052" t="s">
        <v>64</v>
      </c>
      <c r="H12" s="1052" t="s">
        <v>65</v>
      </c>
      <c r="I12" s="1053" t="s">
        <v>66</v>
      </c>
      <c r="K12" s="257"/>
    </row>
    <row r="13" spans="2:11" x14ac:dyDescent="0.2">
      <c r="B13" s="1185" t="s">
        <v>1125</v>
      </c>
      <c r="C13" s="1153"/>
      <c r="D13" s="974">
        <f>'Inputs and eligible population'!D64</f>
        <v>0</v>
      </c>
      <c r="E13" s="974">
        <f>'Inputs and eligible population'!E64</f>
        <v>0</v>
      </c>
      <c r="F13" s="974">
        <f>'Inputs and eligible population'!F64</f>
        <v>0</v>
      </c>
      <c r="G13" s="974">
        <f>'Inputs and eligible population'!G64</f>
        <v>0</v>
      </c>
      <c r="H13" s="974">
        <f>'Inputs and eligible population'!H64</f>
        <v>0</v>
      </c>
      <c r="I13" s="1060">
        <f>'Inputs and eligible population'!I64</f>
        <v>0</v>
      </c>
      <c r="K13" s="257"/>
    </row>
    <row r="14" spans="2:11" x14ac:dyDescent="0.2">
      <c r="B14" s="1186" t="s">
        <v>1214</v>
      </c>
      <c r="C14" s="1154"/>
      <c r="D14" s="974">
        <f>'Inputs and eligible population'!D65</f>
        <v>0</v>
      </c>
      <c r="E14" s="974">
        <f>'Inputs and eligible population'!E65</f>
        <v>0</v>
      </c>
      <c r="F14" s="974">
        <f>'Inputs and eligible population'!F65</f>
        <v>0</v>
      </c>
      <c r="G14" s="974">
        <f>'Inputs and eligible population'!G65</f>
        <v>0</v>
      </c>
      <c r="H14" s="974">
        <f>'Inputs and eligible population'!H65</f>
        <v>0</v>
      </c>
      <c r="I14" s="1060">
        <f>'Inputs and eligible population'!I65</f>
        <v>0</v>
      </c>
      <c r="K14" s="257"/>
    </row>
    <row r="15" spans="2:11" x14ac:dyDescent="0.2">
      <c r="B15" s="1186" t="s">
        <v>1215</v>
      </c>
      <c r="C15" s="1154"/>
      <c r="D15" s="974">
        <f>'Inputs and eligible population'!D66</f>
        <v>0</v>
      </c>
      <c r="E15" s="974">
        <f>'Inputs and eligible population'!E66</f>
        <v>0</v>
      </c>
      <c r="F15" s="974">
        <f>'Inputs and eligible population'!F66</f>
        <v>0</v>
      </c>
      <c r="G15" s="974">
        <f>'Inputs and eligible population'!G66</f>
        <v>0</v>
      </c>
      <c r="H15" s="974">
        <f>'Inputs and eligible population'!H66</f>
        <v>0</v>
      </c>
      <c r="I15" s="1060">
        <f>'Inputs and eligible population'!I66</f>
        <v>0</v>
      </c>
      <c r="K15" s="257"/>
    </row>
    <row r="16" spans="2:11" x14ac:dyDescent="0.2">
      <c r="B16" s="1186" t="s">
        <v>1275</v>
      </c>
      <c r="C16" s="1154"/>
      <c r="D16" s="974">
        <f>'Inputs and eligible population'!D67</f>
        <v>0</v>
      </c>
      <c r="E16" s="974">
        <f>'Inputs and eligible population'!E67</f>
        <v>0</v>
      </c>
      <c r="F16" s="974">
        <f>'Inputs and eligible population'!F67</f>
        <v>0</v>
      </c>
      <c r="G16" s="974">
        <f>'Inputs and eligible population'!G67</f>
        <v>0</v>
      </c>
      <c r="H16" s="974">
        <f>'Inputs and eligible population'!H67</f>
        <v>0</v>
      </c>
      <c r="I16" s="1060">
        <f>'Inputs and eligible population'!I67</f>
        <v>0</v>
      </c>
      <c r="K16" s="257"/>
    </row>
    <row r="17" spans="2:35" ht="15" x14ac:dyDescent="0.25">
      <c r="B17" s="1186" t="s">
        <v>1225</v>
      </c>
      <c r="C17" s="1154"/>
      <c r="D17" s="977">
        <f t="shared" ref="D17:I17" si="0">SUM(D13:D16)</f>
        <v>0</v>
      </c>
      <c r="E17" s="977">
        <f t="shared" si="0"/>
        <v>0</v>
      </c>
      <c r="F17" s="977">
        <f t="shared" si="0"/>
        <v>0</v>
      </c>
      <c r="G17" s="977">
        <f t="shared" si="0"/>
        <v>0</v>
      </c>
      <c r="H17" s="977">
        <f t="shared" si="0"/>
        <v>0</v>
      </c>
      <c r="I17" s="1061">
        <f t="shared" si="0"/>
        <v>0</v>
      </c>
      <c r="K17" s="257"/>
    </row>
    <row r="18" spans="2:35" ht="15" thickBot="1" x14ac:dyDescent="0.25">
      <c r="B18" s="1187" t="s">
        <v>1216</v>
      </c>
      <c r="C18" s="1188"/>
      <c r="D18" s="1062">
        <f>'Inputs and eligible population'!E76</f>
        <v>0</v>
      </c>
      <c r="E18" s="1062">
        <f>'Inputs and eligible population'!F76</f>
        <v>0</v>
      </c>
      <c r="F18" s="1062">
        <f>'Inputs and eligible population'!G76</f>
        <v>0</v>
      </c>
      <c r="G18" s="1062">
        <f>'Inputs and eligible population'!H76</f>
        <v>0</v>
      </c>
      <c r="H18" s="1062">
        <f>'Inputs and eligible population'!I76</f>
        <v>0</v>
      </c>
      <c r="I18" s="1063">
        <f>'Inputs and eligible population'!J76</f>
        <v>0</v>
      </c>
      <c r="J18" s="257"/>
      <c r="K18" s="257"/>
    </row>
    <row r="19" spans="2:35" ht="15" x14ac:dyDescent="0.25">
      <c r="B19" s="969"/>
      <c r="C19" s="969"/>
      <c r="D19" s="80"/>
      <c r="E19" s="978"/>
      <c r="F19" s="978"/>
      <c r="G19" s="978"/>
      <c r="H19" s="978"/>
      <c r="I19" s="978"/>
      <c r="J19" s="257"/>
      <c r="K19" s="257"/>
    </row>
    <row r="20" spans="2:35" ht="15.75" thickBot="1" x14ac:dyDescent="0.3">
      <c r="B20" s="80"/>
      <c r="C20" s="80"/>
      <c r="D20" s="978"/>
      <c r="E20" s="978"/>
      <c r="F20" s="978"/>
      <c r="G20" s="978"/>
      <c r="H20" s="978"/>
      <c r="I20" s="257"/>
      <c r="J20" s="257"/>
    </row>
    <row r="21" spans="2:35" ht="28.5" x14ac:dyDescent="0.2">
      <c r="B21" s="1086"/>
      <c r="C21" s="1087"/>
      <c r="D21" s="1051" t="s">
        <v>146</v>
      </c>
      <c r="E21" s="1052" t="s">
        <v>62</v>
      </c>
      <c r="F21" s="1052" t="s">
        <v>63</v>
      </c>
      <c r="G21" s="1052" t="s">
        <v>64</v>
      </c>
      <c r="H21" s="1052" t="s">
        <v>65</v>
      </c>
      <c r="I21" s="1053" t="s">
        <v>66</v>
      </c>
      <c r="J21" s="257"/>
    </row>
    <row r="22" spans="2:35" ht="15" x14ac:dyDescent="0.25">
      <c r="B22" s="1088" t="s">
        <v>147</v>
      </c>
      <c r="C22" s="1152"/>
      <c r="D22" s="980" t="s">
        <v>149</v>
      </c>
      <c r="E22" s="980" t="s">
        <v>149</v>
      </c>
      <c r="F22" s="980" t="s">
        <v>149</v>
      </c>
      <c r="G22" s="980" t="s">
        <v>149</v>
      </c>
      <c r="H22" s="980" t="s">
        <v>149</v>
      </c>
      <c r="I22" s="1089" t="s">
        <v>149</v>
      </c>
      <c r="J22" s="257"/>
    </row>
    <row r="23" spans="2:35" x14ac:dyDescent="0.2">
      <c r="B23" s="1155" t="s">
        <v>1220</v>
      </c>
      <c r="C23" s="1153"/>
      <c r="D23" s="1009">
        <f>'Financial impact (cash)'!D25</f>
        <v>0</v>
      </c>
      <c r="E23" s="1009">
        <f>'Financial impact (cash)'!E25</f>
        <v>0</v>
      </c>
      <c r="F23" s="1009">
        <f>'Financial impact (cash)'!F25</f>
        <v>0</v>
      </c>
      <c r="G23" s="1009">
        <f>'Financial impact (cash)'!G25</f>
        <v>0</v>
      </c>
      <c r="H23" s="1009">
        <f>'Financial impact (cash)'!H25</f>
        <v>0</v>
      </c>
      <c r="I23" s="1090">
        <f>'Financial impact (cash)'!I25</f>
        <v>0</v>
      </c>
      <c r="J23" s="257"/>
    </row>
    <row r="24" spans="2:35" x14ac:dyDescent="0.2">
      <c r="B24" s="1157" t="s">
        <v>1221</v>
      </c>
      <c r="C24" s="1154"/>
      <c r="D24" s="1010">
        <f>'Financial impact (cash)'!D50</f>
        <v>0</v>
      </c>
      <c r="E24" s="1010">
        <f>'Financial impact (cash)'!E50</f>
        <v>0</v>
      </c>
      <c r="F24" s="1010">
        <f>'Financial impact (cash)'!F50</f>
        <v>0</v>
      </c>
      <c r="G24" s="1010">
        <f>'Financial impact (cash)'!G50</f>
        <v>0</v>
      </c>
      <c r="H24" s="1010">
        <f>'Financial impact (cash)'!H50</f>
        <v>0</v>
      </c>
      <c r="I24" s="1010">
        <f>'Financial impact (cash)'!I50</f>
        <v>0</v>
      </c>
      <c r="J24" s="257"/>
    </row>
    <row r="25" spans="2:35" ht="15" x14ac:dyDescent="0.25">
      <c r="B25" s="1182" t="s">
        <v>1133</v>
      </c>
      <c r="C25" s="1156"/>
      <c r="D25" s="981">
        <f t="shared" ref="D25:I25" si="1">SUM(D23:D24)</f>
        <v>0</v>
      </c>
      <c r="E25" s="981">
        <f t="shared" si="1"/>
        <v>0</v>
      </c>
      <c r="F25" s="981">
        <f t="shared" si="1"/>
        <v>0</v>
      </c>
      <c r="G25" s="981">
        <f t="shared" si="1"/>
        <v>0</v>
      </c>
      <c r="H25" s="981">
        <f t="shared" si="1"/>
        <v>0</v>
      </c>
      <c r="I25" s="1091">
        <f t="shared" si="1"/>
        <v>0</v>
      </c>
      <c r="J25" s="257"/>
    </row>
    <row r="26" spans="2:35" s="364" customFormat="1" ht="15" x14ac:dyDescent="0.25">
      <c r="B26" s="1074"/>
      <c r="C26" s="388"/>
      <c r="D26" s="507" t="s">
        <v>150</v>
      </c>
      <c r="E26" s="314">
        <f>E25-$D$25</f>
        <v>0</v>
      </c>
      <c r="F26" s="314">
        <f t="shared" ref="F26:I26" si="2">F25-$D$25</f>
        <v>0</v>
      </c>
      <c r="G26" s="314">
        <f t="shared" si="2"/>
        <v>0</v>
      </c>
      <c r="H26" s="314">
        <f t="shared" si="2"/>
        <v>0</v>
      </c>
      <c r="I26" s="1075">
        <f t="shared" si="2"/>
        <v>0</v>
      </c>
      <c r="O26" s="260"/>
      <c r="P26" s="260"/>
      <c r="Q26" s="260"/>
      <c r="R26" s="260"/>
      <c r="S26" s="260"/>
      <c r="T26" s="260"/>
      <c r="U26" s="260"/>
      <c r="AE26" s="384"/>
      <c r="AF26" s="384"/>
      <c r="AG26" s="384"/>
      <c r="AH26" s="384"/>
      <c r="AI26" s="384"/>
    </row>
    <row r="27" spans="2:35" s="364" customFormat="1" ht="15.75" thickBot="1" x14ac:dyDescent="0.3">
      <c r="B27" s="1092"/>
      <c r="C27" s="1093"/>
      <c r="D27" s="1094" t="s">
        <v>1290</v>
      </c>
      <c r="E27" s="1079">
        <f>E26</f>
        <v>0</v>
      </c>
      <c r="F27" s="1080">
        <f>F26-E26</f>
        <v>0</v>
      </c>
      <c r="G27" s="1080">
        <f t="shared" ref="G27:I27" si="3">G26-F26</f>
        <v>0</v>
      </c>
      <c r="H27" s="1080">
        <f t="shared" si="3"/>
        <v>0</v>
      </c>
      <c r="I27" s="1081">
        <f t="shared" si="3"/>
        <v>0</v>
      </c>
      <c r="K27" s="260"/>
      <c r="L27" s="260"/>
      <c r="M27" s="260"/>
      <c r="N27" s="260"/>
      <c r="O27" s="260"/>
      <c r="P27" s="260"/>
      <c r="Q27" s="260"/>
      <c r="R27" s="260"/>
      <c r="S27" s="260"/>
      <c r="T27" s="260"/>
      <c r="U27" s="260"/>
      <c r="AE27" s="384"/>
      <c r="AF27" s="384"/>
      <c r="AG27" s="384"/>
      <c r="AH27" s="384"/>
      <c r="AI27" s="384"/>
    </row>
    <row r="29" spans="2:35" ht="15" x14ac:dyDescent="0.25">
      <c r="B29" s="969"/>
      <c r="C29" s="969"/>
      <c r="D29" s="80"/>
      <c r="E29" s="978"/>
      <c r="F29" s="978"/>
      <c r="G29" s="978"/>
      <c r="H29" s="978"/>
      <c r="I29" s="978"/>
      <c r="J29" s="257"/>
      <c r="K29" s="257"/>
    </row>
    <row r="30" spans="2:35" ht="15" x14ac:dyDescent="0.25">
      <c r="B30" s="969"/>
      <c r="C30" s="969"/>
      <c r="D30" s="80"/>
      <c r="E30" s="978"/>
      <c r="F30" s="978"/>
      <c r="G30" s="978"/>
      <c r="H30" s="978"/>
      <c r="I30" s="978"/>
      <c r="J30" s="257"/>
      <c r="K30" s="257"/>
    </row>
    <row r="31" spans="2:35" ht="15" x14ac:dyDescent="0.25">
      <c r="B31" s="969"/>
      <c r="C31" s="80"/>
      <c r="D31" s="978"/>
      <c r="E31" s="978"/>
      <c r="F31" s="978"/>
      <c r="G31" s="978"/>
      <c r="H31" s="978"/>
      <c r="I31" s="257"/>
      <c r="J31" s="257"/>
    </row>
    <row r="32" spans="2:35" ht="15" x14ac:dyDescent="0.25">
      <c r="B32" s="969"/>
      <c r="C32" s="80"/>
      <c r="D32" s="978"/>
      <c r="E32" s="978"/>
      <c r="F32" s="978"/>
      <c r="G32" s="978"/>
      <c r="H32" s="978"/>
      <c r="I32" s="257"/>
      <c r="J32" s="257"/>
    </row>
    <row r="33" spans="1:10" ht="15" x14ac:dyDescent="0.25">
      <c r="B33" s="1" t="s">
        <v>152</v>
      </c>
      <c r="C33" s="80"/>
      <c r="D33" s="982"/>
      <c r="E33" s="982"/>
      <c r="F33" s="982"/>
      <c r="G33" s="982"/>
      <c r="H33" s="982"/>
      <c r="I33" s="1011"/>
      <c r="J33" s="257"/>
    </row>
    <row r="34" spans="1:10" ht="15" x14ac:dyDescent="0.25">
      <c r="C34" s="80"/>
      <c r="D34" s="982"/>
      <c r="E34" s="982"/>
      <c r="F34" s="982"/>
      <c r="G34" s="982"/>
      <c r="H34" s="982"/>
      <c r="I34" s="1011"/>
      <c r="J34" s="257"/>
    </row>
    <row r="35" spans="1:10" x14ac:dyDescent="0.2">
      <c r="B35" s="1209" t="s">
        <v>135</v>
      </c>
      <c r="C35" s="80"/>
      <c r="D35" s="982"/>
      <c r="E35" s="982"/>
      <c r="F35" s="982"/>
      <c r="G35" s="982"/>
      <c r="H35" s="982"/>
      <c r="J35" s="257"/>
    </row>
    <row r="36" spans="1:10" x14ac:dyDescent="0.2">
      <c r="A36" s="982"/>
      <c r="B36" s="80"/>
      <c r="C36" s="976" t="s">
        <v>146</v>
      </c>
      <c r="D36" s="973" t="s">
        <v>62</v>
      </c>
      <c r="E36" s="973" t="s">
        <v>63</v>
      </c>
      <c r="F36" s="973" t="s">
        <v>64</v>
      </c>
      <c r="G36" s="973" t="s">
        <v>65</v>
      </c>
      <c r="H36" s="973" t="s">
        <v>66</v>
      </c>
      <c r="J36" s="257"/>
    </row>
    <row r="37" spans="1:10" ht="15" x14ac:dyDescent="0.25">
      <c r="A37" s="982"/>
      <c r="B37" s="979" t="s">
        <v>153</v>
      </c>
      <c r="C37" s="980" t="s">
        <v>149</v>
      </c>
      <c r="D37" s="980" t="s">
        <v>149</v>
      </c>
      <c r="E37" s="980" t="s">
        <v>149</v>
      </c>
      <c r="F37" s="980" t="s">
        <v>149</v>
      </c>
      <c r="G37" s="980" t="s">
        <v>149</v>
      </c>
      <c r="H37" s="980" t="s">
        <v>149</v>
      </c>
      <c r="J37" s="257"/>
    </row>
    <row r="38" spans="1:10" ht="15" x14ac:dyDescent="0.25">
      <c r="A38" s="982"/>
      <c r="B38" s="983" t="s">
        <v>154</v>
      </c>
      <c r="C38" s="984">
        <f>IF($B$35="national prices",'Capacity (national prices)'!K24,IF($B$35="local prices",'Capacity (local prices) '!K24,0))</f>
        <v>0</v>
      </c>
      <c r="D38" s="984">
        <f>IF($B$35="national prices",'Capacity (national prices)'!L24,IF($B$35="local prices",'Capacity (local prices) '!L24,0))</f>
        <v>0</v>
      </c>
      <c r="E38" s="984">
        <f>IF($B$35="national prices",'Capacity (national prices)'!M24,IF($B$35="local prices",'Capacity (local prices) '!M24,0))</f>
        <v>0</v>
      </c>
      <c r="F38" s="984">
        <f>IF($B$35="national prices",'Capacity (national prices)'!N24,IF($B$35="local prices",'Capacity (local prices) '!N24,0))</f>
        <v>0</v>
      </c>
      <c r="G38" s="984">
        <f>IF($B$35="national prices",'Capacity (national prices)'!O24,IF($B$35="local prices",'Capacity (local prices) '!O24,0))</f>
        <v>0</v>
      </c>
      <c r="H38" s="984">
        <f>IF($B$35="national prices",'Capacity (national prices)'!P24,IF($B$35="local prices",'Capacity (local prices) '!P24,0))</f>
        <v>0</v>
      </c>
      <c r="J38" s="257"/>
    </row>
    <row r="39" spans="1:10" ht="15" x14ac:dyDescent="0.25">
      <c r="A39" s="982"/>
      <c r="B39" s="1118" t="s">
        <v>155</v>
      </c>
      <c r="C39" s="1119"/>
      <c r="D39" s="981">
        <f>D38-$C$38</f>
        <v>0</v>
      </c>
      <c r="E39" s="981">
        <f>E38-$C$38</f>
        <v>0</v>
      </c>
      <c r="F39" s="981">
        <f>F38-$C$38</f>
        <v>0</v>
      </c>
      <c r="G39" s="981">
        <f>G38-$C$38</f>
        <v>0</v>
      </c>
      <c r="H39" s="1142">
        <f>H38-$C$38</f>
        <v>0</v>
      </c>
      <c r="I39" s="1148" t="s">
        <v>1268</v>
      </c>
      <c r="J39" s="257"/>
    </row>
    <row r="40" spans="1:10" ht="15" x14ac:dyDescent="0.25">
      <c r="A40" s="982"/>
      <c r="C40" s="84"/>
      <c r="D40" s="981">
        <f>D38-C38</f>
        <v>0</v>
      </c>
      <c r="E40" s="981">
        <f>E38-D38</f>
        <v>0</v>
      </c>
      <c r="F40" s="981">
        <f>F38-E38</f>
        <v>0</v>
      </c>
      <c r="G40" s="981">
        <f>G38-F38</f>
        <v>0</v>
      </c>
      <c r="H40" s="1142">
        <f>H38-G38</f>
        <v>0</v>
      </c>
      <c r="I40" s="1148" t="s">
        <v>151</v>
      </c>
      <c r="J40" s="257"/>
    </row>
    <row r="41" spans="1:10" x14ac:dyDescent="0.2">
      <c r="A41" s="982"/>
      <c r="C41" s="982"/>
      <c r="D41" s="982"/>
      <c r="E41" s="982"/>
      <c r="F41" s="982"/>
      <c r="G41" s="982"/>
      <c r="H41" s="982"/>
      <c r="J41" s="257"/>
    </row>
    <row r="42" spans="1:10" x14ac:dyDescent="0.2">
      <c r="A42" s="982"/>
      <c r="B42" s="982"/>
      <c r="C42" s="976" t="s">
        <v>146</v>
      </c>
      <c r="D42" s="973" t="s">
        <v>62</v>
      </c>
      <c r="E42" s="973" t="s">
        <v>63</v>
      </c>
      <c r="F42" s="973" t="s">
        <v>64</v>
      </c>
      <c r="G42" s="973" t="s">
        <v>65</v>
      </c>
      <c r="H42" s="1143" t="s">
        <v>66</v>
      </c>
      <c r="J42" s="257"/>
    </row>
    <row r="43" spans="1:10" ht="15" x14ac:dyDescent="0.25">
      <c r="B43" s="979" t="s">
        <v>156</v>
      </c>
      <c r="C43" s="980" t="s">
        <v>149</v>
      </c>
      <c r="D43" s="980" t="s">
        <v>149</v>
      </c>
      <c r="E43" s="980" t="s">
        <v>149</v>
      </c>
      <c r="F43" s="980" t="s">
        <v>149</v>
      </c>
      <c r="G43" s="980" t="s">
        <v>149</v>
      </c>
      <c r="H43" s="1144" t="s">
        <v>149</v>
      </c>
      <c r="J43" s="257"/>
    </row>
    <row r="44" spans="1:10" ht="15" x14ac:dyDescent="0.25">
      <c r="B44" s="985" t="s">
        <v>157</v>
      </c>
      <c r="C44" s="1009">
        <f t="shared" ref="C44:H44" si="4">D25+C38</f>
        <v>0</v>
      </c>
      <c r="D44" s="1009">
        <f t="shared" si="4"/>
        <v>0</v>
      </c>
      <c r="E44" s="1009">
        <f t="shared" si="4"/>
        <v>0</v>
      </c>
      <c r="F44" s="1009">
        <f t="shared" si="4"/>
        <v>0</v>
      </c>
      <c r="G44" s="1009">
        <f t="shared" si="4"/>
        <v>0</v>
      </c>
      <c r="H44" s="1145">
        <f t="shared" si="4"/>
        <v>0</v>
      </c>
      <c r="I44" s="257"/>
      <c r="J44" s="257"/>
    </row>
    <row r="45" spans="1:10" ht="15" x14ac:dyDescent="0.25">
      <c r="C45" s="986"/>
      <c r="D45" s="1141">
        <f>D44-$C$44</f>
        <v>0</v>
      </c>
      <c r="E45" s="1141">
        <f t="shared" ref="E45:H45" si="5">E44-$C$44</f>
        <v>0</v>
      </c>
      <c r="F45" s="1141">
        <f t="shared" si="5"/>
        <v>0</v>
      </c>
      <c r="G45" s="1141">
        <f t="shared" si="5"/>
        <v>0</v>
      </c>
      <c r="H45" s="1146">
        <f t="shared" si="5"/>
        <v>0</v>
      </c>
      <c r="I45" s="1148" t="s">
        <v>150</v>
      </c>
      <c r="J45" s="257"/>
    </row>
    <row r="46" spans="1:10" ht="15" x14ac:dyDescent="0.25">
      <c r="B46" s="987"/>
      <c r="C46" s="986"/>
      <c r="D46" s="988">
        <f>D44-C44</f>
        <v>0</v>
      </c>
      <c r="E46" s="988">
        <f>E44-D44</f>
        <v>0</v>
      </c>
      <c r="F46" s="988">
        <f>F44-E44</f>
        <v>0</v>
      </c>
      <c r="G46" s="988">
        <f>G44-F44</f>
        <v>0</v>
      </c>
      <c r="H46" s="1147">
        <f>H44-G44</f>
        <v>0</v>
      </c>
      <c r="I46" s="1149" t="s">
        <v>151</v>
      </c>
      <c r="J46" s="257"/>
    </row>
    <row r="47" spans="1:10" ht="15" x14ac:dyDescent="0.25">
      <c r="B47" s="987"/>
      <c r="C47" s="80"/>
      <c r="D47" s="978"/>
      <c r="E47" s="978"/>
      <c r="F47" s="978"/>
      <c r="G47" s="978"/>
      <c r="H47" s="978"/>
      <c r="J47" s="257"/>
    </row>
    <row r="48" spans="1:10" ht="15.75" thickBot="1" x14ac:dyDescent="0.3">
      <c r="B48" s="80"/>
      <c r="C48" s="80"/>
      <c r="D48" s="978"/>
      <c r="E48" s="978"/>
      <c r="F48" s="978"/>
      <c r="G48" s="978"/>
      <c r="H48" s="978"/>
      <c r="J48" s="257"/>
    </row>
    <row r="49" spans="2:10" ht="15" x14ac:dyDescent="0.25">
      <c r="B49" s="1139"/>
      <c r="C49" s="1139"/>
      <c r="D49" s="1140"/>
      <c r="E49" s="1140"/>
      <c r="F49" s="1140"/>
      <c r="G49" s="1140"/>
      <c r="H49" s="1140"/>
      <c r="J49" s="257"/>
    </row>
    <row r="50" spans="2:10" ht="15" x14ac:dyDescent="0.25">
      <c r="B50" s="979" t="s">
        <v>158</v>
      </c>
      <c r="C50" s="989"/>
      <c r="D50" s="973" t="s">
        <v>62</v>
      </c>
      <c r="E50" s="973" t="s">
        <v>63</v>
      </c>
      <c r="F50" s="973" t="s">
        <v>64</v>
      </c>
      <c r="G50" s="973" t="s">
        <v>65</v>
      </c>
      <c r="H50" s="973" t="s">
        <v>66</v>
      </c>
      <c r="J50" s="257"/>
    </row>
    <row r="51" spans="2:10" ht="15" x14ac:dyDescent="0.25">
      <c r="B51" s="992"/>
      <c r="C51" s="990"/>
      <c r="D51" s="991"/>
      <c r="E51" s="991"/>
      <c r="F51" s="991"/>
      <c r="G51" s="991"/>
      <c r="H51" s="991"/>
      <c r="J51" s="257"/>
    </row>
    <row r="52" spans="2:10" ht="15" x14ac:dyDescent="0.25">
      <c r="B52" s="979" t="s">
        <v>159</v>
      </c>
      <c r="C52" s="993"/>
      <c r="D52" s="994"/>
      <c r="E52" s="994"/>
      <c r="F52" s="994"/>
      <c r="G52" s="994"/>
      <c r="H52" s="994"/>
      <c r="J52" s="257"/>
    </row>
    <row r="53" spans="2:10" x14ac:dyDescent="0.2">
      <c r="B53" s="997" t="s">
        <v>1269</v>
      </c>
      <c r="C53" s="995"/>
      <c r="D53" s="996">
        <f>'Capacity (local prices) '!E66</f>
        <v>0</v>
      </c>
      <c r="E53" s="996">
        <f>'Capacity (local prices) '!F66</f>
        <v>0</v>
      </c>
      <c r="F53" s="996">
        <f>'Capacity (local prices) '!G66</f>
        <v>0</v>
      </c>
      <c r="G53" s="996">
        <f>'Capacity (local prices) '!H66</f>
        <v>0</v>
      </c>
      <c r="H53" s="1150">
        <f>'Capacity (local prices) '!I66</f>
        <v>0</v>
      </c>
      <c r="J53" s="257"/>
    </row>
    <row r="54" spans="2:10" ht="15" x14ac:dyDescent="0.25">
      <c r="B54" s="1000"/>
      <c r="C54" s="998"/>
      <c r="D54" s="999">
        <f>SUM(D53:D53)</f>
        <v>0</v>
      </c>
      <c r="E54" s="999">
        <f>SUM(E53:E53)</f>
        <v>0</v>
      </c>
      <c r="F54" s="999">
        <f>SUM(F53:F53)</f>
        <v>0</v>
      </c>
      <c r="G54" s="999">
        <f>SUM(G53:G53)</f>
        <v>0</v>
      </c>
      <c r="H54" s="1151">
        <f>SUM(H53:H53)</f>
        <v>0</v>
      </c>
      <c r="J54" s="257"/>
    </row>
    <row r="55" spans="2:10" ht="15" x14ac:dyDescent="0.25">
      <c r="B55" s="80"/>
      <c r="C55" s="1116"/>
      <c r="D55" s="1117"/>
      <c r="E55" s="1117"/>
      <c r="F55" s="1117"/>
      <c r="G55" s="1117"/>
      <c r="H55" s="1117"/>
      <c r="J55" s="257"/>
    </row>
    <row r="56" spans="2:10" ht="15" x14ac:dyDescent="0.25">
      <c r="B56" s="979" t="s">
        <v>160</v>
      </c>
      <c r="C56" s="972"/>
      <c r="D56" s="1001"/>
      <c r="E56" s="1001"/>
      <c r="F56" s="1001"/>
      <c r="G56" s="1001"/>
      <c r="H56" s="1002"/>
      <c r="I56" s="257"/>
      <c r="J56" s="257"/>
    </row>
    <row r="57" spans="2:10" ht="15" x14ac:dyDescent="0.25">
      <c r="B57" s="1004" t="s">
        <v>161</v>
      </c>
      <c r="C57" s="1003"/>
      <c r="D57" s="977">
        <f>'Capacity (local prices) '!E40</f>
        <v>0</v>
      </c>
      <c r="E57" s="977">
        <f>'Capacity (local prices) '!F40</f>
        <v>0</v>
      </c>
      <c r="F57" s="977">
        <f>'Capacity (local prices) '!G40</f>
        <v>0</v>
      </c>
      <c r="G57" s="977">
        <f>'Capacity (local prices) '!H40</f>
        <v>0</v>
      </c>
      <c r="H57" s="977">
        <f>'Capacity (local prices) '!I40</f>
        <v>0</v>
      </c>
      <c r="I57" s="257"/>
      <c r="J57" s="257"/>
    </row>
    <row r="58" spans="2:10" ht="15" x14ac:dyDescent="0.25">
      <c r="B58" s="1004" t="s">
        <v>162</v>
      </c>
      <c r="C58" s="1003"/>
      <c r="D58" s="977">
        <f>'Capacity (local prices) '!E53</f>
        <v>0</v>
      </c>
      <c r="E58" s="977">
        <f>'Capacity (local prices) '!F53</f>
        <v>0</v>
      </c>
      <c r="F58" s="977">
        <f>'Capacity (local prices) '!G53</f>
        <v>0</v>
      </c>
      <c r="G58" s="977">
        <f>'Capacity (local prices) '!H53</f>
        <v>0</v>
      </c>
      <c r="H58" s="977">
        <f>'Capacity (local prices) '!I53</f>
        <v>0</v>
      </c>
      <c r="I58" s="257"/>
      <c r="J58" s="257"/>
    </row>
    <row r="59" spans="2:10" ht="15" x14ac:dyDescent="0.25">
      <c r="B59" s="1004"/>
      <c r="C59" s="1123"/>
      <c r="D59" s="1124"/>
      <c r="E59" s="1124"/>
      <c r="F59" s="1124"/>
      <c r="G59" s="1124"/>
      <c r="H59" s="1006"/>
      <c r="I59" s="257"/>
      <c r="J59" s="257"/>
    </row>
    <row r="60" spans="2:10" ht="15" x14ac:dyDescent="0.25">
      <c r="B60" s="979" t="s">
        <v>163</v>
      </c>
      <c r="C60" s="993"/>
      <c r="D60" s="1001"/>
      <c r="E60" s="1001"/>
      <c r="F60" s="1001"/>
      <c r="G60" s="1001"/>
      <c r="H60" s="1002"/>
      <c r="I60" s="257"/>
      <c r="J60" s="257"/>
    </row>
    <row r="61" spans="2:10" ht="15" x14ac:dyDescent="0.25">
      <c r="B61" s="1004" t="s">
        <v>164</v>
      </c>
      <c r="C61" s="1003"/>
      <c r="D61" s="977">
        <f>'Capacity (local prices) '!E80</f>
        <v>0</v>
      </c>
      <c r="E61" s="977">
        <f>'Capacity (local prices) '!F80</f>
        <v>0</v>
      </c>
      <c r="F61" s="977">
        <f>'Capacity (local prices) '!G80</f>
        <v>0</v>
      </c>
      <c r="G61" s="977">
        <f>'Capacity (local prices) '!H80</f>
        <v>0</v>
      </c>
      <c r="H61" s="977">
        <f>'Capacity (local prices) '!I80</f>
        <v>0</v>
      </c>
      <c r="I61" s="257"/>
      <c r="J61" s="257"/>
    </row>
    <row r="62" spans="2:10" ht="15" x14ac:dyDescent="0.25">
      <c r="B62" s="1004" t="s">
        <v>165</v>
      </c>
      <c r="C62" s="1003"/>
      <c r="D62" s="977">
        <f>'Capacity (local prices) '!E93</f>
        <v>0</v>
      </c>
      <c r="E62" s="977">
        <f>'Capacity (local prices) '!F93</f>
        <v>0</v>
      </c>
      <c r="F62" s="977">
        <f>'Capacity (local prices) '!G93</f>
        <v>0</v>
      </c>
      <c r="G62" s="977">
        <f>'Capacity (local prices) '!H93</f>
        <v>0</v>
      </c>
      <c r="H62" s="977">
        <f>'Capacity (local prices) '!I93</f>
        <v>0</v>
      </c>
      <c r="I62" s="257"/>
      <c r="J62" s="257"/>
    </row>
    <row r="63" spans="2:10" ht="15" x14ac:dyDescent="0.25">
      <c r="B63" s="1004" t="s">
        <v>166</v>
      </c>
      <c r="C63" s="1003"/>
      <c r="D63" s="977">
        <f>'Capacity (local prices) '!E106</f>
        <v>0</v>
      </c>
      <c r="E63" s="977">
        <f>'Capacity (local prices) '!F106</f>
        <v>0</v>
      </c>
      <c r="F63" s="977">
        <f>'Capacity (local prices) '!G106</f>
        <v>0</v>
      </c>
      <c r="G63" s="977">
        <f>'Capacity (local prices) '!H106</f>
        <v>0</v>
      </c>
      <c r="H63" s="977">
        <f>'Capacity (local prices) '!I106</f>
        <v>0</v>
      </c>
      <c r="I63" s="257"/>
      <c r="J63" s="257"/>
    </row>
    <row r="64" spans="2:10" x14ac:dyDescent="0.2">
      <c r="I64" s="257"/>
      <c r="J64" s="257"/>
    </row>
    <row r="65" spans="2:10" ht="15" x14ac:dyDescent="0.25">
      <c r="B65" s="979" t="s">
        <v>167</v>
      </c>
      <c r="C65" s="993"/>
      <c r="D65" s="1001"/>
      <c r="E65" s="1001"/>
      <c r="F65" s="1001"/>
      <c r="G65" s="1001"/>
      <c r="H65" s="1002"/>
      <c r="I65" s="257"/>
    </row>
    <row r="66" spans="2:10" ht="29.25" x14ac:dyDescent="0.25">
      <c r="B66" s="1007" t="s">
        <v>168</v>
      </c>
      <c r="C66" s="1005"/>
      <c r="D66" s="1006">
        <f>'Capacity (local prices) '!E120</f>
        <v>0</v>
      </c>
      <c r="E66" s="977">
        <f>'Capacity (local prices) '!F120</f>
        <v>0</v>
      </c>
      <c r="F66" s="977">
        <f>'Capacity (local prices) '!G120</f>
        <v>0</v>
      </c>
      <c r="G66" s="977">
        <f>'Capacity (local prices) '!H120</f>
        <v>0</v>
      </c>
      <c r="H66" s="977">
        <f>'Capacity (local prices) '!I120</f>
        <v>0</v>
      </c>
      <c r="I66" s="257"/>
      <c r="J66" s="257"/>
    </row>
    <row r="67" spans="2:10" ht="14.45" customHeight="1" x14ac:dyDescent="0.25">
      <c r="B67" s="1007" t="s">
        <v>169</v>
      </c>
      <c r="C67" s="1005"/>
      <c r="D67" s="1006">
        <f>'Capacity (local prices) '!E133</f>
        <v>0</v>
      </c>
      <c r="E67" s="977">
        <f>'Capacity (local prices) '!F133</f>
        <v>0</v>
      </c>
      <c r="F67" s="977">
        <f>'Capacity (local prices) '!G133</f>
        <v>0</v>
      </c>
      <c r="G67" s="977">
        <f>'Capacity (local prices) '!H133</f>
        <v>0</v>
      </c>
      <c r="H67" s="977">
        <f>'Capacity (local prices) '!I133</f>
        <v>0</v>
      </c>
      <c r="I67" s="257"/>
      <c r="J67" s="257"/>
    </row>
    <row r="68" spans="2:10" ht="14.45" customHeight="1" x14ac:dyDescent="0.25">
      <c r="B68" s="1007" t="s">
        <v>170</v>
      </c>
      <c r="C68" s="1005"/>
      <c r="D68" s="1006">
        <f>'Capacity (local prices) '!E146</f>
        <v>0</v>
      </c>
      <c r="E68" s="977">
        <f>'Capacity (local prices) '!F146</f>
        <v>0</v>
      </c>
      <c r="F68" s="977">
        <f>'Capacity (local prices) '!G146</f>
        <v>0</v>
      </c>
      <c r="G68" s="977">
        <f>'Capacity (local prices) '!H146</f>
        <v>0</v>
      </c>
      <c r="H68" s="977">
        <f>'Capacity (local prices) '!I146</f>
        <v>0</v>
      </c>
      <c r="I68" s="257"/>
      <c r="J68" s="257"/>
    </row>
    <row r="69" spans="2:10" ht="29.25" x14ac:dyDescent="0.25">
      <c r="B69" s="1007" t="s">
        <v>171</v>
      </c>
      <c r="C69" s="1005"/>
      <c r="D69" s="1006">
        <f>'Capacity (local prices) '!E159</f>
        <v>0</v>
      </c>
      <c r="E69" s="977">
        <f>'Capacity (local prices) '!F159</f>
        <v>0</v>
      </c>
      <c r="F69" s="977">
        <f>'Capacity (local prices) '!G159</f>
        <v>0</v>
      </c>
      <c r="G69" s="977">
        <f>'Capacity (local prices) '!H159</f>
        <v>0</v>
      </c>
      <c r="H69" s="977">
        <f>'Capacity (local prices) '!I159</f>
        <v>0</v>
      </c>
      <c r="I69" s="257"/>
      <c r="J69" s="257"/>
    </row>
    <row r="70" spans="2:10" ht="15" x14ac:dyDescent="0.25">
      <c r="B70" s="1007" t="s">
        <v>172</v>
      </c>
      <c r="C70" s="1005"/>
      <c r="D70" s="1006">
        <f>'Capacity (local prices) '!E172</f>
        <v>0</v>
      </c>
      <c r="E70" s="977">
        <f>'Capacity (local prices) '!F172</f>
        <v>0</v>
      </c>
      <c r="F70" s="977">
        <f>'Capacity (local prices) '!G172</f>
        <v>0</v>
      </c>
      <c r="G70" s="977">
        <f>'Capacity (local prices) '!H172</f>
        <v>0</v>
      </c>
      <c r="H70" s="977">
        <f>'Capacity (local prices) '!I172</f>
        <v>0</v>
      </c>
      <c r="I70" s="257"/>
      <c r="J70" s="257"/>
    </row>
    <row r="71" spans="2:10" x14ac:dyDescent="0.2">
      <c r="I71" s="257"/>
      <c r="J71" s="257"/>
    </row>
    <row r="72" spans="2:10" ht="15" x14ac:dyDescent="0.25">
      <c r="B72" s="979" t="s">
        <v>173</v>
      </c>
      <c r="C72" s="993"/>
      <c r="D72" s="1001"/>
      <c r="E72" s="1001"/>
      <c r="F72" s="1001"/>
      <c r="G72" s="1001"/>
      <c r="H72" s="1002"/>
      <c r="I72" s="257"/>
      <c r="J72" s="257"/>
    </row>
    <row r="73" spans="2:10" ht="15" x14ac:dyDescent="0.25">
      <c r="B73" s="1007" t="s">
        <v>174</v>
      </c>
      <c r="C73" s="1005"/>
      <c r="D73" s="1006">
        <f>'Capacity (local prices) '!E186</f>
        <v>0</v>
      </c>
      <c r="E73" s="977">
        <f>'Capacity (local prices) '!F186</f>
        <v>0</v>
      </c>
      <c r="F73" s="977">
        <f>'Capacity (local prices) '!G186</f>
        <v>0</v>
      </c>
      <c r="G73" s="977">
        <f>'Capacity (local prices) '!H186</f>
        <v>0</v>
      </c>
      <c r="H73" s="977">
        <f>'Capacity (local prices) '!I186</f>
        <v>0</v>
      </c>
      <c r="I73" s="257"/>
      <c r="J73" s="257"/>
    </row>
    <row r="74" spans="2:10" x14ac:dyDescent="0.2">
      <c r="I74" s="257"/>
      <c r="J74" s="257"/>
    </row>
    <row r="75" spans="2:10" ht="15" hidden="1" x14ac:dyDescent="0.25">
      <c r="B75" s="979" t="s">
        <v>175</v>
      </c>
      <c r="C75" s="993"/>
      <c r="D75" s="1001"/>
      <c r="E75" s="1001"/>
      <c r="F75" s="1001"/>
      <c r="G75" s="1001"/>
      <c r="H75" s="1002"/>
      <c r="I75" s="257"/>
      <c r="J75" s="257"/>
    </row>
    <row r="76" spans="2:10" ht="15" hidden="1" x14ac:dyDescent="0.25">
      <c r="B76" s="1007" t="s">
        <v>176</v>
      </c>
      <c r="C76" s="1005"/>
      <c r="D76" s="1006" t="e">
        <f>'Capacity (local prices) '!E195</f>
        <v>#REF!</v>
      </c>
      <c r="E76" s="977" t="e">
        <f>'Capacity (local prices) '!F195</f>
        <v>#REF!</v>
      </c>
      <c r="F76" s="977" t="e">
        <f>'Capacity (local prices) '!G195</f>
        <v>#REF!</v>
      </c>
      <c r="G76" s="977" t="e">
        <f>'Capacity (local prices) '!H195</f>
        <v>#REF!</v>
      </c>
      <c r="H76" s="977" t="e">
        <f>'Capacity (local prices) '!I195</f>
        <v>#REF!</v>
      </c>
      <c r="I76" s="257"/>
      <c r="J76" s="257"/>
    </row>
    <row r="77" spans="2:10" hidden="1" x14ac:dyDescent="0.2">
      <c r="I77" s="257"/>
      <c r="J77" s="257"/>
    </row>
    <row r="78" spans="2:10" ht="15" x14ac:dyDescent="0.25">
      <c r="B78" s="979" t="s">
        <v>177</v>
      </c>
      <c r="C78" s="993"/>
      <c r="D78" s="1001"/>
      <c r="E78" s="1001"/>
      <c r="F78" s="1001"/>
      <c r="G78" s="1001"/>
      <c r="H78" s="1002"/>
      <c r="I78" s="257"/>
      <c r="J78" s="257"/>
    </row>
    <row r="79" spans="2:10" ht="15" x14ac:dyDescent="0.25">
      <c r="B79" s="1004" t="s">
        <v>1205</v>
      </c>
      <c r="C79" s="1003"/>
      <c r="D79" s="1006">
        <f>'Capacity (local prices) '!E223</f>
        <v>0</v>
      </c>
      <c r="E79" s="977">
        <f>'Capacity (local prices) '!F223</f>
        <v>0</v>
      </c>
      <c r="F79" s="977">
        <f>'Capacity (local prices) '!G223</f>
        <v>0</v>
      </c>
      <c r="G79" s="977">
        <f>'Capacity (local prices) '!H223</f>
        <v>0</v>
      </c>
      <c r="H79" s="977">
        <f>'Capacity (local prices) '!I223</f>
        <v>0</v>
      </c>
      <c r="I79" s="257"/>
      <c r="J79" s="257"/>
    </row>
    <row r="80" spans="2:10" ht="15" x14ac:dyDescent="0.25">
      <c r="B80" s="1004" t="s">
        <v>1200</v>
      </c>
      <c r="C80" s="1003"/>
      <c r="D80" s="1006">
        <f>'Capacity (local prices) '!E236</f>
        <v>0</v>
      </c>
      <c r="E80" s="977">
        <f>'Capacity (local prices) '!F236</f>
        <v>0</v>
      </c>
      <c r="F80" s="977">
        <f>'Capacity (local prices) '!G236</f>
        <v>0</v>
      </c>
      <c r="G80" s="977">
        <f>'Capacity (local prices) '!H236</f>
        <v>0</v>
      </c>
      <c r="H80" s="977">
        <f>'Capacity (local prices) '!I236</f>
        <v>0</v>
      </c>
      <c r="I80" s="257"/>
      <c r="J80" s="257"/>
    </row>
    <row r="81" spans="2:14" ht="15.75" thickBot="1" x14ac:dyDescent="0.3">
      <c r="B81" s="1158" t="s">
        <v>1207</v>
      </c>
      <c r="C81" s="1003"/>
      <c r="D81" s="1006">
        <f>'Capacity (local prices) '!E249</f>
        <v>0</v>
      </c>
      <c r="E81" s="977">
        <f>'Capacity (local prices) '!F249</f>
        <v>0</v>
      </c>
      <c r="F81" s="977">
        <f>'Capacity (local prices) '!G249</f>
        <v>0</v>
      </c>
      <c r="G81" s="977">
        <f>'Capacity (local prices) '!H249</f>
        <v>0</v>
      </c>
      <c r="H81" s="977">
        <f>'Capacity (local prices) '!I249</f>
        <v>0</v>
      </c>
      <c r="I81" s="257"/>
      <c r="J81" s="257"/>
    </row>
    <row r="82" spans="2:14" x14ac:dyDescent="0.2">
      <c r="I82" s="257"/>
      <c r="J82" s="257"/>
    </row>
    <row r="83" spans="2:14" x14ac:dyDescent="0.2">
      <c r="B83" s="80"/>
      <c r="C83" s="80"/>
      <c r="D83" s="1008"/>
      <c r="E83" s="1008"/>
      <c r="F83" s="1008"/>
      <c r="G83" s="1008"/>
      <c r="H83" s="1008"/>
      <c r="I83" s="257"/>
      <c r="J83" s="2"/>
      <c r="K83" s="2"/>
      <c r="L83" s="2"/>
      <c r="M83" s="2"/>
      <c r="N83" s="2"/>
    </row>
    <row r="84" spans="2:14" x14ac:dyDescent="0.2">
      <c r="B84" s="761"/>
      <c r="J84" s="2"/>
      <c r="K84" s="2"/>
      <c r="L84" s="2"/>
      <c r="M84" s="2"/>
      <c r="N84" s="2"/>
    </row>
    <row r="85" spans="2:14" x14ac:dyDescent="0.2">
      <c r="D85" s="752"/>
      <c r="E85" s="2"/>
      <c r="F85" s="2"/>
      <c r="G85" s="2"/>
      <c r="H85" s="2"/>
      <c r="I85" s="2"/>
      <c r="J85" s="2"/>
      <c r="K85" s="2"/>
      <c r="L85" s="2"/>
      <c r="M85" s="2"/>
      <c r="N85" s="2"/>
    </row>
    <row r="86" spans="2:14" x14ac:dyDescent="0.2">
      <c r="D86" s="2"/>
      <c r="E86" s="2"/>
      <c r="F86" s="2"/>
      <c r="G86" s="2"/>
      <c r="H86" s="2"/>
      <c r="I86" s="2"/>
    </row>
    <row r="87" spans="2:14" x14ac:dyDescent="0.2">
      <c r="D87" s="752"/>
      <c r="E87" s="2"/>
      <c r="F87" s="2"/>
      <c r="G87" s="2"/>
      <c r="H87" s="2"/>
      <c r="I87" s="2"/>
    </row>
  </sheetData>
  <sheetProtection algorithmName="SHA-512" hashValue="YpoH24nUiMa0Q3fm2HvZyaNwWFp6n03xYuhmxxGj6zX57lmudEb+3ahNwrMULi0HHGKFLE0eQvGo5bDsQCIqLg==" saltValue="iW+3bF+DujDf/EB4A+pJMA==" spinCount="100000" sheet="1" objects="1" scenarios="1"/>
  <phoneticPr fontId="49"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552" zoomScale="75" zoomScaleNormal="75" workbookViewId="0">
      <selection activeCell="F590" sqref="F590"/>
    </sheetView>
  </sheetViews>
  <sheetFormatPr defaultColWidth="9.140625" defaultRowHeight="14.25" x14ac:dyDescent="0.2"/>
  <cols>
    <col min="1" max="1" width="24.28515625" style="11" customWidth="1"/>
    <col min="2" max="2" width="49.42578125" style="11" customWidth="1"/>
    <col min="3" max="3" width="63.5703125" style="15" customWidth="1"/>
    <col min="4" max="4" width="20.42578125" style="11" customWidth="1"/>
    <col min="5" max="12" width="21" style="11" customWidth="1"/>
    <col min="13" max="13" width="22.85546875" style="11" customWidth="1"/>
    <col min="14" max="14" width="22.5703125" style="11" customWidth="1"/>
    <col min="15" max="15" width="25.85546875" style="11" customWidth="1"/>
    <col min="16" max="16" width="10.85546875" style="11" customWidth="1"/>
    <col min="17" max="17" width="10.85546875" style="12" customWidth="1"/>
    <col min="18" max="18" width="20.140625" style="12" customWidth="1"/>
    <col min="19" max="42" width="10.85546875" style="12" customWidth="1"/>
    <col min="43" max="50" width="10.85546875" style="13" customWidth="1"/>
    <col min="51" max="106" width="10.85546875" style="1" customWidth="1"/>
    <col min="107" max="193" width="10.85546875" style="11" customWidth="1"/>
    <col min="194" max="194" width="10.42578125" style="11" customWidth="1"/>
    <col min="195" max="16384" width="9.140625" style="11"/>
  </cols>
  <sheetData>
    <row r="1" spans="2:106" ht="15" x14ac:dyDescent="0.25">
      <c r="B1" s="9" t="s">
        <v>178</v>
      </c>
      <c r="C1" s="97"/>
      <c r="D1" s="22"/>
      <c r="E1" s="10" t="s">
        <v>179</v>
      </c>
      <c r="F1" s="7"/>
      <c r="G1" s="7"/>
    </row>
    <row r="3" spans="2:106" x14ac:dyDescent="0.2">
      <c r="B3" s="88" t="s">
        <v>180</v>
      </c>
      <c r="C3" s="753"/>
      <c r="D3" s="754"/>
      <c r="E3" s="754"/>
      <c r="F3" s="754"/>
      <c r="G3" s="755"/>
    </row>
    <row r="4" spans="2:106" ht="15" x14ac:dyDescent="0.25">
      <c r="B4" s="89"/>
      <c r="C4" s="90"/>
      <c r="D4" s="7"/>
      <c r="E4" s="7"/>
      <c r="F4" s="7"/>
      <c r="G4" s="91"/>
      <c r="L4" s="9" t="s">
        <v>181</v>
      </c>
      <c r="M4" s="9" t="s">
        <v>181</v>
      </c>
      <c r="N4" s="9" t="s">
        <v>182</v>
      </c>
      <c r="O4" s="9" t="s">
        <v>182</v>
      </c>
      <c r="P4" s="9" t="s">
        <v>183</v>
      </c>
      <c r="R4" s="293" t="s">
        <v>184</v>
      </c>
      <c r="S4" s="293" t="s">
        <v>105</v>
      </c>
      <c r="T4" s="293" t="s">
        <v>185</v>
      </c>
      <c r="V4" s="293" t="s">
        <v>186</v>
      </c>
    </row>
    <row r="5" spans="2:106" ht="28.5" x14ac:dyDescent="0.2">
      <c r="B5" s="92" t="s">
        <v>187</v>
      </c>
      <c r="C5" s="90"/>
      <c r="D5" s="7"/>
      <c r="E5" s="7"/>
      <c r="F5" s="7"/>
      <c r="G5" s="91"/>
      <c r="L5" s="16" t="s">
        <v>188</v>
      </c>
      <c r="M5" s="16" t="s">
        <v>189</v>
      </c>
      <c r="N5" s="16" t="s">
        <v>190</v>
      </c>
      <c r="O5" s="16" t="s">
        <v>191</v>
      </c>
      <c r="P5" s="19"/>
      <c r="Q5" s="17"/>
      <c r="R5" s="16" t="s">
        <v>191</v>
      </c>
      <c r="S5" s="268" t="s">
        <v>134</v>
      </c>
      <c r="V5" s="269">
        <v>4</v>
      </c>
    </row>
    <row r="6" spans="2:106" ht="15" x14ac:dyDescent="0.25">
      <c r="B6" s="92" t="s">
        <v>192</v>
      </c>
      <c r="C6" s="90"/>
      <c r="D6" s="7"/>
      <c r="E6" s="7"/>
      <c r="F6" s="7"/>
      <c r="G6" s="91"/>
      <c r="J6" s="261"/>
      <c r="L6" s="21" t="s">
        <v>193</v>
      </c>
      <c r="M6" s="21" t="s">
        <v>194</v>
      </c>
      <c r="N6" s="21" t="str">
        <f>'Inputs and eligible population'!$E$11</f>
        <v>National</v>
      </c>
      <c r="O6" s="21" t="str">
        <f>IFERROR(VLOOKUP('Inputs and eligible population'!$E$11, $L$5:$M$14, 2, FALSE), "-")</f>
        <v>NATIONAL</v>
      </c>
      <c r="P6" s="16" t="b">
        <f>ISTEXT('Inputs and eligible population'!$E$12)</f>
        <v>1</v>
      </c>
      <c r="R6" s="316" t="s">
        <v>47</v>
      </c>
      <c r="S6" s="268" t="s">
        <v>135</v>
      </c>
      <c r="V6" s="269">
        <v>5</v>
      </c>
    </row>
    <row r="7" spans="2:106" x14ac:dyDescent="0.2">
      <c r="B7" s="89"/>
      <c r="C7" s="90"/>
      <c r="D7" s="7"/>
      <c r="E7" s="7"/>
      <c r="F7" s="7"/>
      <c r="G7" s="91"/>
      <c r="L7" s="21" t="s">
        <v>43</v>
      </c>
      <c r="M7" s="21" t="s">
        <v>195</v>
      </c>
      <c r="N7" s="21" t="str">
        <f>'Inputs and eligible population'!$E$11</f>
        <v>National</v>
      </c>
      <c r="O7" s="21" t="str">
        <f>IFERROR(VLOOKUP('Inputs and eligible population'!$E$11, $L$5:$M$14, 2, FALSE), "-")</f>
        <v>NATIONAL</v>
      </c>
      <c r="P7" s="16" t="b">
        <f>ISTEXT('Inputs and eligible population'!$E$12)</f>
        <v>1</v>
      </c>
      <c r="R7" s="316" t="s">
        <v>196</v>
      </c>
      <c r="S7" s="572"/>
      <c r="V7" s="269">
        <v>6</v>
      </c>
    </row>
    <row r="8" spans="2:106" ht="19.5" customHeight="1" x14ac:dyDescent="0.2">
      <c r="B8" s="93" t="s">
        <v>197</v>
      </c>
      <c r="C8" s="94"/>
      <c r="D8" s="95"/>
      <c r="E8" s="95"/>
      <c r="F8" s="95"/>
      <c r="G8" s="96"/>
      <c r="L8" s="21" t="s">
        <v>198</v>
      </c>
      <c r="M8" s="21" t="s">
        <v>199</v>
      </c>
      <c r="N8" s="21" t="str">
        <f>'Inputs and eligible population'!$E$11</f>
        <v>National</v>
      </c>
      <c r="O8" s="21" t="str">
        <f>IFERROR(VLOOKUP('Inputs and eligible population'!$E$11, $L$5:$M$14, 2, FALSE), "-")</f>
        <v>NATIONAL</v>
      </c>
      <c r="P8" s="16" t="b">
        <f>ISTEXT('Inputs and eligible population'!$E$12)</f>
        <v>1</v>
      </c>
      <c r="V8" s="269">
        <v>7</v>
      </c>
    </row>
    <row r="9" spans="2:106" ht="19.5" customHeight="1" x14ac:dyDescent="0.2">
      <c r="B9" s="14"/>
      <c r="L9" s="21" t="s">
        <v>200</v>
      </c>
      <c r="M9" s="21" t="s">
        <v>201</v>
      </c>
      <c r="N9" s="21" t="str">
        <f>'Inputs and eligible population'!$E$11</f>
        <v>National</v>
      </c>
      <c r="O9" s="21" t="str">
        <f>IFERROR(VLOOKUP('Inputs and eligible population'!$E$11, $L$5:$M$14, 2, FALSE), "-")</f>
        <v>NATIONAL</v>
      </c>
      <c r="P9" s="16" t="b">
        <f>ISTEXT('Inputs and eligible population'!$E$12)</f>
        <v>1</v>
      </c>
      <c r="V9" s="269" t="s">
        <v>202</v>
      </c>
    </row>
    <row r="10" spans="2:106" x14ac:dyDescent="0.2">
      <c r="B10" s="14"/>
      <c r="K10" s="24"/>
      <c r="L10" s="21" t="s">
        <v>203</v>
      </c>
      <c r="M10" s="21" t="s">
        <v>204</v>
      </c>
      <c r="N10" s="21" t="str">
        <f>'Inputs and eligible population'!$E$11</f>
        <v>National</v>
      </c>
      <c r="O10" s="21" t="str">
        <f>IFERROR(VLOOKUP('Inputs and eligible population'!$E$11, $L$5:$M$14, 2, FALSE), "-")</f>
        <v>NATIONAL</v>
      </c>
      <c r="P10" s="16" t="b">
        <f>ISTEXT('Inputs and eligible population'!$E$12)</f>
        <v>1</v>
      </c>
      <c r="V10" s="269" t="s">
        <v>205</v>
      </c>
    </row>
    <row r="11" spans="2:106" ht="15" x14ac:dyDescent="0.25">
      <c r="B11" s="9" t="s">
        <v>206</v>
      </c>
      <c r="C11" s="24"/>
      <c r="D11" s="24"/>
      <c r="E11" s="24"/>
      <c r="K11" s="24"/>
      <c r="L11" s="113" t="s">
        <v>207</v>
      </c>
      <c r="M11" s="21" t="s">
        <v>208</v>
      </c>
      <c r="N11" s="21" t="str">
        <f>'Inputs and eligible population'!$E$11</f>
        <v>National</v>
      </c>
      <c r="O11" s="21" t="str">
        <f>IFERROR(VLOOKUP('Inputs and eligible population'!$E$11, $L$5:$M$14, 2, FALSE), "-")</f>
        <v>NATIONAL</v>
      </c>
      <c r="P11" s="16" t="b">
        <f>ISTEXT('Inputs and eligible population'!$E$12)</f>
        <v>1</v>
      </c>
      <c r="V11" s="269" t="s">
        <v>209</v>
      </c>
    </row>
    <row r="12" spans="2:106" ht="43.5" customHeight="1" x14ac:dyDescent="0.2">
      <c r="B12" s="15"/>
      <c r="D12" s="321" t="s">
        <v>210</v>
      </c>
      <c r="E12" s="321" t="s">
        <v>210</v>
      </c>
      <c r="L12" s="21" t="s">
        <v>211</v>
      </c>
      <c r="M12" s="21" t="s">
        <v>212</v>
      </c>
      <c r="N12" s="21" t="str">
        <f>'Inputs and eligible population'!$E$11</f>
        <v>National</v>
      </c>
      <c r="O12" s="21" t="str">
        <f>IFERROR(VLOOKUP('Inputs and eligible population'!$E$11, $L$5:$M$14, 2, FALSE), "-")</f>
        <v>NATIONAL</v>
      </c>
      <c r="P12" s="16" t="b">
        <f>ISTEXT('Inputs and eligible population'!$E$12)</f>
        <v>1</v>
      </c>
      <c r="V12" s="269" t="s">
        <v>213</v>
      </c>
    </row>
    <row r="13" spans="2:106" s="19" customFormat="1" ht="45.95" customHeight="1" x14ac:dyDescent="0.2">
      <c r="B13" s="322" t="s">
        <v>44</v>
      </c>
      <c r="C13" s="322" t="s">
        <v>214</v>
      </c>
      <c r="D13" s="26" t="s">
        <v>215</v>
      </c>
      <c r="E13" s="26" t="s">
        <v>216</v>
      </c>
      <c r="F13" s="322" t="s">
        <v>217</v>
      </c>
      <c r="G13" s="11"/>
      <c r="H13" s="11"/>
      <c r="I13" s="11"/>
      <c r="K13" s="11"/>
      <c r="L13" s="21" t="s">
        <v>218</v>
      </c>
      <c r="M13" s="21" t="s">
        <v>219</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624">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323" t="str">
        <f>IF((OR('Inputs and eligible population'!E11="&lt;select&gt;",'Inputs and eligible population'!E11="")), "-", 'Inputs and eligible population'!E12)</f>
        <v>England</v>
      </c>
      <c r="C14" s="20">
        <f>IF(OR(B14="", B14="-"), "",VLOOKUP((CONCATENATE($N7," - ",$B14)),$C$23:$GL$550,4,FALSE))</f>
        <v>56550138</v>
      </c>
      <c r="D14" s="87">
        <f>IF(OR(C14="", C14="-"), "",VLOOKUP((CONCATENATE($N7," - ",$B14)),$C$23:$GL$550,2,FALSE))</f>
        <v>21779298</v>
      </c>
      <c r="E14" s="87">
        <f>IF(OR(D14="", D14="-"), "",VLOOKUP((CONCATENATE($N7," - ",$B14)),$C$23:$GL$550,3,FALSE))</f>
        <v>22677552</v>
      </c>
      <c r="F14" s="20">
        <f>IFERROR(D14+E14, "")</f>
        <v>44456850</v>
      </c>
      <c r="L14" s="21" t="s">
        <v>220</v>
      </c>
      <c r="M14" s="21" t="s">
        <v>221</v>
      </c>
      <c r="N14" s="21" t="str">
        <f>'Inputs and eligible population'!$E$11</f>
        <v>National</v>
      </c>
      <c r="O14" s="21" t="str">
        <f>IFERROR(VLOOKUP('Inputs and eligible population'!$E$11, $L$5:$M$14, 2, FALSE), "-")</f>
        <v>NATIONAL</v>
      </c>
      <c r="P14" s="16" t="b">
        <f>ISTEXT('Inputs and eligible population'!$E$12)</f>
        <v>1</v>
      </c>
      <c r="V14" s="269" t="s">
        <v>222</v>
      </c>
    </row>
    <row r="15" spans="2:106" x14ac:dyDescent="0.2">
      <c r="B15" s="323" t="str">
        <f>'Inputs and eligible population'!C16</f>
        <v>Manually entered current locality population (n/a)</v>
      </c>
      <c r="C15" s="20" t="str">
        <f>IF(OR('Inputs and eligible population'!E16="",'Inputs and eligible population'!E16="-"),"",'Inputs and eligible population'!E16)</f>
        <v/>
      </c>
      <c r="D15" s="87" t="str">
        <f>IFERROR(C15*($D$23/100000), "")</f>
        <v/>
      </c>
      <c r="E15" s="87" t="str">
        <f>IFERROR(C15*($E$23/100000), "")</f>
        <v/>
      </c>
      <c r="F15" s="20">
        <f>IF('Inputs and eligible population'!E16=0,'Population selection'!F14,'Inputs and eligible population'!E16)</f>
        <v>44456850</v>
      </c>
      <c r="L15" s="21"/>
      <c r="M15" s="21"/>
      <c r="N15" s="21"/>
      <c r="O15" s="21"/>
      <c r="P15" s="21"/>
      <c r="V15" s="269" t="s">
        <v>223</v>
      </c>
    </row>
    <row r="16" spans="2:106" ht="15" x14ac:dyDescent="0.25">
      <c r="B16" s="324" t="s">
        <v>224</v>
      </c>
      <c r="C16" s="325">
        <f>IF(C15&gt;0,C14,C15)</f>
        <v>56550138</v>
      </c>
      <c r="D16" s="325">
        <f>IF(D15&gt;0,D14,D15)</f>
        <v>21779298</v>
      </c>
      <c r="E16" s="325">
        <f>IF(E15&gt;0,E14,E15)</f>
        <v>22677552</v>
      </c>
      <c r="F16" s="325">
        <f>SUM(F15)</f>
        <v>44456850</v>
      </c>
      <c r="L16" s="22"/>
      <c r="M16" s="22"/>
      <c r="P16" s="571">
        <f>COUNTIF(P6:P14, TRUE)</f>
        <v>9</v>
      </c>
    </row>
    <row r="17" spans="1:194" ht="15" x14ac:dyDescent="0.25">
      <c r="Q17" s="23"/>
      <c r="R17" s="23"/>
    </row>
    <row r="18" spans="1:194" ht="45.6" customHeight="1" x14ac:dyDescent="0.2">
      <c r="B18" s="86"/>
      <c r="C18" s="273"/>
      <c r="D18" s="26" t="s">
        <v>210</v>
      </c>
      <c r="E18" s="26" t="s">
        <v>210</v>
      </c>
      <c r="F18" s="86"/>
      <c r="I18" s="86"/>
      <c r="J18" s="86"/>
      <c r="K18" s="24"/>
      <c r="N18" s="24"/>
    </row>
    <row r="19" spans="1:194" ht="23.1" customHeight="1" x14ac:dyDescent="0.25">
      <c r="D19" s="326">
        <v>2</v>
      </c>
      <c r="E19" s="326">
        <v>3</v>
      </c>
      <c r="F19" s="326">
        <v>4</v>
      </c>
      <c r="G19" s="326">
        <v>5</v>
      </c>
      <c r="H19" s="326">
        <v>6</v>
      </c>
      <c r="K19" s="24"/>
    </row>
    <row r="20" spans="1:194" s="1" customFormat="1" ht="48" customHeight="1" x14ac:dyDescent="0.25">
      <c r="A20" s="128" t="s">
        <v>190</v>
      </c>
      <c r="B20" s="127" t="s">
        <v>225</v>
      </c>
      <c r="C20" s="127" t="s">
        <v>226</v>
      </c>
      <c r="D20" s="78" t="s">
        <v>227</v>
      </c>
      <c r="E20" s="78" t="s">
        <v>227</v>
      </c>
      <c r="F20" s="78" t="s">
        <v>228</v>
      </c>
      <c r="G20" s="78" t="s">
        <v>228</v>
      </c>
      <c r="H20" s="78" t="s">
        <v>228</v>
      </c>
      <c r="I20" s="127" t="s">
        <v>227</v>
      </c>
      <c r="J20" s="127" t="s">
        <v>227</v>
      </c>
      <c r="K20" s="127" t="s">
        <v>229</v>
      </c>
      <c r="L20" s="127" t="s">
        <v>229</v>
      </c>
      <c r="M20" s="129" t="s">
        <v>230</v>
      </c>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7"/>
      <c r="CZ20" s="758" t="s">
        <v>231</v>
      </c>
      <c r="DA20" s="758"/>
      <c r="DB20" s="758"/>
      <c r="DC20" s="758"/>
      <c r="DD20" s="758"/>
      <c r="DE20" s="758"/>
      <c r="DF20" s="758"/>
      <c r="DG20" s="758"/>
      <c r="DH20" s="758"/>
      <c r="DI20" s="758"/>
      <c r="DJ20" s="758"/>
      <c r="DK20" s="758"/>
      <c r="DL20" s="758"/>
      <c r="DM20" s="758"/>
      <c r="DN20" s="758"/>
      <c r="DO20" s="758"/>
      <c r="DP20" s="758"/>
      <c r="DQ20" s="758"/>
      <c r="DR20" s="758"/>
      <c r="DS20" s="758"/>
      <c r="DT20" s="758"/>
      <c r="DU20" s="758"/>
      <c r="DV20" s="758"/>
      <c r="DW20" s="758"/>
      <c r="DX20" s="758"/>
      <c r="DY20" s="758"/>
      <c r="DZ20" s="758"/>
      <c r="EA20" s="758"/>
      <c r="EB20" s="758"/>
      <c r="EC20" s="758"/>
      <c r="ED20" s="758"/>
      <c r="EE20" s="758"/>
      <c r="EF20" s="758"/>
      <c r="EG20" s="758"/>
      <c r="EH20" s="758"/>
      <c r="EI20" s="758"/>
      <c r="EJ20" s="758"/>
      <c r="EK20" s="758"/>
      <c r="EL20" s="758"/>
      <c r="EM20" s="758"/>
      <c r="EN20" s="758"/>
      <c r="EO20" s="758"/>
      <c r="EP20" s="758"/>
      <c r="EQ20" s="758"/>
      <c r="ER20" s="758"/>
      <c r="ES20" s="758"/>
      <c r="ET20" s="758"/>
      <c r="EU20" s="758"/>
      <c r="EV20" s="758"/>
      <c r="EW20" s="758"/>
      <c r="EX20" s="758"/>
      <c r="EY20" s="758"/>
      <c r="EZ20" s="758"/>
      <c r="FA20" s="758"/>
      <c r="FB20" s="758"/>
      <c r="FC20" s="758"/>
      <c r="FD20" s="758"/>
      <c r="FE20" s="758"/>
      <c r="FF20" s="758"/>
      <c r="FG20" s="758"/>
      <c r="FH20" s="758"/>
      <c r="FI20" s="758"/>
      <c r="FJ20" s="758"/>
      <c r="FK20" s="758"/>
      <c r="FL20" s="758"/>
      <c r="FM20" s="758"/>
      <c r="FN20" s="758"/>
      <c r="FO20" s="758"/>
      <c r="FP20" s="758"/>
      <c r="FQ20" s="758"/>
      <c r="FR20" s="758"/>
      <c r="FS20" s="758"/>
      <c r="FT20" s="758"/>
      <c r="FU20" s="758"/>
      <c r="FV20" s="758"/>
      <c r="FW20" s="758"/>
      <c r="FX20" s="758"/>
      <c r="FY20" s="758"/>
      <c r="FZ20" s="758"/>
      <c r="GA20" s="758"/>
      <c r="GB20" s="758"/>
      <c r="GC20" s="758"/>
      <c r="GD20" s="758"/>
      <c r="GE20" s="758"/>
      <c r="GF20" s="758"/>
      <c r="GG20" s="758"/>
      <c r="GH20" s="758"/>
      <c r="GI20" s="758"/>
      <c r="GJ20" s="758"/>
      <c r="GK20" s="758"/>
      <c r="GL20" s="759"/>
    </row>
    <row r="21" spans="1:194" s="8" customFormat="1" ht="30" x14ac:dyDescent="0.25">
      <c r="A21" s="128"/>
      <c r="B21" s="127"/>
      <c r="C21" s="127"/>
      <c r="D21" s="25" t="s">
        <v>215</v>
      </c>
      <c r="E21" s="26" t="s">
        <v>216</v>
      </c>
      <c r="F21" s="78" t="s">
        <v>232</v>
      </c>
      <c r="G21" s="77" t="s">
        <v>230</v>
      </c>
      <c r="H21" s="77" t="s">
        <v>231</v>
      </c>
      <c r="I21" s="78" t="s">
        <v>230</v>
      </c>
      <c r="J21" s="77" t="s">
        <v>231</v>
      </c>
      <c r="K21" s="78" t="s">
        <v>230</v>
      </c>
      <c r="L21" s="27" t="s">
        <v>231</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68" t="s">
        <v>233</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68" t="s">
        <v>233</v>
      </c>
    </row>
    <row r="22" spans="1:194" s="1" customFormat="1" x14ac:dyDescent="0.2">
      <c r="A22" s="30"/>
      <c r="B22" s="69"/>
      <c r="C22" s="760"/>
      <c r="D22" s="728"/>
      <c r="E22" s="728"/>
      <c r="F22" s="761"/>
      <c r="G22" s="761"/>
      <c r="H22" s="728"/>
      <c r="I22" s="728"/>
      <c r="J22" s="728"/>
      <c r="K22" s="761"/>
      <c r="L22" s="728"/>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c r="CB22" s="761"/>
      <c r="CC22" s="761"/>
      <c r="CD22" s="761"/>
      <c r="CE22" s="761"/>
      <c r="CF22" s="761"/>
      <c r="CG22" s="761"/>
      <c r="CH22" s="761"/>
      <c r="CI22" s="761"/>
      <c r="CJ22" s="761"/>
      <c r="CK22" s="761"/>
      <c r="CL22" s="761"/>
      <c r="CM22" s="761"/>
      <c r="CN22" s="761"/>
      <c r="CO22" s="761"/>
      <c r="CP22" s="761"/>
      <c r="CQ22" s="761"/>
      <c r="CR22" s="761"/>
      <c r="CS22" s="761"/>
      <c r="CT22" s="761"/>
      <c r="CU22" s="761"/>
      <c r="CV22" s="761"/>
      <c r="CW22" s="761"/>
      <c r="CX22" s="761"/>
      <c r="CY22" s="728"/>
      <c r="CZ22" s="761"/>
      <c r="DA22" s="761"/>
      <c r="DB22" s="761"/>
      <c r="DC22" s="761"/>
      <c r="DD22" s="761"/>
      <c r="DE22" s="761"/>
      <c r="DF22" s="761"/>
      <c r="DG22" s="761"/>
      <c r="DH22" s="761"/>
      <c r="DI22" s="761"/>
      <c r="DJ22" s="761"/>
      <c r="DK22" s="761"/>
      <c r="DL22" s="761"/>
      <c r="DM22" s="761"/>
      <c r="DN22" s="761"/>
      <c r="DO22" s="761"/>
      <c r="DP22" s="761"/>
      <c r="DQ22" s="761"/>
      <c r="DR22" s="761"/>
      <c r="DS22" s="761"/>
      <c r="DT22" s="761"/>
      <c r="DU22" s="761"/>
      <c r="DV22" s="761"/>
      <c r="DW22" s="761"/>
      <c r="DX22" s="761"/>
      <c r="DY22" s="761"/>
      <c r="DZ22" s="761"/>
      <c r="EA22" s="761"/>
      <c r="EB22" s="761"/>
      <c r="EC22" s="761"/>
      <c r="ED22" s="761"/>
      <c r="EE22" s="761"/>
      <c r="EF22" s="761"/>
      <c r="EG22" s="761"/>
      <c r="EH22" s="761"/>
      <c r="EI22" s="761"/>
      <c r="EJ22" s="761"/>
      <c r="EK22" s="761"/>
      <c r="EL22" s="761"/>
      <c r="EM22" s="761"/>
      <c r="EN22" s="761"/>
      <c r="EO22" s="761"/>
      <c r="EP22" s="761"/>
      <c r="EQ22" s="761"/>
      <c r="ER22" s="761"/>
      <c r="ES22" s="761"/>
      <c r="ET22" s="761"/>
      <c r="EU22" s="761"/>
      <c r="EV22" s="761"/>
      <c r="EW22" s="761"/>
      <c r="EX22" s="761"/>
      <c r="EY22" s="761"/>
      <c r="EZ22" s="761"/>
      <c r="FA22" s="761"/>
      <c r="FB22" s="761"/>
      <c r="FC22" s="761"/>
      <c r="FD22" s="761"/>
      <c r="FE22" s="761"/>
      <c r="FF22" s="761"/>
      <c r="FG22" s="761"/>
      <c r="FH22" s="761"/>
      <c r="FI22" s="761"/>
      <c r="FJ22" s="761"/>
      <c r="FK22" s="761"/>
      <c r="FL22" s="761"/>
      <c r="FM22" s="761"/>
      <c r="FN22" s="761"/>
      <c r="FO22" s="761"/>
      <c r="FP22" s="761"/>
      <c r="FQ22" s="761"/>
      <c r="FR22" s="761"/>
      <c r="FS22" s="761"/>
      <c r="FT22" s="761"/>
      <c r="FU22" s="761"/>
      <c r="FV22" s="761"/>
      <c r="FW22" s="761"/>
      <c r="FX22" s="761"/>
      <c r="FY22" s="761"/>
      <c r="FZ22" s="761"/>
      <c r="GA22" s="761"/>
      <c r="GB22" s="761"/>
      <c r="GC22" s="761"/>
      <c r="GD22" s="761"/>
      <c r="GE22" s="761"/>
      <c r="GF22" s="761"/>
      <c r="GG22" s="761"/>
      <c r="GH22" s="761"/>
      <c r="GI22" s="761"/>
      <c r="GJ22" s="761"/>
      <c r="GK22" s="761"/>
      <c r="GL22" s="728"/>
    </row>
    <row r="23" spans="1:194" s="67" customFormat="1" ht="21.75" customHeight="1" x14ac:dyDescent="0.25">
      <c r="A23" s="62" t="s">
        <v>188</v>
      </c>
      <c r="B23" s="63" t="s">
        <v>188</v>
      </c>
      <c r="C23" s="64" t="str">
        <f>CONCATENATE(A23, " - ", B23)</f>
        <v>Per 100,000 population - Per 100,000 population</v>
      </c>
      <c r="D23" s="66">
        <f>ROUND((SUM(D25:D27)/SUM($F$25:$F$27))*100000,0)</f>
        <v>38510</v>
      </c>
      <c r="E23" s="66">
        <f>(SUM(E25:E27)/SUM($F$25:$F$27))*100000</f>
        <v>40125.031416743463</v>
      </c>
      <c r="F23" s="65">
        <f>SUM(G23:H23)</f>
        <v>100000</v>
      </c>
      <c r="G23" s="65">
        <f>ROUND((SUM(G25:G27)/SUM($F$25:$F$27))*100000,0)</f>
        <v>49469</v>
      </c>
      <c r="H23" s="66">
        <f>ROUND((SUM(H25:H27)/SUM($F$25:$F$27))*100000,0)</f>
        <v>50531</v>
      </c>
      <c r="I23" s="66">
        <f>ROUND((SUM(I25:I27)/SUM($F$25:$F$27))*100000,0)</f>
        <v>38510</v>
      </c>
      <c r="J23" s="66">
        <f t="shared" ref="J23:BU23" si="0">(SUM(J25:J27)/SUM($F$25:$F$27))*100000</f>
        <v>40125.031416743463</v>
      </c>
      <c r="K23" s="65">
        <f t="shared" si="0"/>
        <v>10959.404941966137</v>
      </c>
      <c r="L23" s="66">
        <f t="shared" si="0"/>
        <v>10405.876248072027</v>
      </c>
      <c r="M23" s="65">
        <f t="shared" si="0"/>
        <v>543.94664799942166</v>
      </c>
      <c r="N23" s="65">
        <f t="shared" si="0"/>
        <v>566.45569178557366</v>
      </c>
      <c r="O23" s="65">
        <f t="shared" si="0"/>
        <v>587.95362198900352</v>
      </c>
      <c r="P23" s="65">
        <f t="shared" si="0"/>
        <v>606.52857376148245</v>
      </c>
      <c r="Q23" s="65">
        <f t="shared" si="0"/>
        <v>625.28529876231585</v>
      </c>
      <c r="R23" s="65">
        <f t="shared" si="0"/>
        <v>623.8765562425682</v>
      </c>
      <c r="S23" s="65">
        <f t="shared" si="0"/>
        <v>628.14822710889973</v>
      </c>
      <c r="T23" s="65">
        <f t="shared" si="0"/>
        <v>641.81692469105928</v>
      </c>
      <c r="U23" s="65">
        <f t="shared" si="0"/>
        <v>660.20036538366469</v>
      </c>
      <c r="V23" s="65">
        <f t="shared" si="0"/>
        <v>648.26825132239208</v>
      </c>
      <c r="W23" s="65">
        <f t="shared" si="0"/>
        <v>637.00480306542374</v>
      </c>
      <c r="X23" s="65">
        <f t="shared" si="0"/>
        <v>629.23724350377381</v>
      </c>
      <c r="Y23" s="65">
        <f t="shared" si="0"/>
        <v>635.02152730605553</v>
      </c>
      <c r="Z23" s="65">
        <f t="shared" si="0"/>
        <v>615.42410112408243</v>
      </c>
      <c r="AA23" s="65">
        <f t="shared" si="0"/>
        <v>602.08649049356848</v>
      </c>
      <c r="AB23" s="65">
        <f t="shared" si="0"/>
        <v>579.04186487387187</v>
      </c>
      <c r="AC23" s="65">
        <f t="shared" si="0"/>
        <v>570.53585157203167</v>
      </c>
      <c r="AD23" s="65">
        <f t="shared" si="0"/>
        <v>558.57290098094893</v>
      </c>
      <c r="AE23" s="65">
        <f t="shared" si="0"/>
        <v>554.62095623949097</v>
      </c>
      <c r="AF23" s="65">
        <f t="shared" si="0"/>
        <v>575.91114561051575</v>
      </c>
      <c r="AG23" s="65">
        <f t="shared" si="0"/>
        <v>601.23118253515031</v>
      </c>
      <c r="AH23" s="65">
        <f t="shared" si="0"/>
        <v>624.18816749117593</v>
      </c>
      <c r="AI23" s="65">
        <f t="shared" si="0"/>
        <v>636.48869693491713</v>
      </c>
      <c r="AJ23" s="65">
        <f t="shared" si="0"/>
        <v>656.21758411239659</v>
      </c>
      <c r="AK23" s="65">
        <f t="shared" si="0"/>
        <v>660.84468655917146</v>
      </c>
      <c r="AL23" s="65">
        <f t="shared" si="0"/>
        <v>656.46914527663728</v>
      </c>
      <c r="AM23" s="65">
        <f t="shared" si="0"/>
        <v>675.84097789842031</v>
      </c>
      <c r="AN23" s="65">
        <f t="shared" si="0"/>
        <v>673.08191996803907</v>
      </c>
      <c r="AO23" s="65">
        <f t="shared" si="0"/>
        <v>685.28344792133703</v>
      </c>
      <c r="AP23" s="65">
        <f t="shared" si="0"/>
        <v>704.05315672419579</v>
      </c>
      <c r="AQ23" s="65">
        <f t="shared" si="0"/>
        <v>691.80618546380913</v>
      </c>
      <c r="AR23" s="65">
        <f t="shared" si="0"/>
        <v>677.66033315721893</v>
      </c>
      <c r="AS23" s="65">
        <f t="shared" si="0"/>
        <v>678.67631566570049</v>
      </c>
      <c r="AT23" s="65">
        <f t="shared" si="0"/>
        <v>656.10072989416869</v>
      </c>
      <c r="AU23" s="65">
        <f t="shared" si="0"/>
        <v>668.09451701506157</v>
      </c>
      <c r="AV23" s="65">
        <f t="shared" si="0"/>
        <v>665.08876684619906</v>
      </c>
      <c r="AW23" s="65">
        <f t="shared" si="0"/>
        <v>645.27061602979541</v>
      </c>
      <c r="AX23" s="65">
        <f t="shared" si="0"/>
        <v>648.31369462948078</v>
      </c>
      <c r="AY23" s="65">
        <f t="shared" si="0"/>
        <v>644.56949072042801</v>
      </c>
      <c r="AZ23" s="65">
        <f t="shared" si="0"/>
        <v>651.56289108631813</v>
      </c>
      <c r="BA23" s="65">
        <f t="shared" si="0"/>
        <v>653.18099741372396</v>
      </c>
      <c r="BB23" s="65">
        <f t="shared" si="0"/>
        <v>629.34598284573588</v>
      </c>
      <c r="BC23" s="65">
        <f t="shared" si="0"/>
        <v>588.84950432875087</v>
      </c>
      <c r="BD23" s="65">
        <f t="shared" si="0"/>
        <v>579.92151746108755</v>
      </c>
      <c r="BE23" s="65">
        <f t="shared" si="0"/>
        <v>587.69881487425653</v>
      </c>
      <c r="BF23" s="65">
        <f t="shared" si="0"/>
        <v>599.08074032470608</v>
      </c>
      <c r="BG23" s="65">
        <f t="shared" si="0"/>
        <v>607.51696569066019</v>
      </c>
      <c r="BH23" s="65">
        <f t="shared" si="0"/>
        <v>633.43588048371282</v>
      </c>
      <c r="BI23" s="65">
        <f t="shared" si="0"/>
        <v>660.10136389322167</v>
      </c>
      <c r="BJ23" s="65">
        <f t="shared" si="0"/>
        <v>676.06170253285097</v>
      </c>
      <c r="BK23" s="65">
        <f t="shared" si="0"/>
        <v>660.30910472562675</v>
      </c>
      <c r="BL23" s="65">
        <f t="shared" si="0"/>
        <v>675.15283639107827</v>
      </c>
      <c r="BM23" s="65">
        <f t="shared" si="0"/>
        <v>674.40464479936895</v>
      </c>
      <c r="BN23" s="65">
        <f t="shared" si="0"/>
        <v>685.93426099785654</v>
      </c>
      <c r="BO23" s="65">
        <f t="shared" si="0"/>
        <v>680.86733225747389</v>
      </c>
      <c r="BP23" s="65">
        <f t="shared" si="0"/>
        <v>683.70591597526027</v>
      </c>
      <c r="BQ23" s="65">
        <f t="shared" si="0"/>
        <v>676.56807081183842</v>
      </c>
      <c r="BR23" s="65">
        <f t="shared" si="0"/>
        <v>659.65666867385426</v>
      </c>
      <c r="BS23" s="65">
        <f t="shared" si="0"/>
        <v>644.17997665966823</v>
      </c>
      <c r="BT23" s="65">
        <f t="shared" si="0"/>
        <v>619.60488537623667</v>
      </c>
      <c r="BU23" s="65">
        <f t="shared" si="0"/>
        <v>591.26611448071435</v>
      </c>
      <c r="BV23" s="65">
        <f t="shared" ref="BV23:EG23" si="1">(SUM(BV25:BV27)/SUM($F$25:$F$27))*100000</f>
        <v>576.1318702449463</v>
      </c>
      <c r="BW23" s="65">
        <f t="shared" si="1"/>
        <v>563.13670739285033</v>
      </c>
      <c r="BX23" s="65">
        <f t="shared" si="1"/>
        <v>539.54838506334329</v>
      </c>
      <c r="BY23" s="65">
        <f t="shared" si="1"/>
        <v>517.9043870871285</v>
      </c>
      <c r="BZ23" s="65">
        <f t="shared" si="1"/>
        <v>495.72318430211595</v>
      </c>
      <c r="CA23" s="65">
        <f t="shared" si="1"/>
        <v>492.44315131546853</v>
      </c>
      <c r="CB23" s="65">
        <f t="shared" si="1"/>
        <v>483.97446644445108</v>
      </c>
      <c r="CC23" s="65">
        <f t="shared" si="1"/>
        <v>465.00837763595933</v>
      </c>
      <c r="CD23" s="65">
        <f t="shared" si="1"/>
        <v>464.67566770906041</v>
      </c>
      <c r="CE23" s="65">
        <f t="shared" si="1"/>
        <v>468.83535328292351</v>
      </c>
      <c r="CF23" s="65">
        <f t="shared" si="1"/>
        <v>478.58294265343528</v>
      </c>
      <c r="CG23" s="65">
        <f t="shared" si="1"/>
        <v>498.74841017401633</v>
      </c>
      <c r="CH23" s="65">
        <f t="shared" si="1"/>
        <v>534.83201897764434</v>
      </c>
      <c r="CI23" s="65">
        <f t="shared" si="1"/>
        <v>406.32321545674887</v>
      </c>
      <c r="CJ23" s="65">
        <f t="shared" si="1"/>
        <v>387.50968632205468</v>
      </c>
      <c r="CK23" s="65">
        <f t="shared" si="1"/>
        <v>378.92414723280933</v>
      </c>
      <c r="CL23" s="65">
        <f t="shared" si="1"/>
        <v>342.24003758551009</v>
      </c>
      <c r="CM23" s="65">
        <f t="shared" si="1"/>
        <v>297.28362307282646</v>
      </c>
      <c r="CN23" s="65">
        <f t="shared" si="1"/>
        <v>258.04981930280422</v>
      </c>
      <c r="CO23" s="65">
        <f t="shared" si="1"/>
        <v>259.62572827362789</v>
      </c>
      <c r="CP23" s="65">
        <f t="shared" si="1"/>
        <v>248.36714894241902</v>
      </c>
      <c r="CQ23" s="65">
        <f t="shared" si="1"/>
        <v>231.05649489215605</v>
      </c>
      <c r="CR23" s="65">
        <f t="shared" si="1"/>
        <v>208.75519193840927</v>
      </c>
      <c r="CS23" s="65">
        <f t="shared" si="1"/>
        <v>186.51393906902959</v>
      </c>
      <c r="CT23" s="65">
        <f t="shared" si="1"/>
        <v>165.96869533920781</v>
      </c>
      <c r="CU23" s="65">
        <f t="shared" si="1"/>
        <v>141.72306803216878</v>
      </c>
      <c r="CV23" s="65">
        <f t="shared" si="1"/>
        <v>123.50192486488001</v>
      </c>
      <c r="CW23" s="65">
        <f t="shared" si="1"/>
        <v>107.29327101151641</v>
      </c>
      <c r="CX23" s="65">
        <f t="shared" si="1"/>
        <v>90.878499301000787</v>
      </c>
      <c r="CY23" s="66">
        <f t="shared" si="1"/>
        <v>297.91009152054829</v>
      </c>
      <c r="CZ23" s="65">
        <f t="shared" si="1"/>
        <v>516.28141183396292</v>
      </c>
      <c r="DA23" s="65">
        <f t="shared" si="1"/>
        <v>535.79931222853099</v>
      </c>
      <c r="DB23" s="65">
        <f t="shared" si="1"/>
        <v>558.53070362436665</v>
      </c>
      <c r="DC23" s="65">
        <f t="shared" si="1"/>
        <v>576.4126449637439</v>
      </c>
      <c r="DD23" s="65">
        <f t="shared" si="1"/>
        <v>593.28347272039889</v>
      </c>
      <c r="DE23" s="65">
        <f t="shared" si="1"/>
        <v>591.99807631989188</v>
      </c>
      <c r="DF23" s="65">
        <f t="shared" si="1"/>
        <v>597.41719069021144</v>
      </c>
      <c r="DG23" s="65">
        <f t="shared" si="1"/>
        <v>610.35554940844656</v>
      </c>
      <c r="DH23" s="65">
        <f t="shared" si="1"/>
        <v>628.98405936427991</v>
      </c>
      <c r="DI23" s="65">
        <f t="shared" si="1"/>
        <v>616.59426628161475</v>
      </c>
      <c r="DJ23" s="65">
        <f t="shared" si="1"/>
        <v>606.91159592122949</v>
      </c>
      <c r="DK23" s="65">
        <f t="shared" si="1"/>
        <v>597.7093262357813</v>
      </c>
      <c r="DL23" s="65">
        <f t="shared" si="1"/>
        <v>602.84441993679684</v>
      </c>
      <c r="DM23" s="65">
        <f t="shared" si="1"/>
        <v>582.43388315298785</v>
      </c>
      <c r="DN23" s="65">
        <f t="shared" si="1"/>
        <v>572.66844105469113</v>
      </c>
      <c r="DO23" s="65">
        <f t="shared" si="1"/>
        <v>550.09285528315934</v>
      </c>
      <c r="DP23" s="65">
        <f t="shared" si="1"/>
        <v>540.88247072144532</v>
      </c>
      <c r="DQ23" s="65">
        <f t="shared" si="1"/>
        <v>526.67656833048784</v>
      </c>
      <c r="DR23" s="65">
        <f t="shared" si="1"/>
        <v>520.90689130548458</v>
      </c>
      <c r="DS23" s="65">
        <f t="shared" si="1"/>
        <v>543.40619724011754</v>
      </c>
      <c r="DT23" s="65">
        <f t="shared" si="1"/>
        <v>559.65542547481039</v>
      </c>
      <c r="DU23" s="65">
        <f t="shared" si="1"/>
        <v>583.07333540273498</v>
      </c>
      <c r="DV23" s="65">
        <f t="shared" si="1"/>
        <v>594.84639788919742</v>
      </c>
      <c r="DW23" s="65">
        <f t="shared" si="1"/>
        <v>617.65893804769132</v>
      </c>
      <c r="DX23" s="65">
        <f t="shared" si="1"/>
        <v>619.1488293300971</v>
      </c>
      <c r="DY23" s="65">
        <f t="shared" si="1"/>
        <v>621.83809932459235</v>
      </c>
      <c r="DZ23" s="65">
        <f t="shared" si="1"/>
        <v>641.14176698574261</v>
      </c>
      <c r="EA23" s="65">
        <f t="shared" si="1"/>
        <v>645.2219267722005</v>
      </c>
      <c r="EB23" s="65">
        <f t="shared" si="1"/>
        <v>670.79027891056944</v>
      </c>
      <c r="EC23" s="65">
        <f t="shared" si="1"/>
        <v>679.54623040139711</v>
      </c>
      <c r="ED23" s="65">
        <f t="shared" si="1"/>
        <v>668.11561569335277</v>
      </c>
      <c r="EE23" s="65">
        <f t="shared" si="1"/>
        <v>669.65095028284725</v>
      </c>
      <c r="EF23" s="65">
        <f t="shared" si="1"/>
        <v>681.22600978842343</v>
      </c>
      <c r="EG23" s="65">
        <f t="shared" si="1"/>
        <v>670.85519792069601</v>
      </c>
      <c r="EH23" s="65">
        <f t="shared" ref="EH23:GL23" si="2">(SUM(EH25:EH27)/SUM($F$25:$F$27))*100000</f>
        <v>669.76293557531574</v>
      </c>
      <c r="EI23" s="65">
        <f t="shared" si="2"/>
        <v>669.34583093525214</v>
      </c>
      <c r="EJ23" s="65">
        <f t="shared" si="2"/>
        <v>657.07451504606797</v>
      </c>
      <c r="EK23" s="65">
        <f t="shared" si="2"/>
        <v>662.30211833651401</v>
      </c>
      <c r="EL23" s="65">
        <f t="shared" si="2"/>
        <v>661.55554972005791</v>
      </c>
      <c r="EM23" s="65">
        <f t="shared" si="2"/>
        <v>665.42472272360442</v>
      </c>
      <c r="EN23" s="65">
        <f t="shared" si="2"/>
        <v>665.73795694746525</v>
      </c>
      <c r="EO23" s="65">
        <f t="shared" si="2"/>
        <v>636.42377792479044</v>
      </c>
      <c r="EP23" s="65">
        <f t="shared" si="2"/>
        <v>593.17635635369004</v>
      </c>
      <c r="EQ23" s="65">
        <f t="shared" si="2"/>
        <v>584.12177741627988</v>
      </c>
      <c r="ER23" s="65">
        <f t="shared" si="2"/>
        <v>595.57835972837495</v>
      </c>
      <c r="ES23" s="65">
        <f t="shared" si="2"/>
        <v>607.18912468952078</v>
      </c>
      <c r="ET23" s="65">
        <f t="shared" si="2"/>
        <v>619.38578371705933</v>
      </c>
      <c r="EU23" s="65">
        <f t="shared" si="2"/>
        <v>644.9411520534029</v>
      </c>
      <c r="EV23" s="65">
        <f t="shared" si="2"/>
        <v>671.49627314569636</v>
      </c>
      <c r="EW23" s="65">
        <f t="shared" si="2"/>
        <v>698.10495242134436</v>
      </c>
      <c r="EX23" s="65">
        <f t="shared" si="2"/>
        <v>680.76021589076493</v>
      </c>
      <c r="EY23" s="65">
        <f t="shared" si="2"/>
        <v>696.76762081273603</v>
      </c>
      <c r="EZ23" s="65">
        <f t="shared" si="2"/>
        <v>694.81031265741854</v>
      </c>
      <c r="FA23" s="65">
        <f t="shared" si="2"/>
        <v>701.03117680280172</v>
      </c>
      <c r="FB23" s="65">
        <f t="shared" si="2"/>
        <v>703.63118315837278</v>
      </c>
      <c r="FC23" s="65">
        <f t="shared" si="2"/>
        <v>706.58499811913396</v>
      </c>
      <c r="FD23" s="65">
        <f t="shared" si="2"/>
        <v>698.14065787691402</v>
      </c>
      <c r="FE23" s="65">
        <f t="shared" si="2"/>
        <v>680.63362382101809</v>
      </c>
      <c r="FF23" s="65">
        <f t="shared" si="2"/>
        <v>663.69625407898309</v>
      </c>
      <c r="FG23" s="65">
        <f t="shared" si="2"/>
        <v>640.10306282371664</v>
      </c>
      <c r="FH23" s="65">
        <f t="shared" si="2"/>
        <v>613.54144983041044</v>
      </c>
      <c r="FI23" s="65">
        <f t="shared" si="2"/>
        <v>598.09072542027513</v>
      </c>
      <c r="FJ23" s="65">
        <f t="shared" si="2"/>
        <v>584.27596006533065</v>
      </c>
      <c r="FK23" s="65">
        <f t="shared" si="2"/>
        <v>561.83345826455832</v>
      </c>
      <c r="FL23" s="65">
        <f t="shared" si="2"/>
        <v>539.95737482714094</v>
      </c>
      <c r="FM23" s="65">
        <f t="shared" si="2"/>
        <v>520.57093542807934</v>
      </c>
      <c r="FN23" s="65">
        <f t="shared" si="2"/>
        <v>522.69541003447296</v>
      </c>
      <c r="FO23" s="65">
        <f t="shared" si="2"/>
        <v>513.46717274497405</v>
      </c>
      <c r="FP23" s="65">
        <f t="shared" si="2"/>
        <v>498.99997133825701</v>
      </c>
      <c r="FQ23" s="65">
        <f t="shared" si="2"/>
        <v>500.5466667545237</v>
      </c>
      <c r="FR23" s="65">
        <f t="shared" si="2"/>
        <v>510.26504257047861</v>
      </c>
      <c r="FS23" s="65">
        <f t="shared" si="2"/>
        <v>518.52760958434396</v>
      </c>
      <c r="FT23" s="65">
        <f t="shared" si="2"/>
        <v>544.72405314568789</v>
      </c>
      <c r="FU23" s="65">
        <f t="shared" si="2"/>
        <v>584.21104105520396</v>
      </c>
      <c r="FV23" s="65">
        <f t="shared" si="2"/>
        <v>450.59148846209041</v>
      </c>
      <c r="FW23" s="65">
        <f t="shared" si="2"/>
        <v>433.98520567170129</v>
      </c>
      <c r="FX23" s="65">
        <f t="shared" si="2"/>
        <v>427.18656233619106</v>
      </c>
      <c r="FY23" s="65">
        <f t="shared" si="2"/>
        <v>394.52580834148904</v>
      </c>
      <c r="FZ23" s="65">
        <f t="shared" si="2"/>
        <v>349.31458671405841</v>
      </c>
      <c r="GA23" s="65">
        <f t="shared" si="2"/>
        <v>310.53197006441621</v>
      </c>
      <c r="GB23" s="65">
        <f t="shared" si="2"/>
        <v>315.01787366416556</v>
      </c>
      <c r="GC23" s="65">
        <f t="shared" si="2"/>
        <v>307.13021393378136</v>
      </c>
      <c r="GD23" s="65">
        <f t="shared" si="2"/>
        <v>291.28672951238002</v>
      </c>
      <c r="GE23" s="65">
        <f t="shared" si="2"/>
        <v>271.34360960148263</v>
      </c>
      <c r="GF23" s="65">
        <f t="shared" si="2"/>
        <v>249.95441874001486</v>
      </c>
      <c r="GG23" s="65">
        <f t="shared" si="2"/>
        <v>228.82003499329406</v>
      </c>
      <c r="GH23" s="65">
        <f t="shared" si="2"/>
        <v>203.71423080207731</v>
      </c>
      <c r="GI23" s="65">
        <f t="shared" si="2"/>
        <v>184.80007720168683</v>
      </c>
      <c r="GJ23" s="65">
        <f t="shared" si="2"/>
        <v>169.18543229098179</v>
      </c>
      <c r="GK23" s="65">
        <f t="shared" si="2"/>
        <v>150.77926994483215</v>
      </c>
      <c r="GL23" s="66">
        <f t="shared" si="2"/>
        <v>620.29464985883203</v>
      </c>
    </row>
    <row r="24" spans="1:194" s="1" customFormat="1" ht="21.75" customHeight="1" x14ac:dyDescent="0.2">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ht="15" x14ac:dyDescent="0.25">
      <c r="A25" s="71" t="s">
        <v>43</v>
      </c>
      <c r="B25" s="74" t="s">
        <v>45</v>
      </c>
      <c r="C25" s="762" t="s">
        <v>234</v>
      </c>
      <c r="D25" s="763">
        <f t="shared" ref="D25:E27" si="3">I25</f>
        <v>21779298</v>
      </c>
      <c r="E25" s="763">
        <f t="shared" si="3"/>
        <v>22677552</v>
      </c>
      <c r="F25" s="764">
        <f>G25+H25</f>
        <v>56550138</v>
      </c>
      <c r="G25" s="764">
        <f>SUM(M25:CY25)</f>
        <v>27982818</v>
      </c>
      <c r="H25" s="765">
        <f>SUM(CZ25:GL25)</f>
        <v>28567320</v>
      </c>
      <c r="I25" s="765">
        <f>SUM(AE25:CY25)</f>
        <v>21779298</v>
      </c>
      <c r="J25" s="765">
        <f>SUM(DR25:GL25)</f>
        <v>22677552</v>
      </c>
      <c r="K25" s="766">
        <f>SUM(M25:AD25)</f>
        <v>6203520</v>
      </c>
      <c r="L25" s="763">
        <f>SUM(CZ25:DQ25)</f>
        <v>5889768</v>
      </c>
      <c r="M25" s="764">
        <f t="shared" ref="M25:AR25" si="4">SUM(M29:M134)</f>
        <v>308815</v>
      </c>
      <c r="N25" s="764">
        <f t="shared" si="4"/>
        <v>321378</v>
      </c>
      <c r="O25" s="764">
        <f t="shared" si="4"/>
        <v>333560</v>
      </c>
      <c r="P25" s="764">
        <f t="shared" si="4"/>
        <v>344089</v>
      </c>
      <c r="Q25" s="764">
        <f t="shared" si="4"/>
        <v>354452</v>
      </c>
      <c r="R25" s="764">
        <f t="shared" si="4"/>
        <v>353655</v>
      </c>
      <c r="S25" s="764">
        <f t="shared" si="4"/>
        <v>356004</v>
      </c>
      <c r="T25" s="764">
        <f t="shared" si="4"/>
        <v>363986</v>
      </c>
      <c r="U25" s="764">
        <f t="shared" si="4"/>
        <v>374129</v>
      </c>
      <c r="V25" s="764">
        <f t="shared" si="4"/>
        <v>366587</v>
      </c>
      <c r="W25" s="764">
        <f t="shared" si="4"/>
        <v>360144</v>
      </c>
      <c r="X25" s="764">
        <f t="shared" si="4"/>
        <v>355213</v>
      </c>
      <c r="Y25" s="764">
        <f t="shared" si="4"/>
        <v>358555</v>
      </c>
      <c r="Z25" s="764">
        <f t="shared" si="4"/>
        <v>347682</v>
      </c>
      <c r="AA25" s="764">
        <f t="shared" si="4"/>
        <v>340280</v>
      </c>
      <c r="AB25" s="764">
        <f t="shared" si="4"/>
        <v>327124</v>
      </c>
      <c r="AC25" s="764">
        <f t="shared" si="4"/>
        <v>322370</v>
      </c>
      <c r="AD25" s="764">
        <f t="shared" si="4"/>
        <v>315497</v>
      </c>
      <c r="AE25" s="764">
        <f t="shared" si="4"/>
        <v>312761</v>
      </c>
      <c r="AF25" s="764">
        <f t="shared" si="4"/>
        <v>323700</v>
      </c>
      <c r="AG25" s="764">
        <f t="shared" si="4"/>
        <v>337659</v>
      </c>
      <c r="AH25" s="764">
        <f t="shared" si="4"/>
        <v>350920</v>
      </c>
      <c r="AI25" s="764">
        <f t="shared" si="4"/>
        <v>358420</v>
      </c>
      <c r="AJ25" s="764">
        <f t="shared" si="4"/>
        <v>370801</v>
      </c>
      <c r="AK25" s="764">
        <f t="shared" si="4"/>
        <v>373901</v>
      </c>
      <c r="AL25" s="764">
        <f t="shared" si="4"/>
        <v>371883</v>
      </c>
      <c r="AM25" s="764">
        <f t="shared" si="4"/>
        <v>382502</v>
      </c>
      <c r="AN25" s="764">
        <f t="shared" si="4"/>
        <v>381754</v>
      </c>
      <c r="AO25" s="764">
        <f t="shared" si="4"/>
        <v>388663</v>
      </c>
      <c r="AP25" s="764">
        <f t="shared" si="4"/>
        <v>399614</v>
      </c>
      <c r="AQ25" s="764">
        <f t="shared" si="4"/>
        <v>392851</v>
      </c>
      <c r="AR25" s="764">
        <f t="shared" si="4"/>
        <v>384813</v>
      </c>
      <c r="AS25" s="764">
        <f t="shared" ref="AS25:BX25" si="5">SUM(AS29:AS134)</f>
        <v>385952</v>
      </c>
      <c r="AT25" s="764">
        <f t="shared" si="5"/>
        <v>372700</v>
      </c>
      <c r="AU25" s="764">
        <f t="shared" si="5"/>
        <v>380096</v>
      </c>
      <c r="AV25" s="764">
        <f t="shared" si="5"/>
        <v>378573</v>
      </c>
      <c r="AW25" s="764">
        <f t="shared" si="5"/>
        <v>367247</v>
      </c>
      <c r="AX25" s="764">
        <f t="shared" si="5"/>
        <v>369196</v>
      </c>
      <c r="AY25" s="764">
        <f t="shared" si="5"/>
        <v>367387</v>
      </c>
      <c r="AZ25" s="764">
        <f t="shared" si="5"/>
        <v>370566</v>
      </c>
      <c r="BA25" s="764">
        <f t="shared" si="5"/>
        <v>371661</v>
      </c>
      <c r="BB25" s="764">
        <f t="shared" si="5"/>
        <v>358524</v>
      </c>
      <c r="BC25" s="764">
        <f t="shared" si="5"/>
        <v>335609</v>
      </c>
      <c r="BD25" s="764">
        <f t="shared" si="5"/>
        <v>329766</v>
      </c>
      <c r="BE25" s="764">
        <f t="shared" si="5"/>
        <v>334708</v>
      </c>
      <c r="BF25" s="764">
        <f t="shared" si="5"/>
        <v>340715</v>
      </c>
      <c r="BG25" s="764">
        <f t="shared" si="5"/>
        <v>345236</v>
      </c>
      <c r="BH25" s="764">
        <f t="shared" si="5"/>
        <v>359601</v>
      </c>
      <c r="BI25" s="764">
        <f t="shared" si="5"/>
        <v>374360</v>
      </c>
      <c r="BJ25" s="764">
        <f t="shared" si="5"/>
        <v>383296</v>
      </c>
      <c r="BK25" s="764">
        <f t="shared" si="5"/>
        <v>374154</v>
      </c>
      <c r="BL25" s="764">
        <f t="shared" si="5"/>
        <v>382152</v>
      </c>
      <c r="BM25" s="764">
        <f t="shared" si="5"/>
        <v>381638</v>
      </c>
      <c r="BN25" s="764">
        <f t="shared" si="5"/>
        <v>388278</v>
      </c>
      <c r="BO25" s="764">
        <f t="shared" si="5"/>
        <v>385096</v>
      </c>
      <c r="BP25" s="764">
        <f t="shared" si="5"/>
        <v>386043</v>
      </c>
      <c r="BQ25" s="764">
        <f t="shared" si="5"/>
        <v>381939</v>
      </c>
      <c r="BR25" s="764">
        <f t="shared" si="5"/>
        <v>372235</v>
      </c>
      <c r="BS25" s="764">
        <f t="shared" si="5"/>
        <v>363185</v>
      </c>
      <c r="BT25" s="764">
        <f t="shared" si="5"/>
        <v>349191</v>
      </c>
      <c r="BU25" s="764">
        <f t="shared" si="5"/>
        <v>333011</v>
      </c>
      <c r="BV25" s="764">
        <f t="shared" si="5"/>
        <v>324227</v>
      </c>
      <c r="BW25" s="764">
        <f t="shared" si="5"/>
        <v>316683</v>
      </c>
      <c r="BX25" s="764">
        <f t="shared" si="5"/>
        <v>303232</v>
      </c>
      <c r="BY25" s="764">
        <f t="shared" ref="BY25:DD25" si="6">SUM(BY29:BY134)</f>
        <v>291336</v>
      </c>
      <c r="BZ25" s="764">
        <f t="shared" si="6"/>
        <v>278378</v>
      </c>
      <c r="CA25" s="764">
        <f t="shared" si="6"/>
        <v>276173</v>
      </c>
      <c r="CB25" s="764">
        <f t="shared" si="6"/>
        <v>271510</v>
      </c>
      <c r="CC25" s="764">
        <f t="shared" si="6"/>
        <v>260801</v>
      </c>
      <c r="CD25" s="764">
        <f t="shared" si="6"/>
        <v>260852</v>
      </c>
      <c r="CE25" s="764">
        <f t="shared" si="6"/>
        <v>263006</v>
      </c>
      <c r="CF25" s="764">
        <f t="shared" si="6"/>
        <v>268821</v>
      </c>
      <c r="CG25" s="764">
        <f t="shared" si="6"/>
        <v>280766</v>
      </c>
      <c r="CH25" s="764">
        <f t="shared" si="6"/>
        <v>302439</v>
      </c>
      <c r="CI25" s="764">
        <f t="shared" si="6"/>
        <v>228895</v>
      </c>
      <c r="CJ25" s="764">
        <f t="shared" si="6"/>
        <v>217830</v>
      </c>
      <c r="CK25" s="764">
        <f t="shared" si="6"/>
        <v>213013</v>
      </c>
      <c r="CL25" s="764">
        <f t="shared" si="6"/>
        <v>192013</v>
      </c>
      <c r="CM25" s="764">
        <f t="shared" si="6"/>
        <v>166567</v>
      </c>
      <c r="CN25" s="764">
        <f t="shared" si="6"/>
        <v>144651</v>
      </c>
      <c r="CO25" s="764">
        <f t="shared" si="6"/>
        <v>146189</v>
      </c>
      <c r="CP25" s="764">
        <f t="shared" si="6"/>
        <v>139908</v>
      </c>
      <c r="CQ25" s="764">
        <f t="shared" si="6"/>
        <v>130442</v>
      </c>
      <c r="CR25" s="764">
        <f t="shared" si="6"/>
        <v>118033</v>
      </c>
      <c r="CS25" s="764">
        <f t="shared" si="6"/>
        <v>105446</v>
      </c>
      <c r="CT25" s="764">
        <f t="shared" si="6"/>
        <v>93860</v>
      </c>
      <c r="CU25" s="764">
        <f t="shared" si="6"/>
        <v>80158</v>
      </c>
      <c r="CV25" s="764">
        <f t="shared" si="6"/>
        <v>69745</v>
      </c>
      <c r="CW25" s="764">
        <f t="shared" si="6"/>
        <v>60874</v>
      </c>
      <c r="CX25" s="764">
        <f t="shared" si="6"/>
        <v>51545</v>
      </c>
      <c r="CY25" s="764">
        <f t="shared" si="6"/>
        <v>169548</v>
      </c>
      <c r="CZ25" s="764">
        <f t="shared" si="6"/>
        <v>293098</v>
      </c>
      <c r="DA25" s="764">
        <f t="shared" si="6"/>
        <v>304098</v>
      </c>
      <c r="DB25" s="764">
        <f t="shared" si="6"/>
        <v>316666</v>
      </c>
      <c r="DC25" s="764">
        <f t="shared" si="6"/>
        <v>326927</v>
      </c>
      <c r="DD25" s="764">
        <f t="shared" si="6"/>
        <v>336364</v>
      </c>
      <c r="DE25" s="764">
        <f t="shared" ref="DE25:EJ25" si="7">SUM(DE29:DE134)</f>
        <v>335535</v>
      </c>
      <c r="DF25" s="764">
        <f t="shared" si="7"/>
        <v>338730</v>
      </c>
      <c r="DG25" s="764">
        <f t="shared" si="7"/>
        <v>345954</v>
      </c>
      <c r="DH25" s="764">
        <f t="shared" si="7"/>
        <v>356419</v>
      </c>
      <c r="DI25" s="764">
        <f t="shared" si="7"/>
        <v>348459</v>
      </c>
      <c r="DJ25" s="764">
        <f t="shared" si="7"/>
        <v>342943</v>
      </c>
      <c r="DK25" s="764">
        <f t="shared" si="7"/>
        <v>337660</v>
      </c>
      <c r="DL25" s="764">
        <f t="shared" si="7"/>
        <v>340266</v>
      </c>
      <c r="DM25" s="764">
        <f t="shared" si="7"/>
        <v>329091</v>
      </c>
      <c r="DN25" s="764">
        <f t="shared" si="7"/>
        <v>323745</v>
      </c>
      <c r="DO25" s="764">
        <f t="shared" si="7"/>
        <v>310632</v>
      </c>
      <c r="DP25" s="764">
        <f t="shared" si="7"/>
        <v>305653</v>
      </c>
      <c r="DQ25" s="764">
        <f t="shared" si="7"/>
        <v>297528</v>
      </c>
      <c r="DR25" s="764">
        <f t="shared" si="7"/>
        <v>293850</v>
      </c>
      <c r="DS25" s="764">
        <f t="shared" si="7"/>
        <v>306756</v>
      </c>
      <c r="DT25" s="764">
        <f t="shared" si="7"/>
        <v>315496</v>
      </c>
      <c r="DU25" s="764">
        <f t="shared" si="7"/>
        <v>328567</v>
      </c>
      <c r="DV25" s="764">
        <f t="shared" si="7"/>
        <v>335796</v>
      </c>
      <c r="DW25" s="764">
        <f t="shared" si="7"/>
        <v>349599</v>
      </c>
      <c r="DX25" s="764">
        <f t="shared" si="7"/>
        <v>351363</v>
      </c>
      <c r="DY25" s="764">
        <f t="shared" si="7"/>
        <v>353228</v>
      </c>
      <c r="DZ25" s="764">
        <f t="shared" si="7"/>
        <v>363407</v>
      </c>
      <c r="EA25" s="764">
        <f t="shared" si="7"/>
        <v>365436</v>
      </c>
      <c r="EB25" s="764">
        <f t="shared" si="7"/>
        <v>379850</v>
      </c>
      <c r="EC25" s="764">
        <f t="shared" si="7"/>
        <v>385156</v>
      </c>
      <c r="ED25" s="764">
        <f t="shared" si="7"/>
        <v>379113</v>
      </c>
      <c r="EE25" s="764">
        <f t="shared" si="7"/>
        <v>379925</v>
      </c>
      <c r="EF25" s="764">
        <f t="shared" si="7"/>
        <v>387224</v>
      </c>
      <c r="EG25" s="764">
        <f t="shared" si="7"/>
        <v>381253</v>
      </c>
      <c r="EH25" s="764">
        <f t="shared" si="7"/>
        <v>380725</v>
      </c>
      <c r="EI25" s="764">
        <f t="shared" si="7"/>
        <v>380382</v>
      </c>
      <c r="EJ25" s="764">
        <f t="shared" si="7"/>
        <v>373787</v>
      </c>
      <c r="EK25" s="764">
        <f t="shared" ref="EK25:FP25" si="8">SUM(EK29:EK134)</f>
        <v>376713</v>
      </c>
      <c r="EL25" s="764">
        <f t="shared" si="8"/>
        <v>376427</v>
      </c>
      <c r="EM25" s="764">
        <f t="shared" si="8"/>
        <v>377931</v>
      </c>
      <c r="EN25" s="764">
        <f t="shared" si="8"/>
        <v>378222</v>
      </c>
      <c r="EO25" s="764">
        <f t="shared" si="8"/>
        <v>361624</v>
      </c>
      <c r="EP25" s="764">
        <f t="shared" si="8"/>
        <v>336647</v>
      </c>
      <c r="EQ25" s="764">
        <f t="shared" si="8"/>
        <v>331442</v>
      </c>
      <c r="ER25" s="764">
        <f t="shared" si="8"/>
        <v>338100</v>
      </c>
      <c r="ES25" s="764">
        <f t="shared" si="8"/>
        <v>344586</v>
      </c>
      <c r="ET25" s="764">
        <f t="shared" si="8"/>
        <v>350995</v>
      </c>
      <c r="EU25" s="764">
        <f t="shared" si="8"/>
        <v>365074</v>
      </c>
      <c r="EV25" s="764">
        <f t="shared" si="8"/>
        <v>380075</v>
      </c>
      <c r="EW25" s="764">
        <f t="shared" si="8"/>
        <v>394701</v>
      </c>
      <c r="EX25" s="764">
        <f t="shared" si="8"/>
        <v>384751</v>
      </c>
      <c r="EY25" s="764">
        <f t="shared" si="8"/>
        <v>393563</v>
      </c>
      <c r="EZ25" s="764">
        <f t="shared" si="8"/>
        <v>392445</v>
      </c>
      <c r="FA25" s="764">
        <f t="shared" si="8"/>
        <v>395838</v>
      </c>
      <c r="FB25" s="764">
        <f t="shared" si="8"/>
        <v>397436</v>
      </c>
      <c r="FC25" s="764">
        <f t="shared" si="8"/>
        <v>398256</v>
      </c>
      <c r="FD25" s="764">
        <f t="shared" si="8"/>
        <v>393381</v>
      </c>
      <c r="FE25" s="764">
        <f t="shared" si="8"/>
        <v>383788</v>
      </c>
      <c r="FF25" s="764">
        <f t="shared" si="8"/>
        <v>373754</v>
      </c>
      <c r="FG25" s="764">
        <f t="shared" si="8"/>
        <v>360010</v>
      </c>
      <c r="FH25" s="764">
        <f t="shared" si="8"/>
        <v>344951</v>
      </c>
      <c r="FI25" s="764">
        <f t="shared" si="8"/>
        <v>336192</v>
      </c>
      <c r="FJ25" s="764">
        <f t="shared" si="8"/>
        <v>328213</v>
      </c>
      <c r="FK25" s="764">
        <f t="shared" si="8"/>
        <v>315661</v>
      </c>
      <c r="FL25" s="764">
        <f t="shared" si="8"/>
        <v>303307</v>
      </c>
      <c r="FM25" s="764">
        <f t="shared" si="8"/>
        <v>292765</v>
      </c>
      <c r="FN25" s="764">
        <f t="shared" si="8"/>
        <v>293735</v>
      </c>
      <c r="FO25" s="764">
        <f t="shared" si="8"/>
        <v>288334</v>
      </c>
      <c r="FP25" s="764">
        <f t="shared" si="8"/>
        <v>280496</v>
      </c>
      <c r="FQ25" s="764">
        <f t="shared" ref="FQ25:GL25" si="9">SUM(FQ29:FQ134)</f>
        <v>281256</v>
      </c>
      <c r="FR25" s="764">
        <f t="shared" si="9"/>
        <v>287053</v>
      </c>
      <c r="FS25" s="764">
        <f t="shared" si="9"/>
        <v>291941</v>
      </c>
      <c r="FT25" s="764">
        <f t="shared" si="9"/>
        <v>307142</v>
      </c>
      <c r="FU25" s="764">
        <f t="shared" si="9"/>
        <v>330413</v>
      </c>
      <c r="FV25" s="764">
        <f t="shared" si="9"/>
        <v>253652</v>
      </c>
      <c r="FW25" s="764">
        <f t="shared" si="9"/>
        <v>244025</v>
      </c>
      <c r="FX25" s="764">
        <f t="shared" si="9"/>
        <v>240429</v>
      </c>
      <c r="FY25" s="764">
        <f t="shared" si="9"/>
        <v>221693</v>
      </c>
      <c r="FZ25" s="764">
        <f t="shared" si="9"/>
        <v>195845</v>
      </c>
      <c r="GA25" s="764">
        <f t="shared" si="9"/>
        <v>173926</v>
      </c>
      <c r="GB25" s="764">
        <f t="shared" si="9"/>
        <v>177589</v>
      </c>
      <c r="GC25" s="764">
        <f t="shared" si="9"/>
        <v>173173</v>
      </c>
      <c r="GD25" s="764">
        <f t="shared" si="9"/>
        <v>164396</v>
      </c>
      <c r="GE25" s="764">
        <f t="shared" si="9"/>
        <v>153030</v>
      </c>
      <c r="GF25" s="764">
        <f t="shared" si="9"/>
        <v>140983</v>
      </c>
      <c r="GG25" s="764">
        <f t="shared" si="9"/>
        <v>129198</v>
      </c>
      <c r="GH25" s="764">
        <f t="shared" si="9"/>
        <v>114852</v>
      </c>
      <c r="GI25" s="764">
        <f t="shared" si="9"/>
        <v>104116</v>
      </c>
      <c r="GJ25" s="764">
        <f t="shared" si="9"/>
        <v>95623</v>
      </c>
      <c r="GK25" s="764">
        <f t="shared" si="9"/>
        <v>85372</v>
      </c>
      <c r="GL25" s="764">
        <f t="shared" si="9"/>
        <v>351519</v>
      </c>
    </row>
    <row r="26" spans="1:194" s="8" customFormat="1" ht="15" x14ac:dyDescent="0.25">
      <c r="A26" s="32" t="s">
        <v>43</v>
      </c>
      <c r="B26" s="72" t="s">
        <v>235</v>
      </c>
      <c r="C26" s="33" t="s">
        <v>236</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ht="15" x14ac:dyDescent="0.25">
      <c r="A27" s="38" t="s">
        <v>43</v>
      </c>
      <c r="B27" s="73" t="s">
        <v>237</v>
      </c>
      <c r="C27" s="39" t="s">
        <v>238</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2">
      <c r="A28" s="44"/>
      <c r="B28" s="98"/>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
      <c r="A29" s="79" t="s">
        <v>220</v>
      </c>
      <c r="B29" s="262" t="s">
        <v>239</v>
      </c>
      <c r="C29" s="69" t="str">
        <f t="shared" ref="C29:C92" si="16">CONCATENATE(A29," - ",B29)</f>
        <v xml:space="preserve">England – CCGs - Barnsley </v>
      </c>
      <c r="D29" s="767">
        <f>I29</f>
        <v>95946</v>
      </c>
      <c r="E29" s="767">
        <f>J29</f>
        <v>100504</v>
      </c>
      <c r="F29" s="768">
        <f>G29+H29</f>
        <v>248071</v>
      </c>
      <c r="G29" s="768">
        <f>SUM(M29:CY29)</f>
        <v>122409</v>
      </c>
      <c r="H29" s="769">
        <f>SUM(CZ29:GL29)</f>
        <v>125662</v>
      </c>
      <c r="I29" s="769">
        <f>SUM(AE29:CY29)</f>
        <v>95946</v>
      </c>
      <c r="J29" s="769">
        <f>SUM(DR29:GL29)</f>
        <v>100504</v>
      </c>
      <c r="K29" s="770">
        <f>SUM(M29:AD29)</f>
        <v>26463</v>
      </c>
      <c r="L29" s="767">
        <f>SUM(CZ29:DQ29)</f>
        <v>25158</v>
      </c>
      <c r="M29" s="80">
        <v>1408</v>
      </c>
      <c r="N29" s="80">
        <v>1318</v>
      </c>
      <c r="O29" s="80">
        <v>1485</v>
      </c>
      <c r="P29" s="80">
        <v>1516</v>
      </c>
      <c r="Q29" s="80">
        <v>1420</v>
      </c>
      <c r="R29" s="80">
        <v>1508</v>
      </c>
      <c r="S29" s="80">
        <v>1444</v>
      </c>
      <c r="T29" s="80">
        <v>1579</v>
      </c>
      <c r="U29" s="80">
        <v>1566</v>
      </c>
      <c r="V29" s="80">
        <v>1608</v>
      </c>
      <c r="W29" s="80">
        <v>1539</v>
      </c>
      <c r="X29" s="80">
        <v>1458</v>
      </c>
      <c r="Y29" s="80">
        <v>1529</v>
      </c>
      <c r="Z29" s="80">
        <v>1525</v>
      </c>
      <c r="AA29" s="80">
        <v>1458</v>
      </c>
      <c r="AB29" s="80">
        <v>1386</v>
      </c>
      <c r="AC29" s="80">
        <v>1423</v>
      </c>
      <c r="AD29" s="80">
        <v>1293</v>
      </c>
      <c r="AE29" s="80">
        <v>1248</v>
      </c>
      <c r="AF29" s="80">
        <v>1082</v>
      </c>
      <c r="AG29" s="80">
        <v>1107</v>
      </c>
      <c r="AH29" s="80">
        <v>1226</v>
      </c>
      <c r="AI29" s="80">
        <v>1267</v>
      </c>
      <c r="AJ29" s="80">
        <v>1402</v>
      </c>
      <c r="AK29" s="80">
        <v>1535</v>
      </c>
      <c r="AL29" s="80">
        <v>1515</v>
      </c>
      <c r="AM29" s="80">
        <v>1572</v>
      </c>
      <c r="AN29" s="80">
        <v>1631</v>
      </c>
      <c r="AO29" s="80">
        <v>1642</v>
      </c>
      <c r="AP29" s="80">
        <v>1720</v>
      </c>
      <c r="AQ29" s="80">
        <v>1505</v>
      </c>
      <c r="AR29" s="80">
        <v>1595</v>
      </c>
      <c r="AS29" s="80">
        <v>1639</v>
      </c>
      <c r="AT29" s="80">
        <v>1534</v>
      </c>
      <c r="AU29" s="80">
        <v>1570</v>
      </c>
      <c r="AV29" s="80">
        <v>1600</v>
      </c>
      <c r="AW29" s="80">
        <v>1581</v>
      </c>
      <c r="AX29" s="80">
        <v>1535</v>
      </c>
      <c r="AY29" s="80">
        <v>1602</v>
      </c>
      <c r="AZ29" s="80">
        <v>1515</v>
      </c>
      <c r="BA29" s="80">
        <v>1506</v>
      </c>
      <c r="BB29" s="80">
        <v>1354</v>
      </c>
      <c r="BC29" s="80">
        <v>1268</v>
      </c>
      <c r="BD29" s="80">
        <v>1203</v>
      </c>
      <c r="BE29" s="80">
        <v>1290</v>
      </c>
      <c r="BF29" s="80">
        <v>1420</v>
      </c>
      <c r="BG29" s="80">
        <v>1436</v>
      </c>
      <c r="BH29" s="80">
        <v>1621</v>
      </c>
      <c r="BI29" s="80">
        <v>1600</v>
      </c>
      <c r="BJ29" s="80">
        <v>1880</v>
      </c>
      <c r="BK29" s="80">
        <v>1762</v>
      </c>
      <c r="BL29" s="80">
        <v>1902</v>
      </c>
      <c r="BM29" s="80">
        <v>1928</v>
      </c>
      <c r="BN29" s="80">
        <v>1900</v>
      </c>
      <c r="BO29" s="80">
        <v>1844</v>
      </c>
      <c r="BP29" s="80">
        <v>1882</v>
      </c>
      <c r="BQ29" s="80">
        <v>1824</v>
      </c>
      <c r="BR29" s="80">
        <v>1718</v>
      </c>
      <c r="BS29" s="80">
        <v>1733</v>
      </c>
      <c r="BT29" s="80">
        <v>1713</v>
      </c>
      <c r="BU29" s="80">
        <v>1613</v>
      </c>
      <c r="BV29" s="80">
        <v>1675</v>
      </c>
      <c r="BW29" s="80">
        <v>1569</v>
      </c>
      <c r="BX29" s="80">
        <v>1534</v>
      </c>
      <c r="BY29" s="80">
        <v>1467</v>
      </c>
      <c r="BZ29" s="80">
        <v>1350</v>
      </c>
      <c r="CA29" s="80">
        <v>1420</v>
      </c>
      <c r="CB29" s="80">
        <v>1362</v>
      </c>
      <c r="CC29" s="80">
        <v>1291</v>
      </c>
      <c r="CD29" s="80">
        <v>1327</v>
      </c>
      <c r="CE29" s="80">
        <v>1287</v>
      </c>
      <c r="CF29" s="80">
        <v>1329</v>
      </c>
      <c r="CG29" s="80">
        <v>1346</v>
      </c>
      <c r="CH29" s="80">
        <v>1425</v>
      </c>
      <c r="CI29" s="80">
        <v>1131</v>
      </c>
      <c r="CJ29" s="80">
        <v>1065</v>
      </c>
      <c r="CK29" s="80">
        <v>1045</v>
      </c>
      <c r="CL29" s="80">
        <v>950</v>
      </c>
      <c r="CM29" s="80">
        <v>764</v>
      </c>
      <c r="CN29" s="80">
        <v>732</v>
      </c>
      <c r="CO29" s="80">
        <v>644</v>
      </c>
      <c r="CP29" s="80">
        <v>602</v>
      </c>
      <c r="CQ29" s="80">
        <v>614</v>
      </c>
      <c r="CR29" s="80">
        <v>493</v>
      </c>
      <c r="CS29" s="80">
        <v>447</v>
      </c>
      <c r="CT29" s="80">
        <v>408</v>
      </c>
      <c r="CU29" s="80">
        <v>343</v>
      </c>
      <c r="CV29" s="80">
        <v>303</v>
      </c>
      <c r="CW29" s="80">
        <v>203</v>
      </c>
      <c r="CX29" s="80">
        <v>198</v>
      </c>
      <c r="CY29" s="80">
        <v>602</v>
      </c>
      <c r="CZ29" s="81">
        <v>1239</v>
      </c>
      <c r="DA29" s="81">
        <v>1328</v>
      </c>
      <c r="DB29" s="81">
        <v>1335</v>
      </c>
      <c r="DC29" s="81">
        <v>1447</v>
      </c>
      <c r="DD29" s="81">
        <v>1430</v>
      </c>
      <c r="DE29" s="81">
        <v>1513</v>
      </c>
      <c r="DF29" s="81">
        <v>1395</v>
      </c>
      <c r="DG29" s="81">
        <v>1518</v>
      </c>
      <c r="DH29" s="81">
        <v>1571</v>
      </c>
      <c r="DI29" s="81">
        <v>1429</v>
      </c>
      <c r="DJ29" s="81">
        <v>1416</v>
      </c>
      <c r="DK29" s="81">
        <v>1401</v>
      </c>
      <c r="DL29" s="81">
        <v>1436</v>
      </c>
      <c r="DM29" s="81">
        <v>1352</v>
      </c>
      <c r="DN29" s="81">
        <v>1416</v>
      </c>
      <c r="DO29" s="81">
        <v>1361</v>
      </c>
      <c r="DP29" s="81">
        <v>1290</v>
      </c>
      <c r="DQ29" s="81">
        <v>1281</v>
      </c>
      <c r="DR29" s="81">
        <v>1187</v>
      </c>
      <c r="DS29" s="81">
        <v>1016</v>
      </c>
      <c r="DT29" s="81">
        <v>994</v>
      </c>
      <c r="DU29" s="81">
        <v>1054</v>
      </c>
      <c r="DV29" s="81">
        <v>1356</v>
      </c>
      <c r="DW29" s="81">
        <v>1427</v>
      </c>
      <c r="DX29" s="81">
        <v>1484</v>
      </c>
      <c r="DY29" s="81">
        <v>1560</v>
      </c>
      <c r="DZ29" s="81">
        <v>1567</v>
      </c>
      <c r="EA29" s="81">
        <v>1661</v>
      </c>
      <c r="EB29" s="81">
        <v>1653</v>
      </c>
      <c r="EC29" s="81">
        <v>1739</v>
      </c>
      <c r="ED29" s="81">
        <v>1682</v>
      </c>
      <c r="EE29" s="81">
        <v>1571</v>
      </c>
      <c r="EF29" s="81">
        <v>1815</v>
      </c>
      <c r="EG29" s="81">
        <v>1722</v>
      </c>
      <c r="EH29" s="81">
        <v>1620</v>
      </c>
      <c r="EI29" s="81">
        <v>1673</v>
      </c>
      <c r="EJ29" s="81">
        <v>1686</v>
      </c>
      <c r="EK29" s="81">
        <v>1676</v>
      </c>
      <c r="EL29" s="81">
        <v>1506</v>
      </c>
      <c r="EM29" s="81">
        <v>1540</v>
      </c>
      <c r="EN29" s="81">
        <v>1571</v>
      </c>
      <c r="EO29" s="81">
        <v>1471</v>
      </c>
      <c r="EP29" s="81">
        <v>1353</v>
      </c>
      <c r="EQ29" s="81">
        <v>1281</v>
      </c>
      <c r="ER29" s="81">
        <v>1324</v>
      </c>
      <c r="ES29" s="81">
        <v>1427</v>
      </c>
      <c r="ET29" s="81">
        <v>1462</v>
      </c>
      <c r="EU29" s="81">
        <v>1637</v>
      </c>
      <c r="EV29" s="81">
        <v>1726</v>
      </c>
      <c r="EW29" s="81">
        <v>1909</v>
      </c>
      <c r="EX29" s="81">
        <v>1771</v>
      </c>
      <c r="EY29" s="81">
        <v>1795</v>
      </c>
      <c r="EZ29" s="81">
        <v>1897</v>
      </c>
      <c r="FA29" s="81">
        <v>1863</v>
      </c>
      <c r="FB29" s="81">
        <v>1876</v>
      </c>
      <c r="FC29" s="81">
        <v>1867</v>
      </c>
      <c r="FD29" s="81">
        <v>1820</v>
      </c>
      <c r="FE29" s="81">
        <v>1858</v>
      </c>
      <c r="FF29" s="81">
        <v>1741</v>
      </c>
      <c r="FG29" s="81">
        <v>1696</v>
      </c>
      <c r="FH29" s="81">
        <v>1641</v>
      </c>
      <c r="FI29" s="81">
        <v>1659</v>
      </c>
      <c r="FJ29" s="81">
        <v>1600</v>
      </c>
      <c r="FK29" s="81">
        <v>1637</v>
      </c>
      <c r="FL29" s="81">
        <v>1454</v>
      </c>
      <c r="FM29" s="81">
        <v>1386</v>
      </c>
      <c r="FN29" s="81">
        <v>1434</v>
      </c>
      <c r="FO29" s="81">
        <v>1385</v>
      </c>
      <c r="FP29" s="81">
        <v>1316</v>
      </c>
      <c r="FQ29" s="81">
        <v>1298</v>
      </c>
      <c r="FR29" s="81">
        <v>1306</v>
      </c>
      <c r="FS29" s="81">
        <v>1350</v>
      </c>
      <c r="FT29" s="81">
        <v>1434</v>
      </c>
      <c r="FU29" s="81">
        <v>1486</v>
      </c>
      <c r="FV29" s="81">
        <v>1233</v>
      </c>
      <c r="FW29" s="81">
        <v>1257</v>
      </c>
      <c r="FX29" s="81">
        <v>1143</v>
      </c>
      <c r="FY29" s="81">
        <v>1013</v>
      </c>
      <c r="FZ29" s="81">
        <v>841</v>
      </c>
      <c r="GA29" s="81">
        <v>846</v>
      </c>
      <c r="GB29" s="81">
        <v>773</v>
      </c>
      <c r="GC29" s="81">
        <v>771</v>
      </c>
      <c r="GD29" s="81">
        <v>709</v>
      </c>
      <c r="GE29" s="81">
        <v>665</v>
      </c>
      <c r="GF29" s="81">
        <v>640</v>
      </c>
      <c r="GG29" s="81">
        <v>539</v>
      </c>
      <c r="GH29" s="81">
        <v>474</v>
      </c>
      <c r="GI29" s="81">
        <v>477</v>
      </c>
      <c r="GJ29" s="81">
        <v>378</v>
      </c>
      <c r="GK29" s="81">
        <v>379</v>
      </c>
      <c r="GL29" s="82">
        <v>1446</v>
      </c>
    </row>
    <row r="30" spans="1:194" s="1" customFormat="1" x14ac:dyDescent="0.2">
      <c r="A30" s="83" t="s">
        <v>220</v>
      </c>
      <c r="B30" s="262" t="s">
        <v>240</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0">
        <v>1645</v>
      </c>
      <c r="N30" s="80">
        <v>1763</v>
      </c>
      <c r="O30" s="80">
        <v>1771</v>
      </c>
      <c r="P30" s="80">
        <v>1824</v>
      </c>
      <c r="Q30" s="80">
        <v>1818</v>
      </c>
      <c r="R30" s="80">
        <v>1840</v>
      </c>
      <c r="S30" s="80">
        <v>1773</v>
      </c>
      <c r="T30" s="80">
        <v>1826</v>
      </c>
      <c r="U30" s="80">
        <v>1846</v>
      </c>
      <c r="V30" s="80">
        <v>1713</v>
      </c>
      <c r="W30" s="80">
        <v>1727</v>
      </c>
      <c r="X30" s="80">
        <v>1777</v>
      </c>
      <c r="Y30" s="80">
        <v>1712</v>
      </c>
      <c r="Z30" s="80">
        <v>1647</v>
      </c>
      <c r="AA30" s="80">
        <v>1690</v>
      </c>
      <c r="AB30" s="80">
        <v>1578</v>
      </c>
      <c r="AC30" s="80">
        <v>1635</v>
      </c>
      <c r="AD30" s="80">
        <v>1552</v>
      </c>
      <c r="AE30" s="80">
        <v>1487</v>
      </c>
      <c r="AF30" s="80">
        <v>1161</v>
      </c>
      <c r="AG30" s="80">
        <v>1223</v>
      </c>
      <c r="AH30" s="80">
        <v>1295</v>
      </c>
      <c r="AI30" s="80">
        <v>1315</v>
      </c>
      <c r="AJ30" s="80">
        <v>1404</v>
      </c>
      <c r="AK30" s="80">
        <v>1534</v>
      </c>
      <c r="AL30" s="80">
        <v>1597</v>
      </c>
      <c r="AM30" s="80">
        <v>1616</v>
      </c>
      <c r="AN30" s="80">
        <v>1592</v>
      </c>
      <c r="AO30" s="80">
        <v>1618</v>
      </c>
      <c r="AP30" s="80">
        <v>1671</v>
      </c>
      <c r="AQ30" s="80">
        <v>1624</v>
      </c>
      <c r="AR30" s="80">
        <v>1771</v>
      </c>
      <c r="AS30" s="80">
        <v>1799</v>
      </c>
      <c r="AT30" s="80">
        <v>1659</v>
      </c>
      <c r="AU30" s="80">
        <v>1758</v>
      </c>
      <c r="AV30" s="80">
        <v>1690</v>
      </c>
      <c r="AW30" s="80">
        <v>1660</v>
      </c>
      <c r="AX30" s="80">
        <v>1537</v>
      </c>
      <c r="AY30" s="80">
        <v>1561</v>
      </c>
      <c r="AZ30" s="80">
        <v>1683</v>
      </c>
      <c r="BA30" s="80">
        <v>1729</v>
      </c>
      <c r="BB30" s="80">
        <v>1697</v>
      </c>
      <c r="BC30" s="80">
        <v>1694</v>
      </c>
      <c r="BD30" s="80">
        <v>1615</v>
      </c>
      <c r="BE30" s="80">
        <v>1574</v>
      </c>
      <c r="BF30" s="80">
        <v>1656</v>
      </c>
      <c r="BG30" s="80">
        <v>1523</v>
      </c>
      <c r="BH30" s="80">
        <v>1737</v>
      </c>
      <c r="BI30" s="80">
        <v>1741</v>
      </c>
      <c r="BJ30" s="80">
        <v>1776</v>
      </c>
      <c r="BK30" s="80">
        <v>1818</v>
      </c>
      <c r="BL30" s="80">
        <v>1858</v>
      </c>
      <c r="BM30" s="80">
        <v>1840</v>
      </c>
      <c r="BN30" s="80">
        <v>1891</v>
      </c>
      <c r="BO30" s="80">
        <v>1855</v>
      </c>
      <c r="BP30" s="80">
        <v>1831</v>
      </c>
      <c r="BQ30" s="80">
        <v>1769</v>
      </c>
      <c r="BR30" s="80">
        <v>1767</v>
      </c>
      <c r="BS30" s="80">
        <v>1681</v>
      </c>
      <c r="BT30" s="80">
        <v>1667</v>
      </c>
      <c r="BU30" s="80">
        <v>1573</v>
      </c>
      <c r="BV30" s="80">
        <v>1513</v>
      </c>
      <c r="BW30" s="80">
        <v>1429</v>
      </c>
      <c r="BX30" s="80">
        <v>1360</v>
      </c>
      <c r="BY30" s="80">
        <v>1295</v>
      </c>
      <c r="BZ30" s="80">
        <v>1270</v>
      </c>
      <c r="CA30" s="80">
        <v>1153</v>
      </c>
      <c r="CB30" s="80">
        <v>1069</v>
      </c>
      <c r="CC30" s="80">
        <v>1140</v>
      </c>
      <c r="CD30" s="80">
        <v>1135</v>
      </c>
      <c r="CE30" s="80">
        <v>1161</v>
      </c>
      <c r="CF30" s="80">
        <v>1154</v>
      </c>
      <c r="CG30" s="80">
        <v>1239</v>
      </c>
      <c r="CH30" s="80">
        <v>1427</v>
      </c>
      <c r="CI30" s="80">
        <v>1062</v>
      </c>
      <c r="CJ30" s="80">
        <v>960</v>
      </c>
      <c r="CK30" s="80">
        <v>924</v>
      </c>
      <c r="CL30" s="80">
        <v>843</v>
      </c>
      <c r="CM30" s="80">
        <v>713</v>
      </c>
      <c r="CN30" s="80">
        <v>614</v>
      </c>
      <c r="CO30" s="80">
        <v>639</v>
      </c>
      <c r="CP30" s="80">
        <v>567</v>
      </c>
      <c r="CQ30" s="80">
        <v>612</v>
      </c>
      <c r="CR30" s="80">
        <v>548</v>
      </c>
      <c r="CS30" s="80">
        <v>522</v>
      </c>
      <c r="CT30" s="80">
        <v>449</v>
      </c>
      <c r="CU30" s="80">
        <v>386</v>
      </c>
      <c r="CV30" s="80">
        <v>301</v>
      </c>
      <c r="CW30" s="80">
        <v>301</v>
      </c>
      <c r="CX30" s="80">
        <v>279</v>
      </c>
      <c r="CY30" s="80">
        <v>799</v>
      </c>
      <c r="CZ30" s="81">
        <v>1610</v>
      </c>
      <c r="DA30" s="81">
        <v>1673</v>
      </c>
      <c r="DB30" s="81">
        <v>1619</v>
      </c>
      <c r="DC30" s="81">
        <v>1688</v>
      </c>
      <c r="DD30" s="81">
        <v>1771</v>
      </c>
      <c r="DE30" s="81">
        <v>1652</v>
      </c>
      <c r="DF30" s="81">
        <v>1708</v>
      </c>
      <c r="DG30" s="81">
        <v>1778</v>
      </c>
      <c r="DH30" s="81">
        <v>1734</v>
      </c>
      <c r="DI30" s="81">
        <v>1632</v>
      </c>
      <c r="DJ30" s="81">
        <v>1575</v>
      </c>
      <c r="DK30" s="81">
        <v>1616</v>
      </c>
      <c r="DL30" s="81">
        <v>1665</v>
      </c>
      <c r="DM30" s="81">
        <v>1578</v>
      </c>
      <c r="DN30" s="81">
        <v>1575</v>
      </c>
      <c r="DO30" s="81">
        <v>1524</v>
      </c>
      <c r="DP30" s="81">
        <v>1553</v>
      </c>
      <c r="DQ30" s="81">
        <v>1457</v>
      </c>
      <c r="DR30" s="81">
        <v>1423</v>
      </c>
      <c r="DS30" s="81">
        <v>1028</v>
      </c>
      <c r="DT30" s="81">
        <v>998</v>
      </c>
      <c r="DU30" s="81">
        <v>1169</v>
      </c>
      <c r="DV30" s="81">
        <v>1424</v>
      </c>
      <c r="DW30" s="81">
        <v>1424</v>
      </c>
      <c r="DX30" s="81">
        <v>1633</v>
      </c>
      <c r="DY30" s="81">
        <v>1435</v>
      </c>
      <c r="DZ30" s="81">
        <v>1683</v>
      </c>
      <c r="EA30" s="81">
        <v>1673</v>
      </c>
      <c r="EB30" s="81">
        <v>1773</v>
      </c>
      <c r="EC30" s="81">
        <v>1754</v>
      </c>
      <c r="ED30" s="81">
        <v>1846</v>
      </c>
      <c r="EE30" s="81">
        <v>1899</v>
      </c>
      <c r="EF30" s="81">
        <v>1985</v>
      </c>
      <c r="EG30" s="81">
        <v>1811</v>
      </c>
      <c r="EH30" s="81">
        <v>1874</v>
      </c>
      <c r="EI30" s="81">
        <v>1889</v>
      </c>
      <c r="EJ30" s="81">
        <v>1812</v>
      </c>
      <c r="EK30" s="81">
        <v>1882</v>
      </c>
      <c r="EL30" s="81">
        <v>1848</v>
      </c>
      <c r="EM30" s="81">
        <v>1869</v>
      </c>
      <c r="EN30" s="81">
        <v>1919</v>
      </c>
      <c r="EO30" s="81">
        <v>1743</v>
      </c>
      <c r="EP30" s="81">
        <v>1670</v>
      </c>
      <c r="EQ30" s="81">
        <v>1707</v>
      </c>
      <c r="ER30" s="81">
        <v>1735</v>
      </c>
      <c r="ES30" s="81">
        <v>1752</v>
      </c>
      <c r="ET30" s="81">
        <v>1716</v>
      </c>
      <c r="EU30" s="81">
        <v>1813</v>
      </c>
      <c r="EV30" s="81">
        <v>1785</v>
      </c>
      <c r="EW30" s="81">
        <v>1936</v>
      </c>
      <c r="EX30" s="81">
        <v>1881</v>
      </c>
      <c r="EY30" s="81">
        <v>1902</v>
      </c>
      <c r="EZ30" s="81">
        <v>1908</v>
      </c>
      <c r="FA30" s="81">
        <v>1953</v>
      </c>
      <c r="FB30" s="81">
        <v>1955</v>
      </c>
      <c r="FC30" s="81">
        <v>1927</v>
      </c>
      <c r="FD30" s="81">
        <v>1872</v>
      </c>
      <c r="FE30" s="81">
        <v>1824</v>
      </c>
      <c r="FF30" s="81">
        <v>1794</v>
      </c>
      <c r="FG30" s="81">
        <v>1791</v>
      </c>
      <c r="FH30" s="81">
        <v>1609</v>
      </c>
      <c r="FI30" s="81">
        <v>1509</v>
      </c>
      <c r="FJ30" s="81">
        <v>1530</v>
      </c>
      <c r="FK30" s="81">
        <v>1499</v>
      </c>
      <c r="FL30" s="81">
        <v>1361</v>
      </c>
      <c r="FM30" s="81">
        <v>1295</v>
      </c>
      <c r="FN30" s="81">
        <v>1340</v>
      </c>
      <c r="FO30" s="81">
        <v>1249</v>
      </c>
      <c r="FP30" s="81">
        <v>1244</v>
      </c>
      <c r="FQ30" s="81">
        <v>1265</v>
      </c>
      <c r="FR30" s="81">
        <v>1234</v>
      </c>
      <c r="FS30" s="81">
        <v>1297</v>
      </c>
      <c r="FT30" s="81">
        <v>1449</v>
      </c>
      <c r="FU30" s="81">
        <v>1650</v>
      </c>
      <c r="FV30" s="81">
        <v>1203</v>
      </c>
      <c r="FW30" s="81">
        <v>1143</v>
      </c>
      <c r="FX30" s="81">
        <v>1084</v>
      </c>
      <c r="FY30" s="81">
        <v>1056</v>
      </c>
      <c r="FZ30" s="81">
        <v>879</v>
      </c>
      <c r="GA30" s="81">
        <v>754</v>
      </c>
      <c r="GB30" s="81">
        <v>851</v>
      </c>
      <c r="GC30" s="81">
        <v>861</v>
      </c>
      <c r="GD30" s="81">
        <v>805</v>
      </c>
      <c r="GE30" s="81">
        <v>798</v>
      </c>
      <c r="GF30" s="81">
        <v>697</v>
      </c>
      <c r="GG30" s="81">
        <v>642</v>
      </c>
      <c r="GH30" s="81">
        <v>638</v>
      </c>
      <c r="GI30" s="81">
        <v>536</v>
      </c>
      <c r="GJ30" s="81">
        <v>472</v>
      </c>
      <c r="GK30" s="81">
        <v>432</v>
      </c>
      <c r="GL30" s="82">
        <v>1747</v>
      </c>
    </row>
    <row r="31" spans="1:194" s="1" customFormat="1" x14ac:dyDescent="0.2">
      <c r="A31" s="83" t="s">
        <v>220</v>
      </c>
      <c r="B31" s="262" t="s">
        <v>241</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0">
        <v>586</v>
      </c>
      <c r="N31" s="80">
        <v>568</v>
      </c>
      <c r="O31" s="80">
        <v>607</v>
      </c>
      <c r="P31" s="80">
        <v>718</v>
      </c>
      <c r="Q31" s="80">
        <v>690</v>
      </c>
      <c r="R31" s="80">
        <v>689</v>
      </c>
      <c r="S31" s="80">
        <v>716</v>
      </c>
      <c r="T31" s="80">
        <v>712</v>
      </c>
      <c r="U31" s="80">
        <v>716</v>
      </c>
      <c r="V31" s="80">
        <v>751</v>
      </c>
      <c r="W31" s="80">
        <v>667</v>
      </c>
      <c r="X31" s="80">
        <v>668</v>
      </c>
      <c r="Y31" s="80">
        <v>690</v>
      </c>
      <c r="Z31" s="80">
        <v>663</v>
      </c>
      <c r="AA31" s="80">
        <v>687</v>
      </c>
      <c r="AB31" s="80">
        <v>687</v>
      </c>
      <c r="AC31" s="80">
        <v>682</v>
      </c>
      <c r="AD31" s="80">
        <v>610</v>
      </c>
      <c r="AE31" s="80">
        <v>550</v>
      </c>
      <c r="AF31" s="80">
        <v>515</v>
      </c>
      <c r="AG31" s="80">
        <v>548</v>
      </c>
      <c r="AH31" s="80">
        <v>570</v>
      </c>
      <c r="AI31" s="80">
        <v>624</v>
      </c>
      <c r="AJ31" s="80">
        <v>640</v>
      </c>
      <c r="AK31" s="80">
        <v>628</v>
      </c>
      <c r="AL31" s="80">
        <v>719</v>
      </c>
      <c r="AM31" s="80">
        <v>710</v>
      </c>
      <c r="AN31" s="80">
        <v>650</v>
      </c>
      <c r="AO31" s="80">
        <v>711</v>
      </c>
      <c r="AP31" s="80">
        <v>713</v>
      </c>
      <c r="AQ31" s="80">
        <v>631</v>
      </c>
      <c r="AR31" s="80">
        <v>644</v>
      </c>
      <c r="AS31" s="80">
        <v>630</v>
      </c>
      <c r="AT31" s="80">
        <v>600</v>
      </c>
      <c r="AU31" s="80">
        <v>677</v>
      </c>
      <c r="AV31" s="80">
        <v>632</v>
      </c>
      <c r="AW31" s="80">
        <v>614</v>
      </c>
      <c r="AX31" s="80">
        <v>662</v>
      </c>
      <c r="AY31" s="80">
        <v>684</v>
      </c>
      <c r="AZ31" s="80">
        <v>662</v>
      </c>
      <c r="BA31" s="80">
        <v>689</v>
      </c>
      <c r="BB31" s="80">
        <v>613</v>
      </c>
      <c r="BC31" s="80">
        <v>642</v>
      </c>
      <c r="BD31" s="80">
        <v>612</v>
      </c>
      <c r="BE31" s="80">
        <v>643</v>
      </c>
      <c r="BF31" s="80">
        <v>724</v>
      </c>
      <c r="BG31" s="80">
        <v>707</v>
      </c>
      <c r="BH31" s="80">
        <v>730</v>
      </c>
      <c r="BI31" s="80">
        <v>766</v>
      </c>
      <c r="BJ31" s="80">
        <v>887</v>
      </c>
      <c r="BK31" s="80">
        <v>835</v>
      </c>
      <c r="BL31" s="80">
        <v>841</v>
      </c>
      <c r="BM31" s="80">
        <v>936</v>
      </c>
      <c r="BN31" s="80">
        <v>910</v>
      </c>
      <c r="BO31" s="80">
        <v>926</v>
      </c>
      <c r="BP31" s="80">
        <v>926</v>
      </c>
      <c r="BQ31" s="80">
        <v>958</v>
      </c>
      <c r="BR31" s="80">
        <v>923</v>
      </c>
      <c r="BS31" s="80">
        <v>900</v>
      </c>
      <c r="BT31" s="80">
        <v>889</v>
      </c>
      <c r="BU31" s="80">
        <v>808</v>
      </c>
      <c r="BV31" s="80">
        <v>791</v>
      </c>
      <c r="BW31" s="80">
        <v>794</v>
      </c>
      <c r="BX31" s="80">
        <v>776</v>
      </c>
      <c r="BY31" s="80">
        <v>722</v>
      </c>
      <c r="BZ31" s="80">
        <v>757</v>
      </c>
      <c r="CA31" s="80">
        <v>719</v>
      </c>
      <c r="CB31" s="80">
        <v>710</v>
      </c>
      <c r="CC31" s="80">
        <v>666</v>
      </c>
      <c r="CD31" s="80">
        <v>680</v>
      </c>
      <c r="CE31" s="80">
        <v>652</v>
      </c>
      <c r="CF31" s="80">
        <v>724</v>
      </c>
      <c r="CG31" s="80">
        <v>772</v>
      </c>
      <c r="CH31" s="80">
        <v>796</v>
      </c>
      <c r="CI31" s="80">
        <v>597</v>
      </c>
      <c r="CJ31" s="80">
        <v>618</v>
      </c>
      <c r="CK31" s="80">
        <v>589</v>
      </c>
      <c r="CL31" s="80">
        <v>519</v>
      </c>
      <c r="CM31" s="80">
        <v>448</v>
      </c>
      <c r="CN31" s="80">
        <v>388</v>
      </c>
      <c r="CO31" s="80">
        <v>373</v>
      </c>
      <c r="CP31" s="80">
        <v>351</v>
      </c>
      <c r="CQ31" s="80">
        <v>321</v>
      </c>
      <c r="CR31" s="80">
        <v>296</v>
      </c>
      <c r="CS31" s="80">
        <v>228</v>
      </c>
      <c r="CT31" s="80">
        <v>237</v>
      </c>
      <c r="CU31" s="80">
        <v>203</v>
      </c>
      <c r="CV31" s="80">
        <v>134</v>
      </c>
      <c r="CW31" s="80">
        <v>168</v>
      </c>
      <c r="CX31" s="80">
        <v>125</v>
      </c>
      <c r="CY31" s="80">
        <v>392</v>
      </c>
      <c r="CZ31" s="81">
        <v>525</v>
      </c>
      <c r="DA31" s="81">
        <v>593</v>
      </c>
      <c r="DB31" s="81">
        <v>597</v>
      </c>
      <c r="DC31" s="81">
        <v>667</v>
      </c>
      <c r="DD31" s="81">
        <v>658</v>
      </c>
      <c r="DE31" s="81">
        <v>670</v>
      </c>
      <c r="DF31" s="81">
        <v>658</v>
      </c>
      <c r="DG31" s="81">
        <v>647</v>
      </c>
      <c r="DH31" s="81">
        <v>760</v>
      </c>
      <c r="DI31" s="81">
        <v>715</v>
      </c>
      <c r="DJ31" s="81">
        <v>704</v>
      </c>
      <c r="DK31" s="81">
        <v>673</v>
      </c>
      <c r="DL31" s="81">
        <v>667</v>
      </c>
      <c r="DM31" s="81">
        <v>661</v>
      </c>
      <c r="DN31" s="81">
        <v>643</v>
      </c>
      <c r="DO31" s="81">
        <v>601</v>
      </c>
      <c r="DP31" s="81">
        <v>637</v>
      </c>
      <c r="DQ31" s="81">
        <v>645</v>
      </c>
      <c r="DR31" s="81">
        <v>591</v>
      </c>
      <c r="DS31" s="81">
        <v>418</v>
      </c>
      <c r="DT31" s="81">
        <v>434</v>
      </c>
      <c r="DU31" s="81">
        <v>486</v>
      </c>
      <c r="DV31" s="81">
        <v>556</v>
      </c>
      <c r="DW31" s="81">
        <v>587</v>
      </c>
      <c r="DX31" s="81">
        <v>621</v>
      </c>
      <c r="DY31" s="81">
        <v>651</v>
      </c>
      <c r="DZ31" s="81">
        <v>653</v>
      </c>
      <c r="EA31" s="81">
        <v>632</v>
      </c>
      <c r="EB31" s="81">
        <v>647</v>
      </c>
      <c r="EC31" s="81">
        <v>666</v>
      </c>
      <c r="ED31" s="81">
        <v>646</v>
      </c>
      <c r="EE31" s="81">
        <v>680</v>
      </c>
      <c r="EF31" s="81">
        <v>652</v>
      </c>
      <c r="EG31" s="81">
        <v>699</v>
      </c>
      <c r="EH31" s="81">
        <v>637</v>
      </c>
      <c r="EI31" s="81">
        <v>685</v>
      </c>
      <c r="EJ31" s="81">
        <v>681</v>
      </c>
      <c r="EK31" s="81">
        <v>675</v>
      </c>
      <c r="EL31" s="81">
        <v>648</v>
      </c>
      <c r="EM31" s="81">
        <v>701</v>
      </c>
      <c r="EN31" s="81">
        <v>699</v>
      </c>
      <c r="EO31" s="81">
        <v>645</v>
      </c>
      <c r="EP31" s="81">
        <v>644</v>
      </c>
      <c r="EQ31" s="81">
        <v>680</v>
      </c>
      <c r="ER31" s="81">
        <v>662</v>
      </c>
      <c r="ES31" s="81">
        <v>681</v>
      </c>
      <c r="ET31" s="81">
        <v>729</v>
      </c>
      <c r="EU31" s="81">
        <v>812</v>
      </c>
      <c r="EV31" s="81">
        <v>866</v>
      </c>
      <c r="EW31" s="81">
        <v>925</v>
      </c>
      <c r="EX31" s="81">
        <v>842</v>
      </c>
      <c r="EY31" s="81">
        <v>912</v>
      </c>
      <c r="EZ31" s="81">
        <v>926</v>
      </c>
      <c r="FA31" s="81">
        <v>944</v>
      </c>
      <c r="FB31" s="81">
        <v>955</v>
      </c>
      <c r="FC31" s="81">
        <v>964</v>
      </c>
      <c r="FD31" s="81">
        <v>954</v>
      </c>
      <c r="FE31" s="81">
        <v>895</v>
      </c>
      <c r="FF31" s="81">
        <v>897</v>
      </c>
      <c r="FG31" s="81">
        <v>858</v>
      </c>
      <c r="FH31" s="81">
        <v>845</v>
      </c>
      <c r="FI31" s="81">
        <v>853</v>
      </c>
      <c r="FJ31" s="81">
        <v>772</v>
      </c>
      <c r="FK31" s="81">
        <v>779</v>
      </c>
      <c r="FL31" s="81">
        <v>689</v>
      </c>
      <c r="FM31" s="81">
        <v>701</v>
      </c>
      <c r="FN31" s="81">
        <v>742</v>
      </c>
      <c r="FO31" s="81">
        <v>731</v>
      </c>
      <c r="FP31" s="81">
        <v>681</v>
      </c>
      <c r="FQ31" s="81">
        <v>666</v>
      </c>
      <c r="FR31" s="81">
        <v>780</v>
      </c>
      <c r="FS31" s="81">
        <v>750</v>
      </c>
      <c r="FT31" s="81">
        <v>828</v>
      </c>
      <c r="FU31" s="81">
        <v>814</v>
      </c>
      <c r="FV31" s="81">
        <v>650</v>
      </c>
      <c r="FW31" s="81">
        <v>605</v>
      </c>
      <c r="FX31" s="81">
        <v>601</v>
      </c>
      <c r="FY31" s="81">
        <v>580</v>
      </c>
      <c r="FZ31" s="81">
        <v>481</v>
      </c>
      <c r="GA31" s="81">
        <v>451</v>
      </c>
      <c r="GB31" s="81">
        <v>421</v>
      </c>
      <c r="GC31" s="81">
        <v>432</v>
      </c>
      <c r="GD31" s="81">
        <v>381</v>
      </c>
      <c r="GE31" s="81">
        <v>357</v>
      </c>
      <c r="GF31" s="81">
        <v>327</v>
      </c>
      <c r="GG31" s="81">
        <v>300</v>
      </c>
      <c r="GH31" s="81">
        <v>292</v>
      </c>
      <c r="GI31" s="81">
        <v>216</v>
      </c>
      <c r="GJ31" s="81">
        <v>220</v>
      </c>
      <c r="GK31" s="81">
        <v>196</v>
      </c>
      <c r="GL31" s="82">
        <v>750</v>
      </c>
    </row>
    <row r="32" spans="1:194" s="1" customFormat="1" x14ac:dyDescent="0.2">
      <c r="A32" s="83" t="s">
        <v>220</v>
      </c>
      <c r="B32" s="262" t="s">
        <v>242</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0">
        <v>4591</v>
      </c>
      <c r="N32" s="80">
        <v>4836</v>
      </c>
      <c r="O32" s="80">
        <v>5201</v>
      </c>
      <c r="P32" s="80">
        <v>5213</v>
      </c>
      <c r="Q32" s="80">
        <v>5686</v>
      </c>
      <c r="R32" s="80">
        <v>5652</v>
      </c>
      <c r="S32" s="80">
        <v>5726</v>
      </c>
      <c r="T32" s="80">
        <v>5838</v>
      </c>
      <c r="U32" s="80">
        <v>6219</v>
      </c>
      <c r="V32" s="80">
        <v>6077</v>
      </c>
      <c r="W32" s="80">
        <v>5989</v>
      </c>
      <c r="X32" s="80">
        <v>5868</v>
      </c>
      <c r="Y32" s="80">
        <v>5855</v>
      </c>
      <c r="Z32" s="80">
        <v>5684</v>
      </c>
      <c r="AA32" s="80">
        <v>5723</v>
      </c>
      <c r="AB32" s="80">
        <v>5358</v>
      </c>
      <c r="AC32" s="80">
        <v>5269</v>
      </c>
      <c r="AD32" s="80">
        <v>5287</v>
      </c>
      <c r="AE32" s="80">
        <v>5357</v>
      </c>
      <c r="AF32" s="80">
        <v>5948</v>
      </c>
      <c r="AG32" s="80">
        <v>5623</v>
      </c>
      <c r="AH32" s="80">
        <v>5573</v>
      </c>
      <c r="AI32" s="80">
        <v>5880</v>
      </c>
      <c r="AJ32" s="80">
        <v>6056</v>
      </c>
      <c r="AK32" s="80">
        <v>5676</v>
      </c>
      <c r="AL32" s="80">
        <v>5373</v>
      </c>
      <c r="AM32" s="80">
        <v>5704</v>
      </c>
      <c r="AN32" s="80">
        <v>5542</v>
      </c>
      <c r="AO32" s="80">
        <v>5766</v>
      </c>
      <c r="AP32" s="80">
        <v>5867</v>
      </c>
      <c r="AQ32" s="80">
        <v>5655</v>
      </c>
      <c r="AR32" s="80">
        <v>5999</v>
      </c>
      <c r="AS32" s="80">
        <v>5793</v>
      </c>
      <c r="AT32" s="80">
        <v>5474</v>
      </c>
      <c r="AU32" s="80">
        <v>5638</v>
      </c>
      <c r="AV32" s="80">
        <v>5724</v>
      </c>
      <c r="AW32" s="80">
        <v>5483</v>
      </c>
      <c r="AX32" s="80">
        <v>5754</v>
      </c>
      <c r="AY32" s="80">
        <v>5484</v>
      </c>
      <c r="AZ32" s="80">
        <v>5495</v>
      </c>
      <c r="BA32" s="80">
        <v>5842</v>
      </c>
      <c r="BB32" s="80">
        <v>5780</v>
      </c>
      <c r="BC32" s="80">
        <v>5272</v>
      </c>
      <c r="BD32" s="80">
        <v>5133</v>
      </c>
      <c r="BE32" s="80">
        <v>5259</v>
      </c>
      <c r="BF32" s="80">
        <v>5599</v>
      </c>
      <c r="BG32" s="80">
        <v>5809</v>
      </c>
      <c r="BH32" s="80">
        <v>6515</v>
      </c>
      <c r="BI32" s="80">
        <v>6506</v>
      </c>
      <c r="BJ32" s="80">
        <v>6572</v>
      </c>
      <c r="BK32" s="80">
        <v>6545</v>
      </c>
      <c r="BL32" s="80">
        <v>6683</v>
      </c>
      <c r="BM32" s="80">
        <v>6655</v>
      </c>
      <c r="BN32" s="80">
        <v>6895</v>
      </c>
      <c r="BO32" s="80">
        <v>6636</v>
      </c>
      <c r="BP32" s="80">
        <v>6780</v>
      </c>
      <c r="BQ32" s="80">
        <v>6706</v>
      </c>
      <c r="BR32" s="80">
        <v>6556</v>
      </c>
      <c r="BS32" s="80">
        <v>6403</v>
      </c>
      <c r="BT32" s="80">
        <v>6114</v>
      </c>
      <c r="BU32" s="80">
        <v>5987</v>
      </c>
      <c r="BV32" s="80">
        <v>5710</v>
      </c>
      <c r="BW32" s="80">
        <v>5416</v>
      </c>
      <c r="BX32" s="80">
        <v>5260</v>
      </c>
      <c r="BY32" s="80">
        <v>4931</v>
      </c>
      <c r="BZ32" s="80">
        <v>4790</v>
      </c>
      <c r="CA32" s="80">
        <v>4922</v>
      </c>
      <c r="CB32" s="80">
        <v>4739</v>
      </c>
      <c r="CC32" s="80">
        <v>4612</v>
      </c>
      <c r="CD32" s="80">
        <v>4526</v>
      </c>
      <c r="CE32" s="80">
        <v>4561</v>
      </c>
      <c r="CF32" s="80">
        <v>4667</v>
      </c>
      <c r="CG32" s="80">
        <v>5014</v>
      </c>
      <c r="CH32" s="80">
        <v>5390</v>
      </c>
      <c r="CI32" s="80">
        <v>4109</v>
      </c>
      <c r="CJ32" s="80">
        <v>3957</v>
      </c>
      <c r="CK32" s="80">
        <v>3731</v>
      </c>
      <c r="CL32" s="80">
        <v>3389</v>
      </c>
      <c r="CM32" s="80">
        <v>3062</v>
      </c>
      <c r="CN32" s="80">
        <v>2609</v>
      </c>
      <c r="CO32" s="80">
        <v>2588</v>
      </c>
      <c r="CP32" s="80">
        <v>2490</v>
      </c>
      <c r="CQ32" s="80">
        <v>2283</v>
      </c>
      <c r="CR32" s="80">
        <v>2088</v>
      </c>
      <c r="CS32" s="80">
        <v>1933</v>
      </c>
      <c r="CT32" s="80">
        <v>1681</v>
      </c>
      <c r="CU32" s="80">
        <v>1465</v>
      </c>
      <c r="CV32" s="80">
        <v>1327</v>
      </c>
      <c r="CW32" s="80">
        <v>1089</v>
      </c>
      <c r="CX32" s="80">
        <v>1021</v>
      </c>
      <c r="CY32" s="80">
        <v>3039</v>
      </c>
      <c r="CZ32" s="81">
        <v>4479</v>
      </c>
      <c r="DA32" s="81">
        <v>4565</v>
      </c>
      <c r="DB32" s="81">
        <v>4875</v>
      </c>
      <c r="DC32" s="81">
        <v>5112</v>
      </c>
      <c r="DD32" s="81">
        <v>5280</v>
      </c>
      <c r="DE32" s="81">
        <v>5256</v>
      </c>
      <c r="DF32" s="81">
        <v>5481</v>
      </c>
      <c r="DG32" s="81">
        <v>5596</v>
      </c>
      <c r="DH32" s="81">
        <v>5671</v>
      </c>
      <c r="DI32" s="81">
        <v>5765</v>
      </c>
      <c r="DJ32" s="81">
        <v>5714</v>
      </c>
      <c r="DK32" s="81">
        <v>5608</v>
      </c>
      <c r="DL32" s="81">
        <v>5710</v>
      </c>
      <c r="DM32" s="81">
        <v>5571</v>
      </c>
      <c r="DN32" s="81">
        <v>5411</v>
      </c>
      <c r="DO32" s="81">
        <v>5064</v>
      </c>
      <c r="DP32" s="81">
        <v>5133</v>
      </c>
      <c r="DQ32" s="81">
        <v>4979</v>
      </c>
      <c r="DR32" s="81">
        <v>4987</v>
      </c>
      <c r="DS32" s="81">
        <v>5410</v>
      </c>
      <c r="DT32" s="81">
        <v>4936</v>
      </c>
      <c r="DU32" s="81">
        <v>5084</v>
      </c>
      <c r="DV32" s="81">
        <v>5222</v>
      </c>
      <c r="DW32" s="81">
        <v>5366</v>
      </c>
      <c r="DX32" s="81">
        <v>4896</v>
      </c>
      <c r="DY32" s="81">
        <v>5002</v>
      </c>
      <c r="DZ32" s="81">
        <v>5359</v>
      </c>
      <c r="EA32" s="81">
        <v>5257</v>
      </c>
      <c r="EB32" s="81">
        <v>5250</v>
      </c>
      <c r="EC32" s="81">
        <v>5322</v>
      </c>
      <c r="ED32" s="81">
        <v>5193</v>
      </c>
      <c r="EE32" s="81">
        <v>5534</v>
      </c>
      <c r="EF32" s="81">
        <v>5646</v>
      </c>
      <c r="EG32" s="81">
        <v>5796</v>
      </c>
      <c r="EH32" s="81">
        <v>5374</v>
      </c>
      <c r="EI32" s="81">
        <v>5596</v>
      </c>
      <c r="EJ32" s="81">
        <v>5764</v>
      </c>
      <c r="EK32" s="81">
        <v>5718</v>
      </c>
      <c r="EL32" s="81">
        <v>5786</v>
      </c>
      <c r="EM32" s="81">
        <v>5801</v>
      </c>
      <c r="EN32" s="81">
        <v>5970</v>
      </c>
      <c r="EO32" s="81">
        <v>5476</v>
      </c>
      <c r="EP32" s="81">
        <v>5266</v>
      </c>
      <c r="EQ32" s="81">
        <v>5316</v>
      </c>
      <c r="ER32" s="81">
        <v>5679</v>
      </c>
      <c r="ES32" s="81">
        <v>5711</v>
      </c>
      <c r="ET32" s="81">
        <v>6116</v>
      </c>
      <c r="EU32" s="81">
        <v>6459</v>
      </c>
      <c r="EV32" s="81">
        <v>6862</v>
      </c>
      <c r="EW32" s="81">
        <v>6725</v>
      </c>
      <c r="EX32" s="81">
        <v>6681</v>
      </c>
      <c r="EY32" s="81">
        <v>6736</v>
      </c>
      <c r="EZ32" s="81">
        <v>6601</v>
      </c>
      <c r="FA32" s="81">
        <v>6996</v>
      </c>
      <c r="FB32" s="81">
        <v>6935</v>
      </c>
      <c r="FC32" s="81">
        <v>6827</v>
      </c>
      <c r="FD32" s="81">
        <v>6852</v>
      </c>
      <c r="FE32" s="81">
        <v>6612</v>
      </c>
      <c r="FF32" s="81">
        <v>6490</v>
      </c>
      <c r="FG32" s="81">
        <v>6258</v>
      </c>
      <c r="FH32" s="81">
        <v>5928</v>
      </c>
      <c r="FI32" s="81">
        <v>5805</v>
      </c>
      <c r="FJ32" s="81">
        <v>5630</v>
      </c>
      <c r="FK32" s="81">
        <v>5388</v>
      </c>
      <c r="FL32" s="81">
        <v>5257</v>
      </c>
      <c r="FM32" s="81">
        <v>5110</v>
      </c>
      <c r="FN32" s="81">
        <v>5135</v>
      </c>
      <c r="FO32" s="81">
        <v>5165</v>
      </c>
      <c r="FP32" s="81">
        <v>4915</v>
      </c>
      <c r="FQ32" s="81">
        <v>4880</v>
      </c>
      <c r="FR32" s="81">
        <v>5009</v>
      </c>
      <c r="FS32" s="81">
        <v>5118</v>
      </c>
      <c r="FT32" s="81">
        <v>5491</v>
      </c>
      <c r="FU32" s="81">
        <v>5699</v>
      </c>
      <c r="FV32" s="81">
        <v>4422</v>
      </c>
      <c r="FW32" s="81">
        <v>4484</v>
      </c>
      <c r="FX32" s="81">
        <v>4374</v>
      </c>
      <c r="FY32" s="81">
        <v>3919</v>
      </c>
      <c r="FZ32" s="81">
        <v>3492</v>
      </c>
      <c r="GA32" s="81">
        <v>3074</v>
      </c>
      <c r="GB32" s="81">
        <v>3141</v>
      </c>
      <c r="GC32" s="81">
        <v>2980</v>
      </c>
      <c r="GD32" s="81">
        <v>2862</v>
      </c>
      <c r="GE32" s="81">
        <v>2639</v>
      </c>
      <c r="GF32" s="81">
        <v>2457</v>
      </c>
      <c r="GG32" s="81">
        <v>2293</v>
      </c>
      <c r="GH32" s="81">
        <v>1990</v>
      </c>
      <c r="GI32" s="81">
        <v>1869</v>
      </c>
      <c r="GJ32" s="81">
        <v>1684</v>
      </c>
      <c r="GK32" s="81">
        <v>1609</v>
      </c>
      <c r="GL32" s="82">
        <v>6426</v>
      </c>
    </row>
    <row r="33" spans="1:194" s="1" customFormat="1" x14ac:dyDescent="0.2">
      <c r="A33" s="83" t="s">
        <v>220</v>
      </c>
      <c r="B33" s="262" t="s">
        <v>243</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0">
        <v>6101</v>
      </c>
      <c r="N33" s="80">
        <v>6538</v>
      </c>
      <c r="O33" s="80">
        <v>6651</v>
      </c>
      <c r="P33" s="80">
        <v>6928</v>
      </c>
      <c r="Q33" s="80">
        <v>7021</v>
      </c>
      <c r="R33" s="80">
        <v>7079</v>
      </c>
      <c r="S33" s="80">
        <v>7130</v>
      </c>
      <c r="T33" s="80">
        <v>7261</v>
      </c>
      <c r="U33" s="80">
        <v>7359</v>
      </c>
      <c r="V33" s="80">
        <v>7239</v>
      </c>
      <c r="W33" s="80">
        <v>6822</v>
      </c>
      <c r="X33" s="80">
        <v>6764</v>
      </c>
      <c r="Y33" s="80">
        <v>6941</v>
      </c>
      <c r="Z33" s="80">
        <v>6609</v>
      </c>
      <c r="AA33" s="80">
        <v>6408</v>
      </c>
      <c r="AB33" s="80">
        <v>5934</v>
      </c>
      <c r="AC33" s="80">
        <v>5862</v>
      </c>
      <c r="AD33" s="80">
        <v>5828</v>
      </c>
      <c r="AE33" s="80">
        <v>5546</v>
      </c>
      <c r="AF33" s="80">
        <v>4313</v>
      </c>
      <c r="AG33" s="80">
        <v>4274</v>
      </c>
      <c r="AH33" s="80">
        <v>4469</v>
      </c>
      <c r="AI33" s="80">
        <v>4968</v>
      </c>
      <c r="AJ33" s="80">
        <v>5375</v>
      </c>
      <c r="AK33" s="80">
        <v>5618</v>
      </c>
      <c r="AL33" s="80">
        <v>5667</v>
      </c>
      <c r="AM33" s="80">
        <v>5850</v>
      </c>
      <c r="AN33" s="80">
        <v>5797</v>
      </c>
      <c r="AO33" s="80">
        <v>5731</v>
      </c>
      <c r="AP33" s="80">
        <v>6085</v>
      </c>
      <c r="AQ33" s="80">
        <v>6321</v>
      </c>
      <c r="AR33" s="80">
        <v>6391</v>
      </c>
      <c r="AS33" s="80">
        <v>6798</v>
      </c>
      <c r="AT33" s="80">
        <v>6673</v>
      </c>
      <c r="AU33" s="80">
        <v>7234</v>
      </c>
      <c r="AV33" s="80">
        <v>7146</v>
      </c>
      <c r="AW33" s="80">
        <v>7029</v>
      </c>
      <c r="AX33" s="80">
        <v>7062</v>
      </c>
      <c r="AY33" s="80">
        <v>7062</v>
      </c>
      <c r="AZ33" s="80">
        <v>7106</v>
      </c>
      <c r="BA33" s="80">
        <v>7197</v>
      </c>
      <c r="BB33" s="80">
        <v>7134</v>
      </c>
      <c r="BC33" s="80">
        <v>6612</v>
      </c>
      <c r="BD33" s="80">
        <v>6407</v>
      </c>
      <c r="BE33" s="80">
        <v>6391</v>
      </c>
      <c r="BF33" s="80">
        <v>6452</v>
      </c>
      <c r="BG33" s="80">
        <v>6463</v>
      </c>
      <c r="BH33" s="80">
        <v>6435</v>
      </c>
      <c r="BI33" s="80">
        <v>6571</v>
      </c>
      <c r="BJ33" s="80">
        <v>6417</v>
      </c>
      <c r="BK33" s="80">
        <v>6344</v>
      </c>
      <c r="BL33" s="80">
        <v>6470</v>
      </c>
      <c r="BM33" s="80">
        <v>6405</v>
      </c>
      <c r="BN33" s="80">
        <v>6616</v>
      </c>
      <c r="BO33" s="80">
        <v>6319</v>
      </c>
      <c r="BP33" s="80">
        <v>6428</v>
      </c>
      <c r="BQ33" s="80">
        <v>6353</v>
      </c>
      <c r="BR33" s="80">
        <v>6084</v>
      </c>
      <c r="BS33" s="80">
        <v>5843</v>
      </c>
      <c r="BT33" s="80">
        <v>5664</v>
      </c>
      <c r="BU33" s="80">
        <v>5417</v>
      </c>
      <c r="BV33" s="80">
        <v>5322</v>
      </c>
      <c r="BW33" s="80">
        <v>5010</v>
      </c>
      <c r="BX33" s="80">
        <v>4887</v>
      </c>
      <c r="BY33" s="80">
        <v>4639</v>
      </c>
      <c r="BZ33" s="80">
        <v>4301</v>
      </c>
      <c r="CA33" s="80">
        <v>4218</v>
      </c>
      <c r="CB33" s="80">
        <v>4140</v>
      </c>
      <c r="CC33" s="80">
        <v>3930</v>
      </c>
      <c r="CD33" s="80">
        <v>3914</v>
      </c>
      <c r="CE33" s="80">
        <v>3897</v>
      </c>
      <c r="CF33" s="80">
        <v>3917</v>
      </c>
      <c r="CG33" s="80">
        <v>4090</v>
      </c>
      <c r="CH33" s="80">
        <v>4308</v>
      </c>
      <c r="CI33" s="80">
        <v>3259</v>
      </c>
      <c r="CJ33" s="80">
        <v>2926</v>
      </c>
      <c r="CK33" s="80">
        <v>3116</v>
      </c>
      <c r="CL33" s="80">
        <v>2691</v>
      </c>
      <c r="CM33" s="80">
        <v>2284</v>
      </c>
      <c r="CN33" s="80">
        <v>2044</v>
      </c>
      <c r="CO33" s="80">
        <v>1956</v>
      </c>
      <c r="CP33" s="80">
        <v>2006</v>
      </c>
      <c r="CQ33" s="80">
        <v>1879</v>
      </c>
      <c r="CR33" s="80">
        <v>1722</v>
      </c>
      <c r="CS33" s="80">
        <v>1525</v>
      </c>
      <c r="CT33" s="80">
        <v>1319</v>
      </c>
      <c r="CU33" s="80">
        <v>1145</v>
      </c>
      <c r="CV33" s="80">
        <v>974</v>
      </c>
      <c r="CW33" s="80">
        <v>829</v>
      </c>
      <c r="CX33" s="80">
        <v>754</v>
      </c>
      <c r="CY33" s="80">
        <v>2410</v>
      </c>
      <c r="CZ33" s="81">
        <v>5917</v>
      </c>
      <c r="DA33" s="81">
        <v>6128</v>
      </c>
      <c r="DB33" s="81">
        <v>6377</v>
      </c>
      <c r="DC33" s="81">
        <v>6562</v>
      </c>
      <c r="DD33" s="81">
        <v>6842</v>
      </c>
      <c r="DE33" s="81">
        <v>6771</v>
      </c>
      <c r="DF33" s="81">
        <v>6734</v>
      </c>
      <c r="DG33" s="81">
        <v>6830</v>
      </c>
      <c r="DH33" s="81">
        <v>6978</v>
      </c>
      <c r="DI33" s="81">
        <v>6865</v>
      </c>
      <c r="DJ33" s="81">
        <v>6731</v>
      </c>
      <c r="DK33" s="81">
        <v>6664</v>
      </c>
      <c r="DL33" s="81">
        <v>6433</v>
      </c>
      <c r="DM33" s="81">
        <v>6024</v>
      </c>
      <c r="DN33" s="81">
        <v>6054</v>
      </c>
      <c r="DO33" s="81">
        <v>5785</v>
      </c>
      <c r="DP33" s="81">
        <v>5591</v>
      </c>
      <c r="DQ33" s="81">
        <v>5405</v>
      </c>
      <c r="DR33" s="81">
        <v>4964</v>
      </c>
      <c r="DS33" s="81">
        <v>3882</v>
      </c>
      <c r="DT33" s="81">
        <v>3658</v>
      </c>
      <c r="DU33" s="81">
        <v>4040</v>
      </c>
      <c r="DV33" s="81">
        <v>4592</v>
      </c>
      <c r="DW33" s="81">
        <v>5028</v>
      </c>
      <c r="DX33" s="81">
        <v>5339</v>
      </c>
      <c r="DY33" s="81">
        <v>5127</v>
      </c>
      <c r="DZ33" s="81">
        <v>5394</v>
      </c>
      <c r="EA33" s="81">
        <v>5562</v>
      </c>
      <c r="EB33" s="81">
        <v>5784</v>
      </c>
      <c r="EC33" s="81">
        <v>6143</v>
      </c>
      <c r="ED33" s="81">
        <v>6610</v>
      </c>
      <c r="EE33" s="81">
        <v>6526</v>
      </c>
      <c r="EF33" s="81">
        <v>7203</v>
      </c>
      <c r="EG33" s="81">
        <v>7024</v>
      </c>
      <c r="EH33" s="81">
        <v>7381</v>
      </c>
      <c r="EI33" s="81">
        <v>7443</v>
      </c>
      <c r="EJ33" s="81">
        <v>7293</v>
      </c>
      <c r="EK33" s="81">
        <v>7359</v>
      </c>
      <c r="EL33" s="81">
        <v>7456</v>
      </c>
      <c r="EM33" s="81">
        <v>7478</v>
      </c>
      <c r="EN33" s="81">
        <v>7362</v>
      </c>
      <c r="EO33" s="81">
        <v>7112</v>
      </c>
      <c r="EP33" s="81">
        <v>6466</v>
      </c>
      <c r="EQ33" s="81">
        <v>6516</v>
      </c>
      <c r="ER33" s="81">
        <v>6245</v>
      </c>
      <c r="ES33" s="81">
        <v>6445</v>
      </c>
      <c r="ET33" s="81">
        <v>6157</v>
      </c>
      <c r="EU33" s="81">
        <v>6462</v>
      </c>
      <c r="EV33" s="81">
        <v>6518</v>
      </c>
      <c r="EW33" s="81">
        <v>6520</v>
      </c>
      <c r="EX33" s="81">
        <v>6372</v>
      </c>
      <c r="EY33" s="81">
        <v>6519</v>
      </c>
      <c r="EZ33" s="81">
        <v>6555</v>
      </c>
      <c r="FA33" s="81">
        <v>6467</v>
      </c>
      <c r="FB33" s="81">
        <v>6661</v>
      </c>
      <c r="FC33" s="81">
        <v>6343</v>
      </c>
      <c r="FD33" s="81">
        <v>6449</v>
      </c>
      <c r="FE33" s="81">
        <v>6212</v>
      </c>
      <c r="FF33" s="81">
        <v>6109</v>
      </c>
      <c r="FG33" s="81">
        <v>5679</v>
      </c>
      <c r="FH33" s="81">
        <v>5430</v>
      </c>
      <c r="FI33" s="81">
        <v>5378</v>
      </c>
      <c r="FJ33" s="81">
        <v>5148</v>
      </c>
      <c r="FK33" s="81">
        <v>4869</v>
      </c>
      <c r="FL33" s="81">
        <v>4746</v>
      </c>
      <c r="FM33" s="81">
        <v>4616</v>
      </c>
      <c r="FN33" s="81">
        <v>4577</v>
      </c>
      <c r="FO33" s="81">
        <v>4402</v>
      </c>
      <c r="FP33" s="81">
        <v>4348</v>
      </c>
      <c r="FQ33" s="81">
        <v>4225</v>
      </c>
      <c r="FR33" s="81">
        <v>4291</v>
      </c>
      <c r="FS33" s="81">
        <v>4359</v>
      </c>
      <c r="FT33" s="81">
        <v>4382</v>
      </c>
      <c r="FU33" s="81">
        <v>4689</v>
      </c>
      <c r="FV33" s="81">
        <v>3561</v>
      </c>
      <c r="FW33" s="81">
        <v>3467</v>
      </c>
      <c r="FX33" s="81">
        <v>3372</v>
      </c>
      <c r="FY33" s="81">
        <v>3105</v>
      </c>
      <c r="FZ33" s="81">
        <v>2715</v>
      </c>
      <c r="GA33" s="81">
        <v>2308</v>
      </c>
      <c r="GB33" s="81">
        <v>2511</v>
      </c>
      <c r="GC33" s="81">
        <v>2374</v>
      </c>
      <c r="GD33" s="81">
        <v>2225</v>
      </c>
      <c r="GE33" s="81">
        <v>2155</v>
      </c>
      <c r="GF33" s="81">
        <v>2088</v>
      </c>
      <c r="GG33" s="81">
        <v>1874</v>
      </c>
      <c r="GH33" s="81">
        <v>1570</v>
      </c>
      <c r="GI33" s="81">
        <v>1425</v>
      </c>
      <c r="GJ33" s="81">
        <v>1310</v>
      </c>
      <c r="GK33" s="81">
        <v>1234</v>
      </c>
      <c r="GL33" s="82">
        <v>4774</v>
      </c>
    </row>
    <row r="34" spans="1:194" s="1" customFormat="1" x14ac:dyDescent="0.2">
      <c r="A34" s="83" t="s">
        <v>220</v>
      </c>
      <c r="B34" s="262" t="s">
        <v>244</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0">
        <v>2768</v>
      </c>
      <c r="N34" s="80">
        <v>2914</v>
      </c>
      <c r="O34" s="80">
        <v>2985</v>
      </c>
      <c r="P34" s="80">
        <v>3172</v>
      </c>
      <c r="Q34" s="80">
        <v>3383</v>
      </c>
      <c r="R34" s="80">
        <v>3235</v>
      </c>
      <c r="S34" s="80">
        <v>3197</v>
      </c>
      <c r="T34" s="80">
        <v>3567</v>
      </c>
      <c r="U34" s="80">
        <v>3598</v>
      </c>
      <c r="V34" s="80">
        <v>3521</v>
      </c>
      <c r="W34" s="80">
        <v>3569</v>
      </c>
      <c r="X34" s="80">
        <v>3541</v>
      </c>
      <c r="Y34" s="80">
        <v>3578</v>
      </c>
      <c r="Z34" s="80">
        <v>3267</v>
      </c>
      <c r="AA34" s="80">
        <v>3163</v>
      </c>
      <c r="AB34" s="80">
        <v>3099</v>
      </c>
      <c r="AC34" s="80">
        <v>3005</v>
      </c>
      <c r="AD34" s="80">
        <v>2923</v>
      </c>
      <c r="AE34" s="80">
        <v>2789</v>
      </c>
      <c r="AF34" s="80">
        <v>2838</v>
      </c>
      <c r="AG34" s="80">
        <v>2744</v>
      </c>
      <c r="AH34" s="80">
        <v>2865</v>
      </c>
      <c r="AI34" s="80">
        <v>2804</v>
      </c>
      <c r="AJ34" s="80">
        <v>2932</v>
      </c>
      <c r="AK34" s="80">
        <v>3029</v>
      </c>
      <c r="AL34" s="80">
        <v>3062</v>
      </c>
      <c r="AM34" s="80">
        <v>2981</v>
      </c>
      <c r="AN34" s="80">
        <v>3037</v>
      </c>
      <c r="AO34" s="80">
        <v>3167</v>
      </c>
      <c r="AP34" s="80">
        <v>2967</v>
      </c>
      <c r="AQ34" s="80">
        <v>3156</v>
      </c>
      <c r="AR34" s="80">
        <v>2925</v>
      </c>
      <c r="AS34" s="80">
        <v>3029</v>
      </c>
      <c r="AT34" s="80">
        <v>2965</v>
      </c>
      <c r="AU34" s="80">
        <v>3081</v>
      </c>
      <c r="AV34" s="80">
        <v>3189</v>
      </c>
      <c r="AW34" s="80">
        <v>3121</v>
      </c>
      <c r="AX34" s="80">
        <v>3274</v>
      </c>
      <c r="AY34" s="80">
        <v>3387</v>
      </c>
      <c r="AZ34" s="80">
        <v>3432</v>
      </c>
      <c r="BA34" s="80">
        <v>3584</v>
      </c>
      <c r="BB34" s="80">
        <v>3499</v>
      </c>
      <c r="BC34" s="80">
        <v>3415</v>
      </c>
      <c r="BD34" s="80">
        <v>3452</v>
      </c>
      <c r="BE34" s="80">
        <v>3307</v>
      </c>
      <c r="BF34" s="80">
        <v>3428</v>
      </c>
      <c r="BG34" s="80">
        <v>3394</v>
      </c>
      <c r="BH34" s="80">
        <v>3510</v>
      </c>
      <c r="BI34" s="80">
        <v>3722</v>
      </c>
      <c r="BJ34" s="80">
        <v>3633</v>
      </c>
      <c r="BK34" s="80">
        <v>3545</v>
      </c>
      <c r="BL34" s="80">
        <v>3677</v>
      </c>
      <c r="BM34" s="80">
        <v>3347</v>
      </c>
      <c r="BN34" s="80">
        <v>3541</v>
      </c>
      <c r="BO34" s="80">
        <v>3556</v>
      </c>
      <c r="BP34" s="80">
        <v>3471</v>
      </c>
      <c r="BQ34" s="80">
        <v>3431</v>
      </c>
      <c r="BR34" s="80">
        <v>3322</v>
      </c>
      <c r="BS34" s="80">
        <v>3171</v>
      </c>
      <c r="BT34" s="80">
        <v>2976</v>
      </c>
      <c r="BU34" s="80">
        <v>2995</v>
      </c>
      <c r="BV34" s="80">
        <v>2757</v>
      </c>
      <c r="BW34" s="80">
        <v>2795</v>
      </c>
      <c r="BX34" s="80">
        <v>2575</v>
      </c>
      <c r="BY34" s="80">
        <v>2519</v>
      </c>
      <c r="BZ34" s="80">
        <v>2182</v>
      </c>
      <c r="CA34" s="80">
        <v>2258</v>
      </c>
      <c r="CB34" s="80">
        <v>2153</v>
      </c>
      <c r="CC34" s="80">
        <v>2054</v>
      </c>
      <c r="CD34" s="80">
        <v>2028</v>
      </c>
      <c r="CE34" s="80">
        <v>1892</v>
      </c>
      <c r="CF34" s="80">
        <v>2028</v>
      </c>
      <c r="CG34" s="80">
        <v>2256</v>
      </c>
      <c r="CH34" s="80">
        <v>2410</v>
      </c>
      <c r="CI34" s="80">
        <v>1670</v>
      </c>
      <c r="CJ34" s="80">
        <v>1693</v>
      </c>
      <c r="CK34" s="80">
        <v>1678</v>
      </c>
      <c r="CL34" s="80">
        <v>1504</v>
      </c>
      <c r="CM34" s="80">
        <v>1351</v>
      </c>
      <c r="CN34" s="80">
        <v>1133</v>
      </c>
      <c r="CO34" s="80">
        <v>1233</v>
      </c>
      <c r="CP34" s="80">
        <v>1037</v>
      </c>
      <c r="CQ34" s="80">
        <v>1023</v>
      </c>
      <c r="CR34" s="80">
        <v>997</v>
      </c>
      <c r="CS34" s="80">
        <v>826</v>
      </c>
      <c r="CT34" s="80">
        <v>723</v>
      </c>
      <c r="CU34" s="80">
        <v>629</v>
      </c>
      <c r="CV34" s="80">
        <v>516</v>
      </c>
      <c r="CW34" s="80">
        <v>525</v>
      </c>
      <c r="CX34" s="80">
        <v>425</v>
      </c>
      <c r="CY34" s="80">
        <v>1453</v>
      </c>
      <c r="CZ34" s="81">
        <v>2613</v>
      </c>
      <c r="DA34" s="81">
        <v>2658</v>
      </c>
      <c r="DB34" s="81">
        <v>2889</v>
      </c>
      <c r="DC34" s="81">
        <v>3034</v>
      </c>
      <c r="DD34" s="81">
        <v>3151</v>
      </c>
      <c r="DE34" s="81">
        <v>3071</v>
      </c>
      <c r="DF34" s="81">
        <v>3237</v>
      </c>
      <c r="DG34" s="81">
        <v>3354</v>
      </c>
      <c r="DH34" s="81">
        <v>3284</v>
      </c>
      <c r="DI34" s="81">
        <v>3430</v>
      </c>
      <c r="DJ34" s="81">
        <v>3284</v>
      </c>
      <c r="DK34" s="81">
        <v>3197</v>
      </c>
      <c r="DL34" s="81">
        <v>3305</v>
      </c>
      <c r="DM34" s="81">
        <v>3290</v>
      </c>
      <c r="DN34" s="81">
        <v>3062</v>
      </c>
      <c r="DO34" s="81">
        <v>2855</v>
      </c>
      <c r="DP34" s="81">
        <v>2966</v>
      </c>
      <c r="DQ34" s="81">
        <v>2910</v>
      </c>
      <c r="DR34" s="81">
        <v>2754</v>
      </c>
      <c r="DS34" s="81">
        <v>2558</v>
      </c>
      <c r="DT34" s="81">
        <v>2563</v>
      </c>
      <c r="DU34" s="81">
        <v>2822</v>
      </c>
      <c r="DV34" s="81">
        <v>2697</v>
      </c>
      <c r="DW34" s="81">
        <v>2660</v>
      </c>
      <c r="DX34" s="81">
        <v>2847</v>
      </c>
      <c r="DY34" s="81">
        <v>2834</v>
      </c>
      <c r="DZ34" s="81">
        <v>2832</v>
      </c>
      <c r="EA34" s="81">
        <v>2742</v>
      </c>
      <c r="EB34" s="81">
        <v>2778</v>
      </c>
      <c r="EC34" s="81">
        <v>2986</v>
      </c>
      <c r="ED34" s="81">
        <v>3101</v>
      </c>
      <c r="EE34" s="81">
        <v>2882</v>
      </c>
      <c r="EF34" s="81">
        <v>3018</v>
      </c>
      <c r="EG34" s="81">
        <v>3170</v>
      </c>
      <c r="EH34" s="81">
        <v>3181</v>
      </c>
      <c r="EI34" s="81">
        <v>3255</v>
      </c>
      <c r="EJ34" s="81">
        <v>3404</v>
      </c>
      <c r="EK34" s="81">
        <v>3362</v>
      </c>
      <c r="EL34" s="81">
        <v>3427</v>
      </c>
      <c r="EM34" s="81">
        <v>3620</v>
      </c>
      <c r="EN34" s="81">
        <v>3801</v>
      </c>
      <c r="EO34" s="81">
        <v>3488</v>
      </c>
      <c r="EP34" s="81">
        <v>3526</v>
      </c>
      <c r="EQ34" s="81">
        <v>3478</v>
      </c>
      <c r="ER34" s="81">
        <v>3288</v>
      </c>
      <c r="ES34" s="81">
        <v>3471</v>
      </c>
      <c r="ET34" s="81">
        <v>3434</v>
      </c>
      <c r="EU34" s="81">
        <v>3436</v>
      </c>
      <c r="EV34" s="81">
        <v>3541</v>
      </c>
      <c r="EW34" s="81">
        <v>3625</v>
      </c>
      <c r="EX34" s="81">
        <v>3354</v>
      </c>
      <c r="EY34" s="81">
        <v>3526</v>
      </c>
      <c r="EZ34" s="81">
        <v>3523</v>
      </c>
      <c r="FA34" s="81">
        <v>3561</v>
      </c>
      <c r="FB34" s="81">
        <v>3393</v>
      </c>
      <c r="FC34" s="81">
        <v>3488</v>
      </c>
      <c r="FD34" s="81">
        <v>3374</v>
      </c>
      <c r="FE34" s="81">
        <v>3279</v>
      </c>
      <c r="FF34" s="81">
        <v>3101</v>
      </c>
      <c r="FG34" s="81">
        <v>3049</v>
      </c>
      <c r="FH34" s="81">
        <v>2718</v>
      </c>
      <c r="FI34" s="81">
        <v>2706</v>
      </c>
      <c r="FJ34" s="81">
        <v>2692</v>
      </c>
      <c r="FK34" s="81">
        <v>2559</v>
      </c>
      <c r="FL34" s="81">
        <v>2360</v>
      </c>
      <c r="FM34" s="81">
        <v>2414</v>
      </c>
      <c r="FN34" s="81">
        <v>2247</v>
      </c>
      <c r="FO34" s="81">
        <v>2103</v>
      </c>
      <c r="FP34" s="81">
        <v>2206</v>
      </c>
      <c r="FQ34" s="81">
        <v>2202</v>
      </c>
      <c r="FR34" s="81">
        <v>2272</v>
      </c>
      <c r="FS34" s="81">
        <v>2314</v>
      </c>
      <c r="FT34" s="81">
        <v>2402</v>
      </c>
      <c r="FU34" s="81">
        <v>2596</v>
      </c>
      <c r="FV34" s="81">
        <v>1997</v>
      </c>
      <c r="FW34" s="81">
        <v>1941</v>
      </c>
      <c r="FX34" s="81">
        <v>1966</v>
      </c>
      <c r="FY34" s="81">
        <v>1755</v>
      </c>
      <c r="FZ34" s="81">
        <v>1570</v>
      </c>
      <c r="GA34" s="81">
        <v>1377</v>
      </c>
      <c r="GB34" s="81">
        <v>1277</v>
      </c>
      <c r="GC34" s="81">
        <v>1378</v>
      </c>
      <c r="GD34" s="81">
        <v>1297</v>
      </c>
      <c r="GE34" s="81">
        <v>1084</v>
      </c>
      <c r="GF34" s="81">
        <v>1096</v>
      </c>
      <c r="GG34" s="81">
        <v>999</v>
      </c>
      <c r="GH34" s="81">
        <v>898</v>
      </c>
      <c r="GI34" s="81">
        <v>821</v>
      </c>
      <c r="GJ34" s="81">
        <v>742</v>
      </c>
      <c r="GK34" s="81">
        <v>643</v>
      </c>
      <c r="GL34" s="82">
        <v>2738</v>
      </c>
    </row>
    <row r="35" spans="1:194" s="1" customFormat="1" x14ac:dyDescent="0.2">
      <c r="A35" s="83" t="s">
        <v>220</v>
      </c>
      <c r="B35" s="262" t="s">
        <v>245</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0">
        <v>7573</v>
      </c>
      <c r="N35" s="80">
        <v>7950</v>
      </c>
      <c r="O35" s="80">
        <v>8020</v>
      </c>
      <c r="P35" s="80">
        <v>8483</v>
      </c>
      <c r="Q35" s="80">
        <v>8484</v>
      </c>
      <c r="R35" s="80">
        <v>8425</v>
      </c>
      <c r="S35" s="80">
        <v>8751</v>
      </c>
      <c r="T35" s="80">
        <v>8670</v>
      </c>
      <c r="U35" s="80">
        <v>8934</v>
      </c>
      <c r="V35" s="80">
        <v>8485</v>
      </c>
      <c r="W35" s="80">
        <v>8195</v>
      </c>
      <c r="X35" s="80">
        <v>8386</v>
      </c>
      <c r="Y35" s="80">
        <v>8419</v>
      </c>
      <c r="Z35" s="80">
        <v>8388</v>
      </c>
      <c r="AA35" s="80">
        <v>8038</v>
      </c>
      <c r="AB35" s="80">
        <v>7877</v>
      </c>
      <c r="AC35" s="80">
        <v>7808</v>
      </c>
      <c r="AD35" s="80">
        <v>7642</v>
      </c>
      <c r="AE35" s="80">
        <v>7607</v>
      </c>
      <c r="AF35" s="80">
        <v>8957</v>
      </c>
      <c r="AG35" s="80">
        <v>9834</v>
      </c>
      <c r="AH35" s="80">
        <v>10068</v>
      </c>
      <c r="AI35" s="80">
        <v>9937</v>
      </c>
      <c r="AJ35" s="80">
        <v>9932</v>
      </c>
      <c r="AK35" s="80">
        <v>9580</v>
      </c>
      <c r="AL35" s="80">
        <v>9157</v>
      </c>
      <c r="AM35" s="80">
        <v>9608</v>
      </c>
      <c r="AN35" s="80">
        <v>9224</v>
      </c>
      <c r="AO35" s="80">
        <v>9309</v>
      </c>
      <c r="AP35" s="80">
        <v>9354</v>
      </c>
      <c r="AQ35" s="80">
        <v>8699</v>
      </c>
      <c r="AR35" s="80">
        <v>8181</v>
      </c>
      <c r="AS35" s="80">
        <v>8002</v>
      </c>
      <c r="AT35" s="80">
        <v>7642</v>
      </c>
      <c r="AU35" s="80">
        <v>7655</v>
      </c>
      <c r="AV35" s="80">
        <v>7678</v>
      </c>
      <c r="AW35" s="80">
        <v>7202</v>
      </c>
      <c r="AX35" s="80">
        <v>7333</v>
      </c>
      <c r="AY35" s="80">
        <v>7098</v>
      </c>
      <c r="AZ35" s="80">
        <v>7309</v>
      </c>
      <c r="BA35" s="80">
        <v>7303</v>
      </c>
      <c r="BB35" s="80">
        <v>6935</v>
      </c>
      <c r="BC35" s="80">
        <v>6451</v>
      </c>
      <c r="BD35" s="80">
        <v>6414</v>
      </c>
      <c r="BE35" s="80">
        <v>6473</v>
      </c>
      <c r="BF35" s="80">
        <v>6499</v>
      </c>
      <c r="BG35" s="80">
        <v>6615</v>
      </c>
      <c r="BH35" s="80">
        <v>6835</v>
      </c>
      <c r="BI35" s="80">
        <v>6996</v>
      </c>
      <c r="BJ35" s="80">
        <v>6971</v>
      </c>
      <c r="BK35" s="80">
        <v>6947</v>
      </c>
      <c r="BL35" s="80">
        <v>7127</v>
      </c>
      <c r="BM35" s="80">
        <v>7027</v>
      </c>
      <c r="BN35" s="80">
        <v>6810</v>
      </c>
      <c r="BO35" s="80">
        <v>6907</v>
      </c>
      <c r="BP35" s="80">
        <v>6871</v>
      </c>
      <c r="BQ35" s="80">
        <v>6603</v>
      </c>
      <c r="BR35" s="80">
        <v>6651</v>
      </c>
      <c r="BS35" s="80">
        <v>6485</v>
      </c>
      <c r="BT35" s="80">
        <v>6022</v>
      </c>
      <c r="BU35" s="80">
        <v>5732</v>
      </c>
      <c r="BV35" s="80">
        <v>5539</v>
      </c>
      <c r="BW35" s="80">
        <v>5554</v>
      </c>
      <c r="BX35" s="80">
        <v>5191</v>
      </c>
      <c r="BY35" s="80">
        <v>4929</v>
      </c>
      <c r="BZ35" s="80">
        <v>4880</v>
      </c>
      <c r="CA35" s="80">
        <v>4849</v>
      </c>
      <c r="CB35" s="80">
        <v>4696</v>
      </c>
      <c r="CC35" s="80">
        <v>4484</v>
      </c>
      <c r="CD35" s="80">
        <v>4312</v>
      </c>
      <c r="CE35" s="80">
        <v>4286</v>
      </c>
      <c r="CF35" s="80">
        <v>4198</v>
      </c>
      <c r="CG35" s="80">
        <v>4327</v>
      </c>
      <c r="CH35" s="80">
        <v>4660</v>
      </c>
      <c r="CI35" s="80">
        <v>3574</v>
      </c>
      <c r="CJ35" s="80">
        <v>3564</v>
      </c>
      <c r="CK35" s="80">
        <v>3545</v>
      </c>
      <c r="CL35" s="80">
        <v>3186</v>
      </c>
      <c r="CM35" s="80">
        <v>2784</v>
      </c>
      <c r="CN35" s="80">
        <v>2397</v>
      </c>
      <c r="CO35" s="80">
        <v>2462</v>
      </c>
      <c r="CP35" s="80">
        <v>2486</v>
      </c>
      <c r="CQ35" s="80">
        <v>2184</v>
      </c>
      <c r="CR35" s="80">
        <v>2050</v>
      </c>
      <c r="CS35" s="80">
        <v>1872</v>
      </c>
      <c r="CT35" s="80">
        <v>1706</v>
      </c>
      <c r="CU35" s="80">
        <v>1384</v>
      </c>
      <c r="CV35" s="80">
        <v>1386</v>
      </c>
      <c r="CW35" s="80">
        <v>1117</v>
      </c>
      <c r="CX35" s="80">
        <v>967</v>
      </c>
      <c r="CY35" s="80">
        <v>3164</v>
      </c>
      <c r="CZ35" s="81">
        <v>7355</v>
      </c>
      <c r="DA35" s="81">
        <v>7394</v>
      </c>
      <c r="DB35" s="81">
        <v>7852</v>
      </c>
      <c r="DC35" s="81">
        <v>7989</v>
      </c>
      <c r="DD35" s="81">
        <v>8170</v>
      </c>
      <c r="DE35" s="81">
        <v>8083</v>
      </c>
      <c r="DF35" s="81">
        <v>8076</v>
      </c>
      <c r="DG35" s="81">
        <v>8278</v>
      </c>
      <c r="DH35" s="81">
        <v>8264</v>
      </c>
      <c r="DI35" s="81">
        <v>8035</v>
      </c>
      <c r="DJ35" s="81">
        <v>7724</v>
      </c>
      <c r="DK35" s="81">
        <v>7859</v>
      </c>
      <c r="DL35" s="81">
        <v>7867</v>
      </c>
      <c r="DM35" s="81">
        <v>7512</v>
      </c>
      <c r="DN35" s="81">
        <v>7780</v>
      </c>
      <c r="DO35" s="81">
        <v>7454</v>
      </c>
      <c r="DP35" s="81">
        <v>7203</v>
      </c>
      <c r="DQ35" s="81">
        <v>6919</v>
      </c>
      <c r="DR35" s="81">
        <v>7300</v>
      </c>
      <c r="DS35" s="81">
        <v>9863</v>
      </c>
      <c r="DT35" s="81">
        <v>10457</v>
      </c>
      <c r="DU35" s="81">
        <v>10474</v>
      </c>
      <c r="DV35" s="81">
        <v>9817</v>
      </c>
      <c r="DW35" s="81">
        <v>9193</v>
      </c>
      <c r="DX35" s="81">
        <v>9368</v>
      </c>
      <c r="DY35" s="81">
        <v>9142</v>
      </c>
      <c r="DZ35" s="81">
        <v>9254</v>
      </c>
      <c r="EA35" s="81">
        <v>8978</v>
      </c>
      <c r="EB35" s="81">
        <v>9094</v>
      </c>
      <c r="EC35" s="81">
        <v>9135</v>
      </c>
      <c r="ED35" s="81">
        <v>8352</v>
      </c>
      <c r="EE35" s="81">
        <v>8086</v>
      </c>
      <c r="EF35" s="81">
        <v>8122</v>
      </c>
      <c r="EG35" s="81">
        <v>8252</v>
      </c>
      <c r="EH35" s="81">
        <v>7943</v>
      </c>
      <c r="EI35" s="81">
        <v>7498</v>
      </c>
      <c r="EJ35" s="81">
        <v>7589</v>
      </c>
      <c r="EK35" s="81">
        <v>7681</v>
      </c>
      <c r="EL35" s="81">
        <v>7617</v>
      </c>
      <c r="EM35" s="81">
        <v>7781</v>
      </c>
      <c r="EN35" s="81">
        <v>7967</v>
      </c>
      <c r="EO35" s="81">
        <v>7281</v>
      </c>
      <c r="EP35" s="81">
        <v>6893</v>
      </c>
      <c r="EQ35" s="81">
        <v>6796</v>
      </c>
      <c r="ER35" s="81">
        <v>6877</v>
      </c>
      <c r="ES35" s="81">
        <v>6602</v>
      </c>
      <c r="ET35" s="81">
        <v>6632</v>
      </c>
      <c r="EU35" s="81">
        <v>6953</v>
      </c>
      <c r="EV35" s="81">
        <v>7300</v>
      </c>
      <c r="EW35" s="81">
        <v>7564</v>
      </c>
      <c r="EX35" s="81">
        <v>7451</v>
      </c>
      <c r="EY35" s="81">
        <v>7532</v>
      </c>
      <c r="EZ35" s="81">
        <v>7430</v>
      </c>
      <c r="FA35" s="81">
        <v>7255</v>
      </c>
      <c r="FB35" s="81">
        <v>7255</v>
      </c>
      <c r="FC35" s="81">
        <v>7250</v>
      </c>
      <c r="FD35" s="81">
        <v>7099</v>
      </c>
      <c r="FE35" s="81">
        <v>6789</v>
      </c>
      <c r="FF35" s="81">
        <v>6968</v>
      </c>
      <c r="FG35" s="81">
        <v>6411</v>
      </c>
      <c r="FH35" s="81">
        <v>6174</v>
      </c>
      <c r="FI35" s="81">
        <v>5962</v>
      </c>
      <c r="FJ35" s="81">
        <v>5609</v>
      </c>
      <c r="FK35" s="81">
        <v>5542</v>
      </c>
      <c r="FL35" s="81">
        <v>5049</v>
      </c>
      <c r="FM35" s="81">
        <v>4943</v>
      </c>
      <c r="FN35" s="81">
        <v>4942</v>
      </c>
      <c r="FO35" s="81">
        <v>4969</v>
      </c>
      <c r="FP35" s="81">
        <v>4726</v>
      </c>
      <c r="FQ35" s="81">
        <v>4559</v>
      </c>
      <c r="FR35" s="81">
        <v>4777</v>
      </c>
      <c r="FS35" s="81">
        <v>4817</v>
      </c>
      <c r="FT35" s="81">
        <v>4959</v>
      </c>
      <c r="FU35" s="81">
        <v>5182</v>
      </c>
      <c r="FV35" s="81">
        <v>4150</v>
      </c>
      <c r="FW35" s="81">
        <v>4108</v>
      </c>
      <c r="FX35" s="81">
        <v>4141</v>
      </c>
      <c r="FY35" s="81">
        <v>3912</v>
      </c>
      <c r="FZ35" s="81">
        <v>3475</v>
      </c>
      <c r="GA35" s="81">
        <v>2990</v>
      </c>
      <c r="GB35" s="81">
        <v>3060</v>
      </c>
      <c r="GC35" s="81">
        <v>3041</v>
      </c>
      <c r="GD35" s="81">
        <v>2971</v>
      </c>
      <c r="GE35" s="81">
        <v>2921</v>
      </c>
      <c r="GF35" s="81">
        <v>2676</v>
      </c>
      <c r="GG35" s="81">
        <v>2442</v>
      </c>
      <c r="GH35" s="81">
        <v>2071</v>
      </c>
      <c r="GI35" s="81">
        <v>1923</v>
      </c>
      <c r="GJ35" s="81">
        <v>1895</v>
      </c>
      <c r="GK35" s="81">
        <v>1621</v>
      </c>
      <c r="GL35" s="82">
        <v>6708</v>
      </c>
    </row>
    <row r="36" spans="1:194" s="1" customFormat="1" hidden="1" x14ac:dyDescent="0.2">
      <c r="A36" s="83" t="s">
        <v>220</v>
      </c>
      <c r="B36" s="262" t="s">
        <v>246</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0">
        <v>8662</v>
      </c>
      <c r="N36" s="80">
        <v>9081</v>
      </c>
      <c r="O36" s="80">
        <v>9362</v>
      </c>
      <c r="P36" s="80">
        <v>9507</v>
      </c>
      <c r="Q36" s="80">
        <v>9740</v>
      </c>
      <c r="R36" s="80">
        <v>9637</v>
      </c>
      <c r="S36" s="80">
        <v>9805</v>
      </c>
      <c r="T36" s="80">
        <v>10268</v>
      </c>
      <c r="U36" s="80">
        <v>10190</v>
      </c>
      <c r="V36" s="80">
        <v>9667</v>
      </c>
      <c r="W36" s="80">
        <v>9713</v>
      </c>
      <c r="X36" s="80">
        <v>9596</v>
      </c>
      <c r="Y36" s="80">
        <v>9767</v>
      </c>
      <c r="Z36" s="80">
        <v>9105</v>
      </c>
      <c r="AA36" s="80">
        <v>9357</v>
      </c>
      <c r="AB36" s="80">
        <v>9077</v>
      </c>
      <c r="AC36" s="80">
        <v>8831</v>
      </c>
      <c r="AD36" s="80">
        <v>8429</v>
      </c>
      <c r="AE36" s="80">
        <v>8435</v>
      </c>
      <c r="AF36" s="80">
        <v>7946</v>
      </c>
      <c r="AG36" s="80">
        <v>8129</v>
      </c>
      <c r="AH36" s="80">
        <v>8433</v>
      </c>
      <c r="AI36" s="80">
        <v>8904</v>
      </c>
      <c r="AJ36" s="80">
        <v>9423</v>
      </c>
      <c r="AK36" s="80">
        <v>9247</v>
      </c>
      <c r="AL36" s="80">
        <v>9774</v>
      </c>
      <c r="AM36" s="80">
        <v>9749</v>
      </c>
      <c r="AN36" s="80">
        <v>9998</v>
      </c>
      <c r="AO36" s="80">
        <v>10078</v>
      </c>
      <c r="AP36" s="80">
        <v>10216</v>
      </c>
      <c r="AQ36" s="80">
        <v>9879</v>
      </c>
      <c r="AR36" s="80">
        <v>9840</v>
      </c>
      <c r="AS36" s="80">
        <v>9914</v>
      </c>
      <c r="AT36" s="80">
        <v>9581</v>
      </c>
      <c r="AU36" s="80">
        <v>9802</v>
      </c>
      <c r="AV36" s="80">
        <v>9815</v>
      </c>
      <c r="AW36" s="80">
        <v>9302</v>
      </c>
      <c r="AX36" s="80">
        <v>9513</v>
      </c>
      <c r="AY36" s="80">
        <v>9076</v>
      </c>
      <c r="AZ36" s="80">
        <v>9085</v>
      </c>
      <c r="BA36" s="80">
        <v>9241</v>
      </c>
      <c r="BB36" s="80">
        <v>8763</v>
      </c>
      <c r="BC36" s="80">
        <v>8147</v>
      </c>
      <c r="BD36" s="80">
        <v>7834</v>
      </c>
      <c r="BE36" s="80">
        <v>8261</v>
      </c>
      <c r="BF36" s="80">
        <v>8290</v>
      </c>
      <c r="BG36" s="80">
        <v>8553</v>
      </c>
      <c r="BH36" s="80">
        <v>8761</v>
      </c>
      <c r="BI36" s="80">
        <v>9200</v>
      </c>
      <c r="BJ36" s="80">
        <v>9181</v>
      </c>
      <c r="BK36" s="80">
        <v>9272</v>
      </c>
      <c r="BL36" s="80">
        <v>9254</v>
      </c>
      <c r="BM36" s="80">
        <v>9185</v>
      </c>
      <c r="BN36" s="80">
        <v>8976</v>
      </c>
      <c r="BO36" s="80">
        <v>8824</v>
      </c>
      <c r="BP36" s="80">
        <v>8503</v>
      </c>
      <c r="BQ36" s="80">
        <v>8706</v>
      </c>
      <c r="BR36" s="80">
        <v>8369</v>
      </c>
      <c r="BS36" s="80">
        <v>8333</v>
      </c>
      <c r="BT36" s="80">
        <v>7927</v>
      </c>
      <c r="BU36" s="80">
        <v>7229</v>
      </c>
      <c r="BV36" s="80">
        <v>7101</v>
      </c>
      <c r="BW36" s="80">
        <v>6915</v>
      </c>
      <c r="BX36" s="80">
        <v>6651</v>
      </c>
      <c r="BY36" s="80">
        <v>6346</v>
      </c>
      <c r="BZ36" s="80">
        <v>6174</v>
      </c>
      <c r="CA36" s="80">
        <v>5920</v>
      </c>
      <c r="CB36" s="80">
        <v>6031</v>
      </c>
      <c r="CC36" s="80">
        <v>5742</v>
      </c>
      <c r="CD36" s="80">
        <v>5514</v>
      </c>
      <c r="CE36" s="80">
        <v>5401</v>
      </c>
      <c r="CF36" s="80">
        <v>5457</v>
      </c>
      <c r="CG36" s="80">
        <v>5551</v>
      </c>
      <c r="CH36" s="80">
        <v>5845</v>
      </c>
      <c r="CI36" s="80">
        <v>4553</v>
      </c>
      <c r="CJ36" s="80">
        <v>4542</v>
      </c>
      <c r="CK36" s="80">
        <v>4599</v>
      </c>
      <c r="CL36" s="80">
        <v>4300</v>
      </c>
      <c r="CM36" s="80">
        <v>3845</v>
      </c>
      <c r="CN36" s="80">
        <v>3353</v>
      </c>
      <c r="CO36" s="80">
        <v>3366</v>
      </c>
      <c r="CP36" s="80">
        <v>3122</v>
      </c>
      <c r="CQ36" s="80">
        <v>2997</v>
      </c>
      <c r="CR36" s="80">
        <v>2659</v>
      </c>
      <c r="CS36" s="80">
        <v>2386</v>
      </c>
      <c r="CT36" s="80">
        <v>2130</v>
      </c>
      <c r="CU36" s="80">
        <v>1739</v>
      </c>
      <c r="CV36" s="80">
        <v>1527</v>
      </c>
      <c r="CW36" s="80">
        <v>1296</v>
      </c>
      <c r="CX36" s="80">
        <v>1090</v>
      </c>
      <c r="CY36" s="80">
        <v>3321</v>
      </c>
      <c r="CZ36" s="81">
        <v>8309</v>
      </c>
      <c r="DA36" s="81">
        <v>8492</v>
      </c>
      <c r="DB36" s="81">
        <v>8829</v>
      </c>
      <c r="DC36" s="81">
        <v>9265</v>
      </c>
      <c r="DD36" s="81">
        <v>9207</v>
      </c>
      <c r="DE36" s="81">
        <v>9262</v>
      </c>
      <c r="DF36" s="81">
        <v>9416</v>
      </c>
      <c r="DG36" s="81">
        <v>9467</v>
      </c>
      <c r="DH36" s="81">
        <v>9687</v>
      </c>
      <c r="DI36" s="81">
        <v>9344</v>
      </c>
      <c r="DJ36" s="81">
        <v>8975</v>
      </c>
      <c r="DK36" s="81">
        <v>9210</v>
      </c>
      <c r="DL36" s="81">
        <v>9158</v>
      </c>
      <c r="DM36" s="81">
        <v>8927</v>
      </c>
      <c r="DN36" s="81">
        <v>8912</v>
      </c>
      <c r="DO36" s="81">
        <v>8612</v>
      </c>
      <c r="DP36" s="81">
        <v>8223</v>
      </c>
      <c r="DQ36" s="81">
        <v>8038</v>
      </c>
      <c r="DR36" s="81">
        <v>7704</v>
      </c>
      <c r="DS36" s="81">
        <v>7144</v>
      </c>
      <c r="DT36" s="81">
        <v>7115</v>
      </c>
      <c r="DU36" s="81">
        <v>7669</v>
      </c>
      <c r="DV36" s="81">
        <v>8198</v>
      </c>
      <c r="DW36" s="81">
        <v>8907</v>
      </c>
      <c r="DX36" s="81">
        <v>9283</v>
      </c>
      <c r="DY36" s="81">
        <v>9049</v>
      </c>
      <c r="DZ36" s="81">
        <v>9433</v>
      </c>
      <c r="EA36" s="81">
        <v>9620</v>
      </c>
      <c r="EB36" s="81">
        <v>10029</v>
      </c>
      <c r="EC36" s="81">
        <v>10122</v>
      </c>
      <c r="ED36" s="81">
        <v>9864</v>
      </c>
      <c r="EE36" s="81">
        <v>9905</v>
      </c>
      <c r="EF36" s="81">
        <v>9795</v>
      </c>
      <c r="EG36" s="81">
        <v>10059</v>
      </c>
      <c r="EH36" s="81">
        <v>9928</v>
      </c>
      <c r="EI36" s="81">
        <v>9759</v>
      </c>
      <c r="EJ36" s="81">
        <v>9570</v>
      </c>
      <c r="EK36" s="81">
        <v>9566</v>
      </c>
      <c r="EL36" s="81">
        <v>9358</v>
      </c>
      <c r="EM36" s="81">
        <v>9231</v>
      </c>
      <c r="EN36" s="81">
        <v>9286</v>
      </c>
      <c r="EO36" s="81">
        <v>8693</v>
      </c>
      <c r="EP36" s="81">
        <v>7896</v>
      </c>
      <c r="EQ36" s="81">
        <v>7774</v>
      </c>
      <c r="ER36" s="81">
        <v>7907</v>
      </c>
      <c r="ES36" s="81">
        <v>7977</v>
      </c>
      <c r="ET36" s="81">
        <v>8095</v>
      </c>
      <c r="EU36" s="81">
        <v>8565</v>
      </c>
      <c r="EV36" s="81">
        <v>8998</v>
      </c>
      <c r="EW36" s="81">
        <v>9538</v>
      </c>
      <c r="EX36" s="81">
        <v>9466</v>
      </c>
      <c r="EY36" s="81">
        <v>9125</v>
      </c>
      <c r="EZ36" s="81">
        <v>9043</v>
      </c>
      <c r="FA36" s="81">
        <v>9191</v>
      </c>
      <c r="FB36" s="81">
        <v>9081</v>
      </c>
      <c r="FC36" s="81">
        <v>9198</v>
      </c>
      <c r="FD36" s="81">
        <v>9040</v>
      </c>
      <c r="FE36" s="81">
        <v>8569</v>
      </c>
      <c r="FF36" s="81">
        <v>8629</v>
      </c>
      <c r="FG36" s="81">
        <v>7933</v>
      </c>
      <c r="FH36" s="81">
        <v>7509</v>
      </c>
      <c r="FI36" s="81">
        <v>7203</v>
      </c>
      <c r="FJ36" s="81">
        <v>7004</v>
      </c>
      <c r="FK36" s="81">
        <v>6742</v>
      </c>
      <c r="FL36" s="81">
        <v>6604</v>
      </c>
      <c r="FM36" s="81">
        <v>6190</v>
      </c>
      <c r="FN36" s="81">
        <v>6247</v>
      </c>
      <c r="FO36" s="81">
        <v>6087</v>
      </c>
      <c r="FP36" s="81">
        <v>6046</v>
      </c>
      <c r="FQ36" s="81">
        <v>5933</v>
      </c>
      <c r="FR36" s="81">
        <v>6052</v>
      </c>
      <c r="FS36" s="81">
        <v>5990</v>
      </c>
      <c r="FT36" s="81">
        <v>5994</v>
      </c>
      <c r="FU36" s="81">
        <v>6171</v>
      </c>
      <c r="FV36" s="81">
        <v>5101</v>
      </c>
      <c r="FW36" s="81">
        <v>5187</v>
      </c>
      <c r="FX36" s="81">
        <v>5569</v>
      </c>
      <c r="FY36" s="81">
        <v>5164</v>
      </c>
      <c r="FZ36" s="81">
        <v>4623</v>
      </c>
      <c r="GA36" s="81">
        <v>4111</v>
      </c>
      <c r="GB36" s="81">
        <v>4164</v>
      </c>
      <c r="GC36" s="81">
        <v>4057</v>
      </c>
      <c r="GD36" s="81">
        <v>3920</v>
      </c>
      <c r="GE36" s="81">
        <v>3595</v>
      </c>
      <c r="GF36" s="81">
        <v>3388</v>
      </c>
      <c r="GG36" s="81">
        <v>3078</v>
      </c>
      <c r="GH36" s="81">
        <v>2512</v>
      </c>
      <c r="GI36" s="81">
        <v>2403</v>
      </c>
      <c r="GJ36" s="81">
        <v>2243</v>
      </c>
      <c r="GK36" s="81">
        <v>1966</v>
      </c>
      <c r="GL36" s="82">
        <v>7096</v>
      </c>
    </row>
    <row r="37" spans="1:194" s="1" customFormat="1" hidden="1" x14ac:dyDescent="0.2">
      <c r="A37" s="83" t="s">
        <v>220</v>
      </c>
      <c r="B37" s="262" t="s">
        <v>247</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0">
        <v>955</v>
      </c>
      <c r="N37" s="80">
        <v>1024</v>
      </c>
      <c r="O37" s="80">
        <v>999</v>
      </c>
      <c r="P37" s="80">
        <v>1066</v>
      </c>
      <c r="Q37" s="80">
        <v>1105</v>
      </c>
      <c r="R37" s="80">
        <v>1114</v>
      </c>
      <c r="S37" s="80">
        <v>1104</v>
      </c>
      <c r="T37" s="80">
        <v>1146</v>
      </c>
      <c r="U37" s="80">
        <v>1177</v>
      </c>
      <c r="V37" s="80">
        <v>1114</v>
      </c>
      <c r="W37" s="80">
        <v>1142</v>
      </c>
      <c r="X37" s="80">
        <v>1115</v>
      </c>
      <c r="Y37" s="80">
        <v>1148</v>
      </c>
      <c r="Z37" s="80">
        <v>1086</v>
      </c>
      <c r="AA37" s="80">
        <v>1052</v>
      </c>
      <c r="AB37" s="80">
        <v>1100</v>
      </c>
      <c r="AC37" s="80">
        <v>1047</v>
      </c>
      <c r="AD37" s="80">
        <v>1084</v>
      </c>
      <c r="AE37" s="80">
        <v>1033</v>
      </c>
      <c r="AF37" s="80">
        <v>881</v>
      </c>
      <c r="AG37" s="80">
        <v>949</v>
      </c>
      <c r="AH37" s="80">
        <v>953</v>
      </c>
      <c r="AI37" s="80">
        <v>962</v>
      </c>
      <c r="AJ37" s="80">
        <v>1036</v>
      </c>
      <c r="AK37" s="80">
        <v>1067</v>
      </c>
      <c r="AL37" s="80">
        <v>1091</v>
      </c>
      <c r="AM37" s="80">
        <v>1034</v>
      </c>
      <c r="AN37" s="80">
        <v>988</v>
      </c>
      <c r="AO37" s="80">
        <v>1096</v>
      </c>
      <c r="AP37" s="80">
        <v>1014</v>
      </c>
      <c r="AQ37" s="80">
        <v>1030</v>
      </c>
      <c r="AR37" s="80">
        <v>950</v>
      </c>
      <c r="AS37" s="80">
        <v>957</v>
      </c>
      <c r="AT37" s="80">
        <v>980</v>
      </c>
      <c r="AU37" s="80">
        <v>1046</v>
      </c>
      <c r="AV37" s="80">
        <v>1008</v>
      </c>
      <c r="AW37" s="80">
        <v>979</v>
      </c>
      <c r="AX37" s="80">
        <v>1087</v>
      </c>
      <c r="AY37" s="80">
        <v>1169</v>
      </c>
      <c r="AZ37" s="80">
        <v>1034</v>
      </c>
      <c r="BA37" s="80">
        <v>987</v>
      </c>
      <c r="BB37" s="80">
        <v>939</v>
      </c>
      <c r="BC37" s="80">
        <v>946</v>
      </c>
      <c r="BD37" s="80">
        <v>960</v>
      </c>
      <c r="BE37" s="80">
        <v>840</v>
      </c>
      <c r="BF37" s="80">
        <v>914</v>
      </c>
      <c r="BG37" s="80">
        <v>1021</v>
      </c>
      <c r="BH37" s="80">
        <v>937</v>
      </c>
      <c r="BI37" s="80">
        <v>968</v>
      </c>
      <c r="BJ37" s="80">
        <v>981</v>
      </c>
      <c r="BK37" s="80">
        <v>1034</v>
      </c>
      <c r="BL37" s="80">
        <v>1049</v>
      </c>
      <c r="BM37" s="80">
        <v>1055</v>
      </c>
      <c r="BN37" s="80">
        <v>987</v>
      </c>
      <c r="BO37" s="80">
        <v>936</v>
      </c>
      <c r="BP37" s="80">
        <v>933</v>
      </c>
      <c r="BQ37" s="80">
        <v>928</v>
      </c>
      <c r="BR37" s="80">
        <v>893</v>
      </c>
      <c r="BS37" s="80">
        <v>914</v>
      </c>
      <c r="BT37" s="80">
        <v>896</v>
      </c>
      <c r="BU37" s="80">
        <v>865</v>
      </c>
      <c r="BV37" s="80">
        <v>836</v>
      </c>
      <c r="BW37" s="80">
        <v>716</v>
      </c>
      <c r="BX37" s="80">
        <v>772</v>
      </c>
      <c r="BY37" s="80">
        <v>737</v>
      </c>
      <c r="BZ37" s="80">
        <v>687</v>
      </c>
      <c r="CA37" s="80">
        <v>627</v>
      </c>
      <c r="CB37" s="80">
        <v>704</v>
      </c>
      <c r="CC37" s="80">
        <v>602</v>
      </c>
      <c r="CD37" s="80">
        <v>611</v>
      </c>
      <c r="CE37" s="80">
        <v>632</v>
      </c>
      <c r="CF37" s="80">
        <v>584</v>
      </c>
      <c r="CG37" s="80">
        <v>648</v>
      </c>
      <c r="CH37" s="80">
        <v>706</v>
      </c>
      <c r="CI37" s="80">
        <v>483</v>
      </c>
      <c r="CJ37" s="80">
        <v>426</v>
      </c>
      <c r="CK37" s="80">
        <v>416</v>
      </c>
      <c r="CL37" s="80">
        <v>362</v>
      </c>
      <c r="CM37" s="80">
        <v>344</v>
      </c>
      <c r="CN37" s="80">
        <v>299</v>
      </c>
      <c r="CO37" s="80">
        <v>303</v>
      </c>
      <c r="CP37" s="80">
        <v>301</v>
      </c>
      <c r="CQ37" s="80">
        <v>277</v>
      </c>
      <c r="CR37" s="80">
        <v>226</v>
      </c>
      <c r="CS37" s="80">
        <v>206</v>
      </c>
      <c r="CT37" s="80">
        <v>170</v>
      </c>
      <c r="CU37" s="80">
        <v>128</v>
      </c>
      <c r="CV37" s="80">
        <v>139</v>
      </c>
      <c r="CW37" s="80">
        <v>88</v>
      </c>
      <c r="CX37" s="80">
        <v>82</v>
      </c>
      <c r="CY37" s="80">
        <v>236</v>
      </c>
      <c r="CZ37" s="81">
        <v>950</v>
      </c>
      <c r="DA37" s="81">
        <v>1018</v>
      </c>
      <c r="DB37" s="81">
        <v>1031</v>
      </c>
      <c r="DC37" s="81">
        <v>1063</v>
      </c>
      <c r="DD37" s="81">
        <v>1096</v>
      </c>
      <c r="DE37" s="81">
        <v>1078</v>
      </c>
      <c r="DF37" s="81">
        <v>1066</v>
      </c>
      <c r="DG37" s="81">
        <v>1052</v>
      </c>
      <c r="DH37" s="81">
        <v>1148</v>
      </c>
      <c r="DI37" s="81">
        <v>1043</v>
      </c>
      <c r="DJ37" s="81">
        <v>1069</v>
      </c>
      <c r="DK37" s="81">
        <v>1145</v>
      </c>
      <c r="DL37" s="81">
        <v>1123</v>
      </c>
      <c r="DM37" s="81">
        <v>1106</v>
      </c>
      <c r="DN37" s="81">
        <v>1069</v>
      </c>
      <c r="DO37" s="81">
        <v>1014</v>
      </c>
      <c r="DP37" s="81">
        <v>970</v>
      </c>
      <c r="DQ37" s="81">
        <v>1034</v>
      </c>
      <c r="DR37" s="81">
        <v>990</v>
      </c>
      <c r="DS37" s="81">
        <v>788</v>
      </c>
      <c r="DT37" s="81">
        <v>707</v>
      </c>
      <c r="DU37" s="81">
        <v>781</v>
      </c>
      <c r="DV37" s="81">
        <v>875</v>
      </c>
      <c r="DW37" s="81">
        <v>973</v>
      </c>
      <c r="DX37" s="81">
        <v>964</v>
      </c>
      <c r="DY37" s="81">
        <v>947</v>
      </c>
      <c r="DZ37" s="81">
        <v>946</v>
      </c>
      <c r="EA37" s="81">
        <v>867</v>
      </c>
      <c r="EB37" s="81">
        <v>964</v>
      </c>
      <c r="EC37" s="81">
        <v>949</v>
      </c>
      <c r="ED37" s="81">
        <v>954</v>
      </c>
      <c r="EE37" s="81">
        <v>983</v>
      </c>
      <c r="EF37" s="81">
        <v>1107</v>
      </c>
      <c r="EG37" s="81">
        <v>1018</v>
      </c>
      <c r="EH37" s="81">
        <v>1107</v>
      </c>
      <c r="EI37" s="81">
        <v>1074</v>
      </c>
      <c r="EJ37" s="81">
        <v>1089</v>
      </c>
      <c r="EK37" s="81">
        <v>1067</v>
      </c>
      <c r="EL37" s="81">
        <v>1102</v>
      </c>
      <c r="EM37" s="81">
        <v>1037</v>
      </c>
      <c r="EN37" s="81">
        <v>1024</v>
      </c>
      <c r="EO37" s="81">
        <v>980</v>
      </c>
      <c r="EP37" s="81">
        <v>836</v>
      </c>
      <c r="EQ37" s="81">
        <v>818</v>
      </c>
      <c r="ER37" s="81">
        <v>869</v>
      </c>
      <c r="ES37" s="81">
        <v>908</v>
      </c>
      <c r="ET37" s="81">
        <v>933</v>
      </c>
      <c r="EU37" s="81">
        <v>977</v>
      </c>
      <c r="EV37" s="81">
        <v>1023</v>
      </c>
      <c r="EW37" s="81">
        <v>998</v>
      </c>
      <c r="EX37" s="81">
        <v>976</v>
      </c>
      <c r="EY37" s="81">
        <v>1001</v>
      </c>
      <c r="EZ37" s="81">
        <v>1042</v>
      </c>
      <c r="FA37" s="81">
        <v>950</v>
      </c>
      <c r="FB37" s="81">
        <v>974</v>
      </c>
      <c r="FC37" s="81">
        <v>948</v>
      </c>
      <c r="FD37" s="81">
        <v>914</v>
      </c>
      <c r="FE37" s="81">
        <v>960</v>
      </c>
      <c r="FF37" s="81">
        <v>882</v>
      </c>
      <c r="FG37" s="81">
        <v>863</v>
      </c>
      <c r="FH37" s="81">
        <v>851</v>
      </c>
      <c r="FI37" s="81">
        <v>752</v>
      </c>
      <c r="FJ37" s="81">
        <v>765</v>
      </c>
      <c r="FK37" s="81">
        <v>754</v>
      </c>
      <c r="FL37" s="81">
        <v>716</v>
      </c>
      <c r="FM37" s="81">
        <v>770</v>
      </c>
      <c r="FN37" s="81">
        <v>665</v>
      </c>
      <c r="FO37" s="81">
        <v>674</v>
      </c>
      <c r="FP37" s="81">
        <v>656</v>
      </c>
      <c r="FQ37" s="81">
        <v>583</v>
      </c>
      <c r="FR37" s="81">
        <v>656</v>
      </c>
      <c r="FS37" s="81">
        <v>668</v>
      </c>
      <c r="FT37" s="81">
        <v>643</v>
      </c>
      <c r="FU37" s="81">
        <v>699</v>
      </c>
      <c r="FV37" s="81">
        <v>515</v>
      </c>
      <c r="FW37" s="81">
        <v>452</v>
      </c>
      <c r="FX37" s="81">
        <v>458</v>
      </c>
      <c r="FY37" s="81">
        <v>462</v>
      </c>
      <c r="FZ37" s="81">
        <v>389</v>
      </c>
      <c r="GA37" s="81">
        <v>315</v>
      </c>
      <c r="GB37" s="81">
        <v>353</v>
      </c>
      <c r="GC37" s="81">
        <v>370</v>
      </c>
      <c r="GD37" s="81">
        <v>338</v>
      </c>
      <c r="GE37" s="81">
        <v>293</v>
      </c>
      <c r="GF37" s="81">
        <v>277</v>
      </c>
      <c r="GG37" s="81">
        <v>218</v>
      </c>
      <c r="GH37" s="81">
        <v>230</v>
      </c>
      <c r="GI37" s="81">
        <v>199</v>
      </c>
      <c r="GJ37" s="81">
        <v>180</v>
      </c>
      <c r="GK37" s="81">
        <v>145</v>
      </c>
      <c r="GL37" s="82">
        <v>491</v>
      </c>
    </row>
    <row r="38" spans="1:194" s="1" customFormat="1" hidden="1" x14ac:dyDescent="0.2">
      <c r="A38" s="83" t="s">
        <v>220</v>
      </c>
      <c r="B38" s="262" t="s">
        <v>248</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0">
        <v>763</v>
      </c>
      <c r="N38" s="80">
        <v>804</v>
      </c>
      <c r="O38" s="80">
        <v>816</v>
      </c>
      <c r="P38" s="80">
        <v>846</v>
      </c>
      <c r="Q38" s="80">
        <v>845</v>
      </c>
      <c r="R38" s="80">
        <v>861</v>
      </c>
      <c r="S38" s="80">
        <v>861</v>
      </c>
      <c r="T38" s="80">
        <v>919</v>
      </c>
      <c r="U38" s="80">
        <v>886</v>
      </c>
      <c r="V38" s="80">
        <v>768</v>
      </c>
      <c r="W38" s="80">
        <v>852</v>
      </c>
      <c r="X38" s="80">
        <v>867</v>
      </c>
      <c r="Y38" s="80">
        <v>857</v>
      </c>
      <c r="Z38" s="80">
        <v>795</v>
      </c>
      <c r="AA38" s="80">
        <v>770</v>
      </c>
      <c r="AB38" s="80">
        <v>825</v>
      </c>
      <c r="AC38" s="80">
        <v>785</v>
      </c>
      <c r="AD38" s="80">
        <v>793</v>
      </c>
      <c r="AE38" s="80">
        <v>765</v>
      </c>
      <c r="AF38" s="80">
        <v>662</v>
      </c>
      <c r="AG38" s="80">
        <v>648</v>
      </c>
      <c r="AH38" s="80">
        <v>652</v>
      </c>
      <c r="AI38" s="80">
        <v>784</v>
      </c>
      <c r="AJ38" s="80">
        <v>879</v>
      </c>
      <c r="AK38" s="80">
        <v>887</v>
      </c>
      <c r="AL38" s="80">
        <v>774</v>
      </c>
      <c r="AM38" s="80">
        <v>873</v>
      </c>
      <c r="AN38" s="80">
        <v>822</v>
      </c>
      <c r="AO38" s="80">
        <v>842</v>
      </c>
      <c r="AP38" s="80">
        <v>860</v>
      </c>
      <c r="AQ38" s="80">
        <v>878</v>
      </c>
      <c r="AR38" s="80">
        <v>948</v>
      </c>
      <c r="AS38" s="80">
        <v>816</v>
      </c>
      <c r="AT38" s="80">
        <v>834</v>
      </c>
      <c r="AU38" s="80">
        <v>899</v>
      </c>
      <c r="AV38" s="80">
        <v>815</v>
      </c>
      <c r="AW38" s="80">
        <v>760</v>
      </c>
      <c r="AX38" s="80">
        <v>788</v>
      </c>
      <c r="AY38" s="80">
        <v>645</v>
      </c>
      <c r="AZ38" s="80">
        <v>752</v>
      </c>
      <c r="BA38" s="80">
        <v>813</v>
      </c>
      <c r="BB38" s="80">
        <v>758</v>
      </c>
      <c r="BC38" s="80">
        <v>663</v>
      </c>
      <c r="BD38" s="80">
        <v>690</v>
      </c>
      <c r="BE38" s="80">
        <v>725</v>
      </c>
      <c r="BF38" s="80">
        <v>724</v>
      </c>
      <c r="BG38" s="80">
        <v>778</v>
      </c>
      <c r="BH38" s="80">
        <v>929</v>
      </c>
      <c r="BI38" s="80">
        <v>934</v>
      </c>
      <c r="BJ38" s="80">
        <v>975</v>
      </c>
      <c r="BK38" s="80">
        <v>995</v>
      </c>
      <c r="BL38" s="80">
        <v>1026</v>
      </c>
      <c r="BM38" s="80">
        <v>1057</v>
      </c>
      <c r="BN38" s="80">
        <v>1013</v>
      </c>
      <c r="BO38" s="80">
        <v>1116</v>
      </c>
      <c r="BP38" s="80">
        <v>1111</v>
      </c>
      <c r="BQ38" s="80">
        <v>1150</v>
      </c>
      <c r="BR38" s="80">
        <v>1035</v>
      </c>
      <c r="BS38" s="80">
        <v>1097</v>
      </c>
      <c r="BT38" s="80">
        <v>955</v>
      </c>
      <c r="BU38" s="80">
        <v>928</v>
      </c>
      <c r="BV38" s="80">
        <v>947</v>
      </c>
      <c r="BW38" s="80">
        <v>924</v>
      </c>
      <c r="BX38" s="80">
        <v>886</v>
      </c>
      <c r="BY38" s="80">
        <v>862</v>
      </c>
      <c r="BZ38" s="80">
        <v>770</v>
      </c>
      <c r="CA38" s="80">
        <v>739</v>
      </c>
      <c r="CB38" s="80">
        <v>733</v>
      </c>
      <c r="CC38" s="80">
        <v>710</v>
      </c>
      <c r="CD38" s="80">
        <v>771</v>
      </c>
      <c r="CE38" s="80">
        <v>697</v>
      </c>
      <c r="CF38" s="80">
        <v>772</v>
      </c>
      <c r="CG38" s="80">
        <v>776</v>
      </c>
      <c r="CH38" s="80">
        <v>856</v>
      </c>
      <c r="CI38" s="80">
        <v>689</v>
      </c>
      <c r="CJ38" s="80">
        <v>599</v>
      </c>
      <c r="CK38" s="80">
        <v>568</v>
      </c>
      <c r="CL38" s="80">
        <v>552</v>
      </c>
      <c r="CM38" s="80">
        <v>448</v>
      </c>
      <c r="CN38" s="80">
        <v>431</v>
      </c>
      <c r="CO38" s="80">
        <v>407</v>
      </c>
      <c r="CP38" s="80">
        <v>399</v>
      </c>
      <c r="CQ38" s="80">
        <v>370</v>
      </c>
      <c r="CR38" s="80">
        <v>287</v>
      </c>
      <c r="CS38" s="80">
        <v>290</v>
      </c>
      <c r="CT38" s="80">
        <v>242</v>
      </c>
      <c r="CU38" s="80">
        <v>171</v>
      </c>
      <c r="CV38" s="80">
        <v>211</v>
      </c>
      <c r="CW38" s="80">
        <v>156</v>
      </c>
      <c r="CX38" s="80">
        <v>129</v>
      </c>
      <c r="CY38" s="80">
        <v>380</v>
      </c>
      <c r="CZ38" s="81">
        <v>761</v>
      </c>
      <c r="DA38" s="81">
        <v>755</v>
      </c>
      <c r="DB38" s="81">
        <v>786</v>
      </c>
      <c r="DC38" s="81">
        <v>828</v>
      </c>
      <c r="DD38" s="81">
        <v>791</v>
      </c>
      <c r="DE38" s="81">
        <v>837</v>
      </c>
      <c r="DF38" s="81">
        <v>821</v>
      </c>
      <c r="DG38" s="81">
        <v>833</v>
      </c>
      <c r="DH38" s="81">
        <v>904</v>
      </c>
      <c r="DI38" s="81">
        <v>820</v>
      </c>
      <c r="DJ38" s="81">
        <v>751</v>
      </c>
      <c r="DK38" s="81">
        <v>785</v>
      </c>
      <c r="DL38" s="81">
        <v>768</v>
      </c>
      <c r="DM38" s="81">
        <v>755</v>
      </c>
      <c r="DN38" s="81">
        <v>744</v>
      </c>
      <c r="DO38" s="81">
        <v>809</v>
      </c>
      <c r="DP38" s="81">
        <v>747</v>
      </c>
      <c r="DQ38" s="81">
        <v>702</v>
      </c>
      <c r="DR38" s="81">
        <v>724</v>
      </c>
      <c r="DS38" s="81">
        <v>577</v>
      </c>
      <c r="DT38" s="81">
        <v>648</v>
      </c>
      <c r="DU38" s="81">
        <v>661</v>
      </c>
      <c r="DV38" s="81">
        <v>795</v>
      </c>
      <c r="DW38" s="81">
        <v>821</v>
      </c>
      <c r="DX38" s="81">
        <v>868</v>
      </c>
      <c r="DY38" s="81">
        <v>768</v>
      </c>
      <c r="DZ38" s="81">
        <v>860</v>
      </c>
      <c r="EA38" s="81">
        <v>810</v>
      </c>
      <c r="EB38" s="81">
        <v>979</v>
      </c>
      <c r="EC38" s="81">
        <v>889</v>
      </c>
      <c r="ED38" s="81">
        <v>809</v>
      </c>
      <c r="EE38" s="81">
        <v>786</v>
      </c>
      <c r="EF38" s="81">
        <v>858</v>
      </c>
      <c r="EG38" s="81">
        <v>858</v>
      </c>
      <c r="EH38" s="81">
        <v>790</v>
      </c>
      <c r="EI38" s="81">
        <v>778</v>
      </c>
      <c r="EJ38" s="81">
        <v>811</v>
      </c>
      <c r="EK38" s="81">
        <v>767</v>
      </c>
      <c r="EL38" s="81">
        <v>772</v>
      </c>
      <c r="EM38" s="81">
        <v>734</v>
      </c>
      <c r="EN38" s="81">
        <v>767</v>
      </c>
      <c r="EO38" s="81">
        <v>757</v>
      </c>
      <c r="EP38" s="81">
        <v>721</v>
      </c>
      <c r="EQ38" s="81">
        <v>681</v>
      </c>
      <c r="ER38" s="81">
        <v>733</v>
      </c>
      <c r="ES38" s="81">
        <v>729</v>
      </c>
      <c r="ET38" s="81">
        <v>795</v>
      </c>
      <c r="EU38" s="81">
        <v>885</v>
      </c>
      <c r="EV38" s="81">
        <v>937</v>
      </c>
      <c r="EW38" s="81">
        <v>1020</v>
      </c>
      <c r="EX38" s="81">
        <v>953</v>
      </c>
      <c r="EY38" s="81">
        <v>1100</v>
      </c>
      <c r="EZ38" s="81">
        <v>1046</v>
      </c>
      <c r="FA38" s="81">
        <v>1035</v>
      </c>
      <c r="FB38" s="81">
        <v>1099</v>
      </c>
      <c r="FC38" s="81">
        <v>1051</v>
      </c>
      <c r="FD38" s="81">
        <v>1070</v>
      </c>
      <c r="FE38" s="81">
        <v>1059</v>
      </c>
      <c r="FF38" s="81">
        <v>1009</v>
      </c>
      <c r="FG38" s="81">
        <v>962</v>
      </c>
      <c r="FH38" s="81">
        <v>921</v>
      </c>
      <c r="FI38" s="81">
        <v>922</v>
      </c>
      <c r="FJ38" s="81">
        <v>888</v>
      </c>
      <c r="FK38" s="81">
        <v>810</v>
      </c>
      <c r="FL38" s="81">
        <v>851</v>
      </c>
      <c r="FM38" s="81">
        <v>795</v>
      </c>
      <c r="FN38" s="81">
        <v>718</v>
      </c>
      <c r="FO38" s="81">
        <v>710</v>
      </c>
      <c r="FP38" s="81">
        <v>723</v>
      </c>
      <c r="FQ38" s="81">
        <v>736</v>
      </c>
      <c r="FR38" s="81">
        <v>737</v>
      </c>
      <c r="FS38" s="81">
        <v>813</v>
      </c>
      <c r="FT38" s="81">
        <v>827</v>
      </c>
      <c r="FU38" s="81">
        <v>898</v>
      </c>
      <c r="FV38" s="81">
        <v>704</v>
      </c>
      <c r="FW38" s="81">
        <v>672</v>
      </c>
      <c r="FX38" s="81">
        <v>626</v>
      </c>
      <c r="FY38" s="81">
        <v>619</v>
      </c>
      <c r="FZ38" s="81">
        <v>529</v>
      </c>
      <c r="GA38" s="81">
        <v>540</v>
      </c>
      <c r="GB38" s="81">
        <v>505</v>
      </c>
      <c r="GC38" s="81">
        <v>473</v>
      </c>
      <c r="GD38" s="81">
        <v>440</v>
      </c>
      <c r="GE38" s="81">
        <v>485</v>
      </c>
      <c r="GF38" s="81">
        <v>412</v>
      </c>
      <c r="GG38" s="81">
        <v>346</v>
      </c>
      <c r="GH38" s="81">
        <v>330</v>
      </c>
      <c r="GI38" s="81">
        <v>249</v>
      </c>
      <c r="GJ38" s="81">
        <v>282</v>
      </c>
      <c r="GK38" s="81">
        <v>198</v>
      </c>
      <c r="GL38" s="82">
        <v>913</v>
      </c>
    </row>
    <row r="39" spans="1:194" s="1" customFormat="1" hidden="1" x14ac:dyDescent="0.2">
      <c r="A39" s="83" t="s">
        <v>220</v>
      </c>
      <c r="B39" s="262" t="s">
        <v>249</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0">
        <v>1923</v>
      </c>
      <c r="N39" s="80">
        <v>1905</v>
      </c>
      <c r="O39" s="80">
        <v>1836</v>
      </c>
      <c r="P39" s="80">
        <v>1975</v>
      </c>
      <c r="Q39" s="80">
        <v>1959</v>
      </c>
      <c r="R39" s="80">
        <v>2062</v>
      </c>
      <c r="S39" s="80">
        <v>2084</v>
      </c>
      <c r="T39" s="80">
        <v>2022</v>
      </c>
      <c r="U39" s="80">
        <v>2137</v>
      </c>
      <c r="V39" s="80">
        <v>2000</v>
      </c>
      <c r="W39" s="80">
        <v>2037</v>
      </c>
      <c r="X39" s="80">
        <v>1984</v>
      </c>
      <c r="Y39" s="80">
        <v>2042</v>
      </c>
      <c r="Z39" s="80">
        <v>1992</v>
      </c>
      <c r="AA39" s="80">
        <v>1998</v>
      </c>
      <c r="AB39" s="80">
        <v>1746</v>
      </c>
      <c r="AC39" s="80">
        <v>1907</v>
      </c>
      <c r="AD39" s="80">
        <v>1761</v>
      </c>
      <c r="AE39" s="80">
        <v>1733</v>
      </c>
      <c r="AF39" s="80">
        <v>1530</v>
      </c>
      <c r="AG39" s="80">
        <v>1634</v>
      </c>
      <c r="AH39" s="80">
        <v>1685</v>
      </c>
      <c r="AI39" s="80">
        <v>1781</v>
      </c>
      <c r="AJ39" s="80">
        <v>1821</v>
      </c>
      <c r="AK39" s="80">
        <v>1807</v>
      </c>
      <c r="AL39" s="80">
        <v>1777</v>
      </c>
      <c r="AM39" s="80">
        <v>1922</v>
      </c>
      <c r="AN39" s="80">
        <v>1884</v>
      </c>
      <c r="AO39" s="80">
        <v>1906</v>
      </c>
      <c r="AP39" s="80">
        <v>1947</v>
      </c>
      <c r="AQ39" s="80">
        <v>1949</v>
      </c>
      <c r="AR39" s="80">
        <v>1863</v>
      </c>
      <c r="AS39" s="80">
        <v>2002</v>
      </c>
      <c r="AT39" s="80">
        <v>1881</v>
      </c>
      <c r="AU39" s="80">
        <v>1953</v>
      </c>
      <c r="AV39" s="80">
        <v>2011</v>
      </c>
      <c r="AW39" s="80">
        <v>1905</v>
      </c>
      <c r="AX39" s="80">
        <v>1840</v>
      </c>
      <c r="AY39" s="80">
        <v>1804</v>
      </c>
      <c r="AZ39" s="80">
        <v>1763</v>
      </c>
      <c r="BA39" s="80">
        <v>1822</v>
      </c>
      <c r="BB39" s="80">
        <v>1693</v>
      </c>
      <c r="BC39" s="80">
        <v>1652</v>
      </c>
      <c r="BD39" s="80">
        <v>1642</v>
      </c>
      <c r="BE39" s="80">
        <v>1718</v>
      </c>
      <c r="BF39" s="80">
        <v>1706</v>
      </c>
      <c r="BG39" s="80">
        <v>1751</v>
      </c>
      <c r="BH39" s="80">
        <v>1818</v>
      </c>
      <c r="BI39" s="80">
        <v>1885</v>
      </c>
      <c r="BJ39" s="80">
        <v>2042</v>
      </c>
      <c r="BK39" s="80">
        <v>1987</v>
      </c>
      <c r="BL39" s="80">
        <v>2039</v>
      </c>
      <c r="BM39" s="80">
        <v>1916</v>
      </c>
      <c r="BN39" s="80">
        <v>2003</v>
      </c>
      <c r="BO39" s="80">
        <v>2046</v>
      </c>
      <c r="BP39" s="80">
        <v>1899</v>
      </c>
      <c r="BQ39" s="80">
        <v>1811</v>
      </c>
      <c r="BR39" s="80">
        <v>1818</v>
      </c>
      <c r="BS39" s="80">
        <v>1784</v>
      </c>
      <c r="BT39" s="80">
        <v>1730</v>
      </c>
      <c r="BU39" s="80">
        <v>1662</v>
      </c>
      <c r="BV39" s="80">
        <v>1529</v>
      </c>
      <c r="BW39" s="80">
        <v>1581</v>
      </c>
      <c r="BX39" s="80">
        <v>1449</v>
      </c>
      <c r="BY39" s="80">
        <v>1365</v>
      </c>
      <c r="BZ39" s="80">
        <v>1353</v>
      </c>
      <c r="CA39" s="80">
        <v>1361</v>
      </c>
      <c r="CB39" s="80">
        <v>1362</v>
      </c>
      <c r="CC39" s="80">
        <v>1310</v>
      </c>
      <c r="CD39" s="80">
        <v>1260</v>
      </c>
      <c r="CE39" s="80">
        <v>1372</v>
      </c>
      <c r="CF39" s="80">
        <v>1353</v>
      </c>
      <c r="CG39" s="80">
        <v>1424</v>
      </c>
      <c r="CH39" s="80">
        <v>1459</v>
      </c>
      <c r="CI39" s="80">
        <v>1100</v>
      </c>
      <c r="CJ39" s="80">
        <v>1046</v>
      </c>
      <c r="CK39" s="80">
        <v>1063</v>
      </c>
      <c r="CL39" s="80">
        <v>963</v>
      </c>
      <c r="CM39" s="80">
        <v>767</v>
      </c>
      <c r="CN39" s="80">
        <v>776</v>
      </c>
      <c r="CO39" s="80">
        <v>653</v>
      </c>
      <c r="CP39" s="80">
        <v>706</v>
      </c>
      <c r="CQ39" s="80">
        <v>659</v>
      </c>
      <c r="CR39" s="80">
        <v>541</v>
      </c>
      <c r="CS39" s="80">
        <v>436</v>
      </c>
      <c r="CT39" s="80">
        <v>397</v>
      </c>
      <c r="CU39" s="80">
        <v>335</v>
      </c>
      <c r="CV39" s="80">
        <v>313</v>
      </c>
      <c r="CW39" s="80">
        <v>259</v>
      </c>
      <c r="CX39" s="80">
        <v>208</v>
      </c>
      <c r="CY39" s="80">
        <v>751</v>
      </c>
      <c r="CZ39" s="81">
        <v>1825</v>
      </c>
      <c r="DA39" s="81">
        <v>1777</v>
      </c>
      <c r="DB39" s="81">
        <v>1849</v>
      </c>
      <c r="DC39" s="81">
        <v>1936</v>
      </c>
      <c r="DD39" s="81">
        <v>1999</v>
      </c>
      <c r="DE39" s="81">
        <v>1928</v>
      </c>
      <c r="DF39" s="81">
        <v>1886</v>
      </c>
      <c r="DG39" s="81">
        <v>1959</v>
      </c>
      <c r="DH39" s="81">
        <v>2062</v>
      </c>
      <c r="DI39" s="81">
        <v>2046</v>
      </c>
      <c r="DJ39" s="81">
        <v>2001</v>
      </c>
      <c r="DK39" s="81">
        <v>1862</v>
      </c>
      <c r="DL39" s="81">
        <v>1844</v>
      </c>
      <c r="DM39" s="81">
        <v>1825</v>
      </c>
      <c r="DN39" s="81">
        <v>1758</v>
      </c>
      <c r="DO39" s="81">
        <v>1756</v>
      </c>
      <c r="DP39" s="81">
        <v>1653</v>
      </c>
      <c r="DQ39" s="81">
        <v>1595</v>
      </c>
      <c r="DR39" s="81">
        <v>1531</v>
      </c>
      <c r="DS39" s="81">
        <v>1263</v>
      </c>
      <c r="DT39" s="81">
        <v>1261</v>
      </c>
      <c r="DU39" s="81">
        <v>1507</v>
      </c>
      <c r="DV39" s="81">
        <v>1486</v>
      </c>
      <c r="DW39" s="81">
        <v>1667</v>
      </c>
      <c r="DX39" s="81">
        <v>1641</v>
      </c>
      <c r="DY39" s="81">
        <v>1826</v>
      </c>
      <c r="DZ39" s="81">
        <v>1685</v>
      </c>
      <c r="EA39" s="81">
        <v>1755</v>
      </c>
      <c r="EB39" s="81">
        <v>1815</v>
      </c>
      <c r="EC39" s="81">
        <v>1897</v>
      </c>
      <c r="ED39" s="81">
        <v>1895</v>
      </c>
      <c r="EE39" s="81">
        <v>1963</v>
      </c>
      <c r="EF39" s="81">
        <v>2145</v>
      </c>
      <c r="EG39" s="81">
        <v>2083</v>
      </c>
      <c r="EH39" s="81">
        <v>1965</v>
      </c>
      <c r="EI39" s="81">
        <v>1937</v>
      </c>
      <c r="EJ39" s="81">
        <v>1961</v>
      </c>
      <c r="EK39" s="81">
        <v>1853</v>
      </c>
      <c r="EL39" s="81">
        <v>1887</v>
      </c>
      <c r="EM39" s="81">
        <v>1822</v>
      </c>
      <c r="EN39" s="81">
        <v>1852</v>
      </c>
      <c r="EO39" s="81">
        <v>1673</v>
      </c>
      <c r="EP39" s="81">
        <v>1724</v>
      </c>
      <c r="EQ39" s="81">
        <v>1608</v>
      </c>
      <c r="ER39" s="81">
        <v>1725</v>
      </c>
      <c r="ES39" s="81">
        <v>1738</v>
      </c>
      <c r="ET39" s="81">
        <v>1772</v>
      </c>
      <c r="EU39" s="81">
        <v>1870</v>
      </c>
      <c r="EV39" s="81">
        <v>2006</v>
      </c>
      <c r="EW39" s="81">
        <v>2094</v>
      </c>
      <c r="EX39" s="81">
        <v>2018</v>
      </c>
      <c r="EY39" s="81">
        <v>1995</v>
      </c>
      <c r="EZ39" s="81">
        <v>2014</v>
      </c>
      <c r="FA39" s="81">
        <v>2013</v>
      </c>
      <c r="FB39" s="81">
        <v>2015</v>
      </c>
      <c r="FC39" s="81">
        <v>2018</v>
      </c>
      <c r="FD39" s="81">
        <v>2043</v>
      </c>
      <c r="FE39" s="81">
        <v>1807</v>
      </c>
      <c r="FF39" s="81">
        <v>1889</v>
      </c>
      <c r="FG39" s="81">
        <v>1768</v>
      </c>
      <c r="FH39" s="81">
        <v>1701</v>
      </c>
      <c r="FI39" s="81">
        <v>1709</v>
      </c>
      <c r="FJ39" s="81">
        <v>1573</v>
      </c>
      <c r="FK39" s="81">
        <v>1607</v>
      </c>
      <c r="FL39" s="81">
        <v>1438</v>
      </c>
      <c r="FM39" s="81">
        <v>1426</v>
      </c>
      <c r="FN39" s="81">
        <v>1429</v>
      </c>
      <c r="FO39" s="81">
        <v>1383</v>
      </c>
      <c r="FP39" s="81">
        <v>1342</v>
      </c>
      <c r="FQ39" s="81">
        <v>1332</v>
      </c>
      <c r="FR39" s="81">
        <v>1407</v>
      </c>
      <c r="FS39" s="81">
        <v>1448</v>
      </c>
      <c r="FT39" s="81">
        <v>1549</v>
      </c>
      <c r="FU39" s="81">
        <v>1686</v>
      </c>
      <c r="FV39" s="81">
        <v>1229</v>
      </c>
      <c r="FW39" s="81">
        <v>1148</v>
      </c>
      <c r="FX39" s="81">
        <v>1167</v>
      </c>
      <c r="FY39" s="81">
        <v>1093</v>
      </c>
      <c r="FZ39" s="81">
        <v>968</v>
      </c>
      <c r="GA39" s="81">
        <v>894</v>
      </c>
      <c r="GB39" s="81">
        <v>848</v>
      </c>
      <c r="GC39" s="81">
        <v>869</v>
      </c>
      <c r="GD39" s="81">
        <v>736</v>
      </c>
      <c r="GE39" s="81">
        <v>686</v>
      </c>
      <c r="GF39" s="81">
        <v>631</v>
      </c>
      <c r="GG39" s="81">
        <v>570</v>
      </c>
      <c r="GH39" s="81">
        <v>457</v>
      </c>
      <c r="GI39" s="81">
        <v>445</v>
      </c>
      <c r="GJ39" s="81">
        <v>412</v>
      </c>
      <c r="GK39" s="81">
        <v>355</v>
      </c>
      <c r="GL39" s="82">
        <v>1319</v>
      </c>
    </row>
    <row r="40" spans="1:194" s="1" customFormat="1" hidden="1" x14ac:dyDescent="0.2">
      <c r="A40" s="83" t="s">
        <v>220</v>
      </c>
      <c r="B40" s="262" t="s">
        <v>250</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0">
        <v>3729</v>
      </c>
      <c r="N40" s="80">
        <v>4004</v>
      </c>
      <c r="O40" s="80">
        <v>3910</v>
      </c>
      <c r="P40" s="80">
        <v>4205</v>
      </c>
      <c r="Q40" s="80">
        <v>4354</v>
      </c>
      <c r="R40" s="80">
        <v>4345</v>
      </c>
      <c r="S40" s="80">
        <v>4391</v>
      </c>
      <c r="T40" s="80">
        <v>4376</v>
      </c>
      <c r="U40" s="80">
        <v>4622</v>
      </c>
      <c r="V40" s="80">
        <v>4402</v>
      </c>
      <c r="W40" s="80">
        <v>4600</v>
      </c>
      <c r="X40" s="80">
        <v>4426</v>
      </c>
      <c r="Y40" s="80">
        <v>4633</v>
      </c>
      <c r="Z40" s="80">
        <v>4207</v>
      </c>
      <c r="AA40" s="80">
        <v>4334</v>
      </c>
      <c r="AB40" s="80">
        <v>4136</v>
      </c>
      <c r="AC40" s="80">
        <v>4076</v>
      </c>
      <c r="AD40" s="80">
        <v>4150</v>
      </c>
      <c r="AE40" s="80">
        <v>3989</v>
      </c>
      <c r="AF40" s="80">
        <v>3461</v>
      </c>
      <c r="AG40" s="80">
        <v>3490</v>
      </c>
      <c r="AH40" s="80">
        <v>3604</v>
      </c>
      <c r="AI40" s="80">
        <v>3657</v>
      </c>
      <c r="AJ40" s="80">
        <v>3510</v>
      </c>
      <c r="AK40" s="80">
        <v>3646</v>
      </c>
      <c r="AL40" s="80">
        <v>3622</v>
      </c>
      <c r="AM40" s="80">
        <v>3591</v>
      </c>
      <c r="AN40" s="80">
        <v>3518</v>
      </c>
      <c r="AO40" s="80">
        <v>3629</v>
      </c>
      <c r="AP40" s="80">
        <v>3701</v>
      </c>
      <c r="AQ40" s="80">
        <v>3873</v>
      </c>
      <c r="AR40" s="80">
        <v>3725</v>
      </c>
      <c r="AS40" s="80">
        <v>3689</v>
      </c>
      <c r="AT40" s="80">
        <v>3574</v>
      </c>
      <c r="AU40" s="80">
        <v>3821</v>
      </c>
      <c r="AV40" s="80">
        <v>3899</v>
      </c>
      <c r="AW40" s="80">
        <v>3905</v>
      </c>
      <c r="AX40" s="80">
        <v>3923</v>
      </c>
      <c r="AY40" s="80">
        <v>3726</v>
      </c>
      <c r="AZ40" s="80">
        <v>4005</v>
      </c>
      <c r="BA40" s="80">
        <v>4195</v>
      </c>
      <c r="BB40" s="80">
        <v>3986</v>
      </c>
      <c r="BC40" s="80">
        <v>3611</v>
      </c>
      <c r="BD40" s="80">
        <v>3506</v>
      </c>
      <c r="BE40" s="80">
        <v>3584</v>
      </c>
      <c r="BF40" s="80">
        <v>3860</v>
      </c>
      <c r="BG40" s="80">
        <v>3721</v>
      </c>
      <c r="BH40" s="80">
        <v>3756</v>
      </c>
      <c r="BI40" s="80">
        <v>4040</v>
      </c>
      <c r="BJ40" s="80">
        <v>3934</v>
      </c>
      <c r="BK40" s="80">
        <v>3830</v>
      </c>
      <c r="BL40" s="80">
        <v>3722</v>
      </c>
      <c r="BM40" s="80">
        <v>3735</v>
      </c>
      <c r="BN40" s="80">
        <v>3846</v>
      </c>
      <c r="BO40" s="80">
        <v>3544</v>
      </c>
      <c r="BP40" s="80">
        <v>3623</v>
      </c>
      <c r="BQ40" s="80">
        <v>3578</v>
      </c>
      <c r="BR40" s="80">
        <v>3470</v>
      </c>
      <c r="BS40" s="80">
        <v>3554</v>
      </c>
      <c r="BT40" s="80">
        <v>3293</v>
      </c>
      <c r="BU40" s="80">
        <v>3341</v>
      </c>
      <c r="BV40" s="80">
        <v>3160</v>
      </c>
      <c r="BW40" s="80">
        <v>3127</v>
      </c>
      <c r="BX40" s="80">
        <v>3122</v>
      </c>
      <c r="BY40" s="80">
        <v>3019</v>
      </c>
      <c r="BZ40" s="80">
        <v>2870</v>
      </c>
      <c r="CA40" s="80">
        <v>2876</v>
      </c>
      <c r="CB40" s="80">
        <v>2805</v>
      </c>
      <c r="CC40" s="80">
        <v>2634</v>
      </c>
      <c r="CD40" s="80">
        <v>2487</v>
      </c>
      <c r="CE40" s="80">
        <v>2444</v>
      </c>
      <c r="CF40" s="80">
        <v>2469</v>
      </c>
      <c r="CG40" s="80">
        <v>2588</v>
      </c>
      <c r="CH40" s="80">
        <v>2743</v>
      </c>
      <c r="CI40" s="80">
        <v>1878</v>
      </c>
      <c r="CJ40" s="80">
        <v>1713</v>
      </c>
      <c r="CK40" s="80">
        <v>1787</v>
      </c>
      <c r="CL40" s="80">
        <v>1598</v>
      </c>
      <c r="CM40" s="80">
        <v>1361</v>
      </c>
      <c r="CN40" s="80">
        <v>1254</v>
      </c>
      <c r="CO40" s="80">
        <v>1305</v>
      </c>
      <c r="CP40" s="80">
        <v>1189</v>
      </c>
      <c r="CQ40" s="80">
        <v>1138</v>
      </c>
      <c r="CR40" s="80">
        <v>1069</v>
      </c>
      <c r="CS40" s="80">
        <v>897</v>
      </c>
      <c r="CT40" s="80">
        <v>843</v>
      </c>
      <c r="CU40" s="80">
        <v>739</v>
      </c>
      <c r="CV40" s="80">
        <v>573</v>
      </c>
      <c r="CW40" s="80">
        <v>520</v>
      </c>
      <c r="CX40" s="80">
        <v>464</v>
      </c>
      <c r="CY40" s="80">
        <v>1421</v>
      </c>
      <c r="CZ40" s="81">
        <v>3635</v>
      </c>
      <c r="DA40" s="81">
        <v>3945</v>
      </c>
      <c r="DB40" s="81">
        <v>3966</v>
      </c>
      <c r="DC40" s="81">
        <v>4113</v>
      </c>
      <c r="DD40" s="81">
        <v>4263</v>
      </c>
      <c r="DE40" s="81">
        <v>4304</v>
      </c>
      <c r="DF40" s="81">
        <v>4303</v>
      </c>
      <c r="DG40" s="81">
        <v>4351</v>
      </c>
      <c r="DH40" s="81">
        <v>4382</v>
      </c>
      <c r="DI40" s="81">
        <v>4260</v>
      </c>
      <c r="DJ40" s="81">
        <v>4247</v>
      </c>
      <c r="DK40" s="81">
        <v>4312</v>
      </c>
      <c r="DL40" s="81">
        <v>4312</v>
      </c>
      <c r="DM40" s="81">
        <v>4298</v>
      </c>
      <c r="DN40" s="81">
        <v>4369</v>
      </c>
      <c r="DO40" s="81">
        <v>4045</v>
      </c>
      <c r="DP40" s="81">
        <v>3876</v>
      </c>
      <c r="DQ40" s="81">
        <v>3877</v>
      </c>
      <c r="DR40" s="81">
        <v>3688</v>
      </c>
      <c r="DS40" s="81">
        <v>3274</v>
      </c>
      <c r="DT40" s="81">
        <v>3211</v>
      </c>
      <c r="DU40" s="81">
        <v>3302</v>
      </c>
      <c r="DV40" s="81">
        <v>3253</v>
      </c>
      <c r="DW40" s="81">
        <v>3547</v>
      </c>
      <c r="DX40" s="81">
        <v>3562</v>
      </c>
      <c r="DY40" s="81">
        <v>3324</v>
      </c>
      <c r="DZ40" s="81">
        <v>3396</v>
      </c>
      <c r="EA40" s="81">
        <v>3501</v>
      </c>
      <c r="EB40" s="81">
        <v>3573</v>
      </c>
      <c r="EC40" s="81">
        <v>3609</v>
      </c>
      <c r="ED40" s="81">
        <v>3617</v>
      </c>
      <c r="EE40" s="81">
        <v>4030</v>
      </c>
      <c r="EF40" s="81">
        <v>4109</v>
      </c>
      <c r="EG40" s="81">
        <v>4190</v>
      </c>
      <c r="EH40" s="81">
        <v>3931</v>
      </c>
      <c r="EI40" s="81">
        <v>4121</v>
      </c>
      <c r="EJ40" s="81">
        <v>4186</v>
      </c>
      <c r="EK40" s="81">
        <v>4118</v>
      </c>
      <c r="EL40" s="81">
        <v>4192</v>
      </c>
      <c r="EM40" s="81">
        <v>4194</v>
      </c>
      <c r="EN40" s="81">
        <v>3970</v>
      </c>
      <c r="EO40" s="81">
        <v>3803</v>
      </c>
      <c r="EP40" s="81">
        <v>3501</v>
      </c>
      <c r="EQ40" s="81">
        <v>3497</v>
      </c>
      <c r="ER40" s="81">
        <v>3457</v>
      </c>
      <c r="ES40" s="81">
        <v>3478</v>
      </c>
      <c r="ET40" s="81">
        <v>3669</v>
      </c>
      <c r="EU40" s="81">
        <v>3740</v>
      </c>
      <c r="EV40" s="81">
        <v>3916</v>
      </c>
      <c r="EW40" s="81">
        <v>4107</v>
      </c>
      <c r="EX40" s="81">
        <v>3995</v>
      </c>
      <c r="EY40" s="81">
        <v>3876</v>
      </c>
      <c r="EZ40" s="81">
        <v>3784</v>
      </c>
      <c r="FA40" s="81">
        <v>3832</v>
      </c>
      <c r="FB40" s="81">
        <v>3851</v>
      </c>
      <c r="FC40" s="81">
        <v>3830</v>
      </c>
      <c r="FD40" s="81">
        <v>3877</v>
      </c>
      <c r="FE40" s="81">
        <v>3728</v>
      </c>
      <c r="FF40" s="81">
        <v>3658</v>
      </c>
      <c r="FG40" s="81">
        <v>3673</v>
      </c>
      <c r="FH40" s="81">
        <v>3645</v>
      </c>
      <c r="FI40" s="81">
        <v>3377</v>
      </c>
      <c r="FJ40" s="81">
        <v>3503</v>
      </c>
      <c r="FK40" s="81">
        <v>3187</v>
      </c>
      <c r="FL40" s="81">
        <v>3077</v>
      </c>
      <c r="FM40" s="81">
        <v>2884</v>
      </c>
      <c r="FN40" s="81">
        <v>2879</v>
      </c>
      <c r="FO40" s="81">
        <v>2815</v>
      </c>
      <c r="FP40" s="81">
        <v>2707</v>
      </c>
      <c r="FQ40" s="81">
        <v>2591</v>
      </c>
      <c r="FR40" s="81">
        <v>2737</v>
      </c>
      <c r="FS40" s="81">
        <v>2654</v>
      </c>
      <c r="FT40" s="81">
        <v>2880</v>
      </c>
      <c r="FU40" s="81">
        <v>2985</v>
      </c>
      <c r="FV40" s="81">
        <v>2099</v>
      </c>
      <c r="FW40" s="81">
        <v>2046</v>
      </c>
      <c r="FX40" s="81">
        <v>2014</v>
      </c>
      <c r="FY40" s="81">
        <v>1886</v>
      </c>
      <c r="FZ40" s="81">
        <v>1709</v>
      </c>
      <c r="GA40" s="81">
        <v>1556</v>
      </c>
      <c r="GB40" s="81">
        <v>1650</v>
      </c>
      <c r="GC40" s="81">
        <v>1527</v>
      </c>
      <c r="GD40" s="81">
        <v>1567</v>
      </c>
      <c r="GE40" s="81">
        <v>1516</v>
      </c>
      <c r="GF40" s="81">
        <v>1360</v>
      </c>
      <c r="GG40" s="81">
        <v>1262</v>
      </c>
      <c r="GH40" s="81">
        <v>1164</v>
      </c>
      <c r="GI40" s="81">
        <v>983</v>
      </c>
      <c r="GJ40" s="81">
        <v>925</v>
      </c>
      <c r="GK40" s="81">
        <v>791</v>
      </c>
      <c r="GL40" s="82">
        <v>3126</v>
      </c>
    </row>
    <row r="41" spans="1:194" s="1" customFormat="1" hidden="1" x14ac:dyDescent="0.2">
      <c r="A41" s="83" t="s">
        <v>220</v>
      </c>
      <c r="B41" s="262" t="s">
        <v>251</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0">
        <v>1230</v>
      </c>
      <c r="N41" s="80">
        <v>1246</v>
      </c>
      <c r="O41" s="80">
        <v>1382</v>
      </c>
      <c r="P41" s="80">
        <v>1438</v>
      </c>
      <c r="Q41" s="80">
        <v>1419</v>
      </c>
      <c r="R41" s="80">
        <v>1476</v>
      </c>
      <c r="S41" s="80">
        <v>1426</v>
      </c>
      <c r="T41" s="80">
        <v>1489</v>
      </c>
      <c r="U41" s="80">
        <v>1568</v>
      </c>
      <c r="V41" s="80">
        <v>1465</v>
      </c>
      <c r="W41" s="80">
        <v>1449</v>
      </c>
      <c r="X41" s="80">
        <v>1452</v>
      </c>
      <c r="Y41" s="80">
        <v>1553</v>
      </c>
      <c r="Z41" s="80">
        <v>1518</v>
      </c>
      <c r="AA41" s="80">
        <v>1492</v>
      </c>
      <c r="AB41" s="80">
        <v>1371</v>
      </c>
      <c r="AC41" s="80">
        <v>1449</v>
      </c>
      <c r="AD41" s="80">
        <v>1433</v>
      </c>
      <c r="AE41" s="80">
        <v>1643</v>
      </c>
      <c r="AF41" s="80">
        <v>2720</v>
      </c>
      <c r="AG41" s="80">
        <v>3263</v>
      </c>
      <c r="AH41" s="80">
        <v>3608</v>
      </c>
      <c r="AI41" s="80">
        <v>3528</v>
      </c>
      <c r="AJ41" s="80">
        <v>3330</v>
      </c>
      <c r="AK41" s="80">
        <v>3224</v>
      </c>
      <c r="AL41" s="80">
        <v>2822</v>
      </c>
      <c r="AM41" s="80">
        <v>2918</v>
      </c>
      <c r="AN41" s="80">
        <v>2901</v>
      </c>
      <c r="AO41" s="80">
        <v>3065</v>
      </c>
      <c r="AP41" s="80">
        <v>3225</v>
      </c>
      <c r="AQ41" s="80">
        <v>2855</v>
      </c>
      <c r="AR41" s="80">
        <v>2544</v>
      </c>
      <c r="AS41" s="80">
        <v>2294</v>
      </c>
      <c r="AT41" s="80">
        <v>2118</v>
      </c>
      <c r="AU41" s="80">
        <v>2201</v>
      </c>
      <c r="AV41" s="80">
        <v>2126</v>
      </c>
      <c r="AW41" s="80">
        <v>1964</v>
      </c>
      <c r="AX41" s="80">
        <v>2115</v>
      </c>
      <c r="AY41" s="80">
        <v>2186</v>
      </c>
      <c r="AZ41" s="80">
        <v>2060</v>
      </c>
      <c r="BA41" s="80">
        <v>1851</v>
      </c>
      <c r="BB41" s="80">
        <v>1956</v>
      </c>
      <c r="BC41" s="80">
        <v>1868</v>
      </c>
      <c r="BD41" s="80">
        <v>1727</v>
      </c>
      <c r="BE41" s="80">
        <v>1846</v>
      </c>
      <c r="BF41" s="80">
        <v>1752</v>
      </c>
      <c r="BG41" s="80">
        <v>1930</v>
      </c>
      <c r="BH41" s="80">
        <v>2044</v>
      </c>
      <c r="BI41" s="80">
        <v>2083</v>
      </c>
      <c r="BJ41" s="80">
        <v>2091</v>
      </c>
      <c r="BK41" s="80">
        <v>1897</v>
      </c>
      <c r="BL41" s="80">
        <v>2047</v>
      </c>
      <c r="BM41" s="80">
        <v>2028</v>
      </c>
      <c r="BN41" s="80">
        <v>2045</v>
      </c>
      <c r="BO41" s="80">
        <v>2085</v>
      </c>
      <c r="BP41" s="80">
        <v>2015</v>
      </c>
      <c r="BQ41" s="80">
        <v>1908</v>
      </c>
      <c r="BR41" s="80">
        <v>1732</v>
      </c>
      <c r="BS41" s="80">
        <v>1648</v>
      </c>
      <c r="BT41" s="80">
        <v>1478</v>
      </c>
      <c r="BU41" s="80">
        <v>1481</v>
      </c>
      <c r="BV41" s="80">
        <v>1325</v>
      </c>
      <c r="BW41" s="80">
        <v>1287</v>
      </c>
      <c r="BX41" s="80">
        <v>1225</v>
      </c>
      <c r="BY41" s="80">
        <v>1141</v>
      </c>
      <c r="BZ41" s="80">
        <v>1109</v>
      </c>
      <c r="CA41" s="80">
        <v>1099</v>
      </c>
      <c r="CB41" s="80">
        <v>993</v>
      </c>
      <c r="CC41" s="80">
        <v>929</v>
      </c>
      <c r="CD41" s="80">
        <v>998</v>
      </c>
      <c r="CE41" s="80">
        <v>968</v>
      </c>
      <c r="CF41" s="80">
        <v>1020</v>
      </c>
      <c r="CG41" s="80">
        <v>1135</v>
      </c>
      <c r="CH41" s="80">
        <v>1160</v>
      </c>
      <c r="CI41" s="80">
        <v>851</v>
      </c>
      <c r="CJ41" s="80">
        <v>685</v>
      </c>
      <c r="CK41" s="80">
        <v>815</v>
      </c>
      <c r="CL41" s="80">
        <v>683</v>
      </c>
      <c r="CM41" s="80">
        <v>557</v>
      </c>
      <c r="CN41" s="80">
        <v>488</v>
      </c>
      <c r="CO41" s="80">
        <v>536</v>
      </c>
      <c r="CP41" s="80">
        <v>471</v>
      </c>
      <c r="CQ41" s="80">
        <v>496</v>
      </c>
      <c r="CR41" s="80">
        <v>450</v>
      </c>
      <c r="CS41" s="80">
        <v>365</v>
      </c>
      <c r="CT41" s="80">
        <v>339</v>
      </c>
      <c r="CU41" s="80">
        <v>340</v>
      </c>
      <c r="CV41" s="80">
        <v>315</v>
      </c>
      <c r="CW41" s="80">
        <v>238</v>
      </c>
      <c r="CX41" s="80">
        <v>229</v>
      </c>
      <c r="CY41" s="80">
        <v>821</v>
      </c>
      <c r="CZ41" s="81">
        <v>1175</v>
      </c>
      <c r="DA41" s="81">
        <v>1196</v>
      </c>
      <c r="DB41" s="81">
        <v>1228</v>
      </c>
      <c r="DC41" s="81">
        <v>1282</v>
      </c>
      <c r="DD41" s="81">
        <v>1391</v>
      </c>
      <c r="DE41" s="81">
        <v>1385</v>
      </c>
      <c r="DF41" s="81">
        <v>1322</v>
      </c>
      <c r="DG41" s="81">
        <v>1437</v>
      </c>
      <c r="DH41" s="81">
        <v>1514</v>
      </c>
      <c r="DI41" s="81">
        <v>1364</v>
      </c>
      <c r="DJ41" s="81">
        <v>1489</v>
      </c>
      <c r="DK41" s="81">
        <v>1396</v>
      </c>
      <c r="DL41" s="81">
        <v>1430</v>
      </c>
      <c r="DM41" s="81">
        <v>1427</v>
      </c>
      <c r="DN41" s="81">
        <v>1404</v>
      </c>
      <c r="DO41" s="81">
        <v>1336</v>
      </c>
      <c r="DP41" s="81">
        <v>1338</v>
      </c>
      <c r="DQ41" s="81">
        <v>1362</v>
      </c>
      <c r="DR41" s="81">
        <v>1624</v>
      </c>
      <c r="DS41" s="81">
        <v>3222</v>
      </c>
      <c r="DT41" s="81">
        <v>3807</v>
      </c>
      <c r="DU41" s="81">
        <v>4071</v>
      </c>
      <c r="DV41" s="81">
        <v>3781</v>
      </c>
      <c r="DW41" s="81">
        <v>3265</v>
      </c>
      <c r="DX41" s="81">
        <v>2690</v>
      </c>
      <c r="DY41" s="81">
        <v>2481</v>
      </c>
      <c r="DZ41" s="81">
        <v>2650</v>
      </c>
      <c r="EA41" s="81">
        <v>2590</v>
      </c>
      <c r="EB41" s="81">
        <v>2666</v>
      </c>
      <c r="EC41" s="81">
        <v>2852</v>
      </c>
      <c r="ED41" s="81">
        <v>2498</v>
      </c>
      <c r="EE41" s="81">
        <v>2141</v>
      </c>
      <c r="EF41" s="81">
        <v>1994</v>
      </c>
      <c r="EG41" s="81">
        <v>1949</v>
      </c>
      <c r="EH41" s="81">
        <v>1964</v>
      </c>
      <c r="EI41" s="81">
        <v>1764</v>
      </c>
      <c r="EJ41" s="81">
        <v>1812</v>
      </c>
      <c r="EK41" s="81">
        <v>1848</v>
      </c>
      <c r="EL41" s="81">
        <v>1774</v>
      </c>
      <c r="EM41" s="81">
        <v>1915</v>
      </c>
      <c r="EN41" s="81">
        <v>1940</v>
      </c>
      <c r="EO41" s="81">
        <v>1819</v>
      </c>
      <c r="EP41" s="81">
        <v>1779</v>
      </c>
      <c r="EQ41" s="81">
        <v>1810</v>
      </c>
      <c r="ER41" s="81">
        <v>1829</v>
      </c>
      <c r="ES41" s="81">
        <v>1714</v>
      </c>
      <c r="ET41" s="81">
        <v>1768</v>
      </c>
      <c r="EU41" s="81">
        <v>2025</v>
      </c>
      <c r="EV41" s="81">
        <v>1982</v>
      </c>
      <c r="EW41" s="81">
        <v>1928</v>
      </c>
      <c r="EX41" s="81">
        <v>1902</v>
      </c>
      <c r="EY41" s="81">
        <v>1985</v>
      </c>
      <c r="EZ41" s="81">
        <v>1950</v>
      </c>
      <c r="FA41" s="81">
        <v>1960</v>
      </c>
      <c r="FB41" s="81">
        <v>2004</v>
      </c>
      <c r="FC41" s="81">
        <v>1991</v>
      </c>
      <c r="FD41" s="81">
        <v>1916</v>
      </c>
      <c r="FE41" s="81">
        <v>1822</v>
      </c>
      <c r="FF41" s="81">
        <v>1685</v>
      </c>
      <c r="FG41" s="81">
        <v>1550</v>
      </c>
      <c r="FH41" s="81">
        <v>1497</v>
      </c>
      <c r="FI41" s="81">
        <v>1320</v>
      </c>
      <c r="FJ41" s="81">
        <v>1311</v>
      </c>
      <c r="FK41" s="81">
        <v>1221</v>
      </c>
      <c r="FL41" s="81">
        <v>1123</v>
      </c>
      <c r="FM41" s="81">
        <v>1163</v>
      </c>
      <c r="FN41" s="81">
        <v>1142</v>
      </c>
      <c r="FO41" s="81">
        <v>1065</v>
      </c>
      <c r="FP41" s="81">
        <v>995</v>
      </c>
      <c r="FQ41" s="81">
        <v>1000</v>
      </c>
      <c r="FR41" s="81">
        <v>1026</v>
      </c>
      <c r="FS41" s="81">
        <v>1025</v>
      </c>
      <c r="FT41" s="81">
        <v>1044</v>
      </c>
      <c r="FU41" s="81">
        <v>1126</v>
      </c>
      <c r="FV41" s="81">
        <v>897</v>
      </c>
      <c r="FW41" s="81">
        <v>886</v>
      </c>
      <c r="FX41" s="81">
        <v>816</v>
      </c>
      <c r="FY41" s="81">
        <v>831</v>
      </c>
      <c r="FZ41" s="81">
        <v>666</v>
      </c>
      <c r="GA41" s="81">
        <v>663</v>
      </c>
      <c r="GB41" s="81">
        <v>619</v>
      </c>
      <c r="GC41" s="81">
        <v>620</v>
      </c>
      <c r="GD41" s="81">
        <v>599</v>
      </c>
      <c r="GE41" s="81">
        <v>541</v>
      </c>
      <c r="GF41" s="81">
        <v>584</v>
      </c>
      <c r="GG41" s="81">
        <v>460</v>
      </c>
      <c r="GH41" s="81">
        <v>424</v>
      </c>
      <c r="GI41" s="81">
        <v>436</v>
      </c>
      <c r="GJ41" s="81">
        <v>371</v>
      </c>
      <c r="GK41" s="81">
        <v>355</v>
      </c>
      <c r="GL41" s="82">
        <v>1573</v>
      </c>
    </row>
    <row r="42" spans="1:194" s="1" customFormat="1" hidden="1" x14ac:dyDescent="0.2">
      <c r="A42" s="83" t="s">
        <v>220</v>
      </c>
      <c r="B42" s="262" t="s">
        <v>252</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0">
        <v>5388</v>
      </c>
      <c r="N42" s="80">
        <v>5620</v>
      </c>
      <c r="O42" s="80">
        <v>5706</v>
      </c>
      <c r="P42" s="80">
        <v>5920</v>
      </c>
      <c r="Q42" s="80">
        <v>5855</v>
      </c>
      <c r="R42" s="80">
        <v>5900</v>
      </c>
      <c r="S42" s="80">
        <v>5863</v>
      </c>
      <c r="T42" s="80">
        <v>6010</v>
      </c>
      <c r="U42" s="80">
        <v>6130</v>
      </c>
      <c r="V42" s="80">
        <v>5953</v>
      </c>
      <c r="W42" s="80">
        <v>6002</v>
      </c>
      <c r="X42" s="80">
        <v>5753</v>
      </c>
      <c r="Y42" s="80">
        <v>5898</v>
      </c>
      <c r="Z42" s="80">
        <v>5456</v>
      </c>
      <c r="AA42" s="80">
        <v>5357</v>
      </c>
      <c r="AB42" s="80">
        <v>5049</v>
      </c>
      <c r="AC42" s="80">
        <v>5101</v>
      </c>
      <c r="AD42" s="80">
        <v>4886</v>
      </c>
      <c r="AE42" s="80">
        <v>4858</v>
      </c>
      <c r="AF42" s="80">
        <v>6683</v>
      </c>
      <c r="AG42" s="80">
        <v>7684</v>
      </c>
      <c r="AH42" s="80">
        <v>8114</v>
      </c>
      <c r="AI42" s="80">
        <v>8099</v>
      </c>
      <c r="AJ42" s="80">
        <v>8031</v>
      </c>
      <c r="AK42" s="80">
        <v>7873</v>
      </c>
      <c r="AL42" s="80">
        <v>8000</v>
      </c>
      <c r="AM42" s="80">
        <v>8234</v>
      </c>
      <c r="AN42" s="80">
        <v>8290</v>
      </c>
      <c r="AO42" s="80">
        <v>7821</v>
      </c>
      <c r="AP42" s="80">
        <v>8438</v>
      </c>
      <c r="AQ42" s="80">
        <v>8173</v>
      </c>
      <c r="AR42" s="80">
        <v>7895</v>
      </c>
      <c r="AS42" s="80">
        <v>7595</v>
      </c>
      <c r="AT42" s="80">
        <v>7386</v>
      </c>
      <c r="AU42" s="80">
        <v>6976</v>
      </c>
      <c r="AV42" s="80">
        <v>7075</v>
      </c>
      <c r="AW42" s="80">
        <v>6639</v>
      </c>
      <c r="AX42" s="80">
        <v>6606</v>
      </c>
      <c r="AY42" s="80">
        <v>6506</v>
      </c>
      <c r="AZ42" s="80">
        <v>6337</v>
      </c>
      <c r="BA42" s="80">
        <v>6465</v>
      </c>
      <c r="BB42" s="80">
        <v>5958</v>
      </c>
      <c r="BC42" s="80">
        <v>5770</v>
      </c>
      <c r="BD42" s="80">
        <v>5724</v>
      </c>
      <c r="BE42" s="80">
        <v>5630</v>
      </c>
      <c r="BF42" s="80">
        <v>5484</v>
      </c>
      <c r="BG42" s="80">
        <v>5619</v>
      </c>
      <c r="BH42" s="80">
        <v>5734</v>
      </c>
      <c r="BI42" s="80">
        <v>5828</v>
      </c>
      <c r="BJ42" s="80">
        <v>6185</v>
      </c>
      <c r="BK42" s="80">
        <v>5885</v>
      </c>
      <c r="BL42" s="80">
        <v>5979</v>
      </c>
      <c r="BM42" s="80">
        <v>5914</v>
      </c>
      <c r="BN42" s="80">
        <v>6233</v>
      </c>
      <c r="BO42" s="80">
        <v>6068</v>
      </c>
      <c r="BP42" s="80">
        <v>6081</v>
      </c>
      <c r="BQ42" s="80">
        <v>5935</v>
      </c>
      <c r="BR42" s="80">
        <v>5865</v>
      </c>
      <c r="BS42" s="80">
        <v>5657</v>
      </c>
      <c r="BT42" s="80">
        <v>5218</v>
      </c>
      <c r="BU42" s="80">
        <v>4892</v>
      </c>
      <c r="BV42" s="80">
        <v>4808</v>
      </c>
      <c r="BW42" s="80">
        <v>4693</v>
      </c>
      <c r="BX42" s="80">
        <v>4601</v>
      </c>
      <c r="BY42" s="80">
        <v>4280</v>
      </c>
      <c r="BZ42" s="80">
        <v>4213</v>
      </c>
      <c r="CA42" s="80">
        <v>4213</v>
      </c>
      <c r="CB42" s="80">
        <v>4116</v>
      </c>
      <c r="CC42" s="80">
        <v>3919</v>
      </c>
      <c r="CD42" s="80">
        <v>4056</v>
      </c>
      <c r="CE42" s="80">
        <v>4085</v>
      </c>
      <c r="CF42" s="80">
        <v>4058</v>
      </c>
      <c r="CG42" s="80">
        <v>4327</v>
      </c>
      <c r="CH42" s="80">
        <v>4761</v>
      </c>
      <c r="CI42" s="80">
        <v>3592</v>
      </c>
      <c r="CJ42" s="80">
        <v>3629</v>
      </c>
      <c r="CK42" s="80">
        <v>3524</v>
      </c>
      <c r="CL42" s="80">
        <v>3125</v>
      </c>
      <c r="CM42" s="80">
        <v>2728</v>
      </c>
      <c r="CN42" s="80">
        <v>2345</v>
      </c>
      <c r="CO42" s="80">
        <v>2420</v>
      </c>
      <c r="CP42" s="80">
        <v>2296</v>
      </c>
      <c r="CQ42" s="80">
        <v>2113</v>
      </c>
      <c r="CR42" s="80">
        <v>1902</v>
      </c>
      <c r="CS42" s="80">
        <v>1712</v>
      </c>
      <c r="CT42" s="80">
        <v>1580</v>
      </c>
      <c r="CU42" s="80">
        <v>1339</v>
      </c>
      <c r="CV42" s="80">
        <v>1195</v>
      </c>
      <c r="CW42" s="80">
        <v>1037</v>
      </c>
      <c r="CX42" s="80">
        <v>849</v>
      </c>
      <c r="CY42" s="80">
        <v>2879</v>
      </c>
      <c r="CZ42" s="81">
        <v>4983</v>
      </c>
      <c r="DA42" s="81">
        <v>5227</v>
      </c>
      <c r="DB42" s="81">
        <v>5180</v>
      </c>
      <c r="DC42" s="81">
        <v>5445</v>
      </c>
      <c r="DD42" s="81">
        <v>5662</v>
      </c>
      <c r="DE42" s="81">
        <v>5514</v>
      </c>
      <c r="DF42" s="81">
        <v>5615</v>
      </c>
      <c r="DG42" s="81">
        <v>5755</v>
      </c>
      <c r="DH42" s="81">
        <v>5864</v>
      </c>
      <c r="DI42" s="81">
        <v>5751</v>
      </c>
      <c r="DJ42" s="81">
        <v>5571</v>
      </c>
      <c r="DK42" s="81">
        <v>5455</v>
      </c>
      <c r="DL42" s="81">
        <v>5465</v>
      </c>
      <c r="DM42" s="81">
        <v>5301</v>
      </c>
      <c r="DN42" s="81">
        <v>5122</v>
      </c>
      <c r="DO42" s="81">
        <v>5035</v>
      </c>
      <c r="DP42" s="81">
        <v>4768</v>
      </c>
      <c r="DQ42" s="81">
        <v>4594</v>
      </c>
      <c r="DR42" s="81">
        <v>4936</v>
      </c>
      <c r="DS42" s="81">
        <v>6744</v>
      </c>
      <c r="DT42" s="81">
        <v>7990</v>
      </c>
      <c r="DU42" s="81">
        <v>7930</v>
      </c>
      <c r="DV42" s="81">
        <v>7844</v>
      </c>
      <c r="DW42" s="81">
        <v>7783</v>
      </c>
      <c r="DX42" s="81">
        <v>7622</v>
      </c>
      <c r="DY42" s="81">
        <v>7902</v>
      </c>
      <c r="DZ42" s="81">
        <v>8013</v>
      </c>
      <c r="EA42" s="81">
        <v>7619</v>
      </c>
      <c r="EB42" s="81">
        <v>7878</v>
      </c>
      <c r="EC42" s="81">
        <v>7863</v>
      </c>
      <c r="ED42" s="81">
        <v>7569</v>
      </c>
      <c r="EE42" s="81">
        <v>7518</v>
      </c>
      <c r="EF42" s="81">
        <v>7444</v>
      </c>
      <c r="EG42" s="81">
        <v>7131</v>
      </c>
      <c r="EH42" s="81">
        <v>6779</v>
      </c>
      <c r="EI42" s="81">
        <v>6596</v>
      </c>
      <c r="EJ42" s="81">
        <v>6564</v>
      </c>
      <c r="EK42" s="81">
        <v>6521</v>
      </c>
      <c r="EL42" s="81">
        <v>6401</v>
      </c>
      <c r="EM42" s="81">
        <v>6490</v>
      </c>
      <c r="EN42" s="81">
        <v>6302</v>
      </c>
      <c r="EO42" s="81">
        <v>5798</v>
      </c>
      <c r="EP42" s="81">
        <v>5511</v>
      </c>
      <c r="EQ42" s="81">
        <v>5404</v>
      </c>
      <c r="ER42" s="81">
        <v>5445</v>
      </c>
      <c r="ES42" s="81">
        <v>5574</v>
      </c>
      <c r="ET42" s="81">
        <v>5500</v>
      </c>
      <c r="EU42" s="81">
        <v>5712</v>
      </c>
      <c r="EV42" s="81">
        <v>5883</v>
      </c>
      <c r="EW42" s="81">
        <v>6119</v>
      </c>
      <c r="EX42" s="81">
        <v>6018</v>
      </c>
      <c r="EY42" s="81">
        <v>6012</v>
      </c>
      <c r="EZ42" s="81">
        <v>5902</v>
      </c>
      <c r="FA42" s="81">
        <v>6238</v>
      </c>
      <c r="FB42" s="81">
        <v>6356</v>
      </c>
      <c r="FC42" s="81">
        <v>6145</v>
      </c>
      <c r="FD42" s="81">
        <v>6085</v>
      </c>
      <c r="FE42" s="81">
        <v>5848</v>
      </c>
      <c r="FF42" s="81">
        <v>5571</v>
      </c>
      <c r="FG42" s="81">
        <v>5397</v>
      </c>
      <c r="FH42" s="81">
        <v>5252</v>
      </c>
      <c r="FI42" s="81">
        <v>5027</v>
      </c>
      <c r="FJ42" s="81">
        <v>5095</v>
      </c>
      <c r="FK42" s="81">
        <v>4655</v>
      </c>
      <c r="FL42" s="81">
        <v>4611</v>
      </c>
      <c r="FM42" s="81">
        <v>4378</v>
      </c>
      <c r="FN42" s="81">
        <v>4512</v>
      </c>
      <c r="FO42" s="81">
        <v>4563</v>
      </c>
      <c r="FP42" s="81">
        <v>4226</v>
      </c>
      <c r="FQ42" s="81">
        <v>4309</v>
      </c>
      <c r="FR42" s="81">
        <v>4423</v>
      </c>
      <c r="FS42" s="81">
        <v>4605</v>
      </c>
      <c r="FT42" s="81">
        <v>4817</v>
      </c>
      <c r="FU42" s="81">
        <v>5101</v>
      </c>
      <c r="FV42" s="81">
        <v>3942</v>
      </c>
      <c r="FW42" s="81">
        <v>3956</v>
      </c>
      <c r="FX42" s="81">
        <v>3858</v>
      </c>
      <c r="FY42" s="81">
        <v>3600</v>
      </c>
      <c r="FZ42" s="81">
        <v>3226</v>
      </c>
      <c r="GA42" s="81">
        <v>2861</v>
      </c>
      <c r="GB42" s="81">
        <v>2847</v>
      </c>
      <c r="GC42" s="81">
        <v>2809</v>
      </c>
      <c r="GD42" s="81">
        <v>2605</v>
      </c>
      <c r="GE42" s="81">
        <v>2486</v>
      </c>
      <c r="GF42" s="81">
        <v>2353</v>
      </c>
      <c r="GG42" s="81">
        <v>2216</v>
      </c>
      <c r="GH42" s="81">
        <v>1911</v>
      </c>
      <c r="GI42" s="81">
        <v>1818</v>
      </c>
      <c r="GJ42" s="81">
        <v>1720</v>
      </c>
      <c r="GK42" s="81">
        <v>1432</v>
      </c>
      <c r="GL42" s="82">
        <v>6099</v>
      </c>
    </row>
    <row r="43" spans="1:194" s="1" customFormat="1" hidden="1" x14ac:dyDescent="0.2">
      <c r="A43" s="83" t="s">
        <v>220</v>
      </c>
      <c r="B43" s="262" t="s">
        <v>253</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0">
        <v>2980</v>
      </c>
      <c r="N43" s="80">
        <v>3082</v>
      </c>
      <c r="O43" s="80">
        <v>3406</v>
      </c>
      <c r="P43" s="80">
        <v>3313</v>
      </c>
      <c r="Q43" s="80">
        <v>3616</v>
      </c>
      <c r="R43" s="80">
        <v>3638</v>
      </c>
      <c r="S43" s="80">
        <v>3634</v>
      </c>
      <c r="T43" s="80">
        <v>3681</v>
      </c>
      <c r="U43" s="80">
        <v>3916</v>
      </c>
      <c r="V43" s="80">
        <v>4007</v>
      </c>
      <c r="W43" s="80">
        <v>4029</v>
      </c>
      <c r="X43" s="80">
        <v>3950</v>
      </c>
      <c r="Y43" s="80">
        <v>3815</v>
      </c>
      <c r="Z43" s="80">
        <v>3786</v>
      </c>
      <c r="AA43" s="80">
        <v>3605</v>
      </c>
      <c r="AB43" s="80">
        <v>3538</v>
      </c>
      <c r="AC43" s="80">
        <v>3465</v>
      </c>
      <c r="AD43" s="80">
        <v>3441</v>
      </c>
      <c r="AE43" s="80">
        <v>3224</v>
      </c>
      <c r="AF43" s="80">
        <v>2418</v>
      </c>
      <c r="AG43" s="80">
        <v>2267</v>
      </c>
      <c r="AH43" s="80">
        <v>2352</v>
      </c>
      <c r="AI43" s="80">
        <v>2474</v>
      </c>
      <c r="AJ43" s="80">
        <v>2774</v>
      </c>
      <c r="AK43" s="80">
        <v>3028</v>
      </c>
      <c r="AL43" s="80">
        <v>2986</v>
      </c>
      <c r="AM43" s="80">
        <v>2840</v>
      </c>
      <c r="AN43" s="80">
        <v>2868</v>
      </c>
      <c r="AO43" s="80">
        <v>2788</v>
      </c>
      <c r="AP43" s="80">
        <v>2836</v>
      </c>
      <c r="AQ43" s="80">
        <v>2886</v>
      </c>
      <c r="AR43" s="80">
        <v>2991</v>
      </c>
      <c r="AS43" s="80">
        <v>2998</v>
      </c>
      <c r="AT43" s="80">
        <v>2762</v>
      </c>
      <c r="AU43" s="80">
        <v>3117</v>
      </c>
      <c r="AV43" s="80">
        <v>3241</v>
      </c>
      <c r="AW43" s="80">
        <v>3180</v>
      </c>
      <c r="AX43" s="80">
        <v>3316</v>
      </c>
      <c r="AY43" s="80">
        <v>3411</v>
      </c>
      <c r="AZ43" s="80">
        <v>3673</v>
      </c>
      <c r="BA43" s="80">
        <v>3618</v>
      </c>
      <c r="BB43" s="80">
        <v>3712</v>
      </c>
      <c r="BC43" s="80">
        <v>3575</v>
      </c>
      <c r="BD43" s="80">
        <v>3615</v>
      </c>
      <c r="BE43" s="80">
        <v>3659</v>
      </c>
      <c r="BF43" s="80">
        <v>3725</v>
      </c>
      <c r="BG43" s="80">
        <v>3925</v>
      </c>
      <c r="BH43" s="80">
        <v>3889</v>
      </c>
      <c r="BI43" s="80">
        <v>3946</v>
      </c>
      <c r="BJ43" s="80">
        <v>4096</v>
      </c>
      <c r="BK43" s="80">
        <v>3992</v>
      </c>
      <c r="BL43" s="80">
        <v>3856</v>
      </c>
      <c r="BM43" s="80">
        <v>4024</v>
      </c>
      <c r="BN43" s="80">
        <v>4093</v>
      </c>
      <c r="BO43" s="80">
        <v>4042</v>
      </c>
      <c r="BP43" s="80">
        <v>4119</v>
      </c>
      <c r="BQ43" s="80">
        <v>4153</v>
      </c>
      <c r="BR43" s="80">
        <v>3761</v>
      </c>
      <c r="BS43" s="80">
        <v>3700</v>
      </c>
      <c r="BT43" s="80">
        <v>3545</v>
      </c>
      <c r="BU43" s="80">
        <v>3392</v>
      </c>
      <c r="BV43" s="80">
        <v>3254</v>
      </c>
      <c r="BW43" s="80">
        <v>3278</v>
      </c>
      <c r="BX43" s="80">
        <v>3017</v>
      </c>
      <c r="BY43" s="80">
        <v>2880</v>
      </c>
      <c r="BZ43" s="80">
        <v>2793</v>
      </c>
      <c r="CA43" s="80">
        <v>2654</v>
      </c>
      <c r="CB43" s="80">
        <v>2659</v>
      </c>
      <c r="CC43" s="80">
        <v>2482</v>
      </c>
      <c r="CD43" s="80">
        <v>2340</v>
      </c>
      <c r="CE43" s="80">
        <v>2479</v>
      </c>
      <c r="CF43" s="80">
        <v>2571</v>
      </c>
      <c r="CG43" s="80">
        <v>2705</v>
      </c>
      <c r="CH43" s="80">
        <v>2928</v>
      </c>
      <c r="CI43" s="80">
        <v>2116</v>
      </c>
      <c r="CJ43" s="80">
        <v>2168</v>
      </c>
      <c r="CK43" s="80">
        <v>2103</v>
      </c>
      <c r="CL43" s="80">
        <v>1919</v>
      </c>
      <c r="CM43" s="80">
        <v>1739</v>
      </c>
      <c r="CN43" s="80">
        <v>1429</v>
      </c>
      <c r="CO43" s="80">
        <v>1460</v>
      </c>
      <c r="CP43" s="80">
        <v>1442</v>
      </c>
      <c r="CQ43" s="80">
        <v>1368</v>
      </c>
      <c r="CR43" s="80">
        <v>1263</v>
      </c>
      <c r="CS43" s="80">
        <v>1197</v>
      </c>
      <c r="CT43" s="80">
        <v>974</v>
      </c>
      <c r="CU43" s="80">
        <v>806</v>
      </c>
      <c r="CV43" s="80">
        <v>817</v>
      </c>
      <c r="CW43" s="80">
        <v>731</v>
      </c>
      <c r="CX43" s="80">
        <v>530</v>
      </c>
      <c r="CY43" s="80">
        <v>1794</v>
      </c>
      <c r="CZ43" s="81">
        <v>2773</v>
      </c>
      <c r="DA43" s="81">
        <v>2987</v>
      </c>
      <c r="DB43" s="81">
        <v>3142</v>
      </c>
      <c r="DC43" s="81">
        <v>3266</v>
      </c>
      <c r="DD43" s="81">
        <v>3403</v>
      </c>
      <c r="DE43" s="81">
        <v>3492</v>
      </c>
      <c r="DF43" s="81">
        <v>3516</v>
      </c>
      <c r="DG43" s="81">
        <v>3666</v>
      </c>
      <c r="DH43" s="81">
        <v>3752</v>
      </c>
      <c r="DI43" s="81">
        <v>3840</v>
      </c>
      <c r="DJ43" s="81">
        <v>3729</v>
      </c>
      <c r="DK43" s="81">
        <v>3861</v>
      </c>
      <c r="DL43" s="81">
        <v>3868</v>
      </c>
      <c r="DM43" s="81">
        <v>3692</v>
      </c>
      <c r="DN43" s="81">
        <v>3519</v>
      </c>
      <c r="DO43" s="81">
        <v>3426</v>
      </c>
      <c r="DP43" s="81">
        <v>3391</v>
      </c>
      <c r="DQ43" s="81">
        <v>3186</v>
      </c>
      <c r="DR43" s="81">
        <v>3034</v>
      </c>
      <c r="DS43" s="81">
        <v>2028</v>
      </c>
      <c r="DT43" s="81">
        <v>1841</v>
      </c>
      <c r="DU43" s="81">
        <v>1996</v>
      </c>
      <c r="DV43" s="81">
        <v>2317</v>
      </c>
      <c r="DW43" s="81">
        <v>2647</v>
      </c>
      <c r="DX43" s="81">
        <v>2819</v>
      </c>
      <c r="DY43" s="81">
        <v>2906</v>
      </c>
      <c r="DZ43" s="81">
        <v>2636</v>
      </c>
      <c r="EA43" s="81">
        <v>2784</v>
      </c>
      <c r="EB43" s="81">
        <v>2833</v>
      </c>
      <c r="EC43" s="81">
        <v>3003</v>
      </c>
      <c r="ED43" s="81">
        <v>3142</v>
      </c>
      <c r="EE43" s="81">
        <v>3325</v>
      </c>
      <c r="EF43" s="81">
        <v>3322</v>
      </c>
      <c r="EG43" s="81">
        <v>3297</v>
      </c>
      <c r="EH43" s="81">
        <v>3454</v>
      </c>
      <c r="EI43" s="81">
        <v>3525</v>
      </c>
      <c r="EJ43" s="81">
        <v>3541</v>
      </c>
      <c r="EK43" s="81">
        <v>3661</v>
      </c>
      <c r="EL43" s="81">
        <v>3905</v>
      </c>
      <c r="EM43" s="81">
        <v>3906</v>
      </c>
      <c r="EN43" s="81">
        <v>3909</v>
      </c>
      <c r="EO43" s="81">
        <v>4026</v>
      </c>
      <c r="EP43" s="81">
        <v>3767</v>
      </c>
      <c r="EQ43" s="81">
        <v>3773</v>
      </c>
      <c r="ER43" s="81">
        <v>3703</v>
      </c>
      <c r="ES43" s="81">
        <v>3678</v>
      </c>
      <c r="ET43" s="81">
        <v>3723</v>
      </c>
      <c r="EU43" s="81">
        <v>3957</v>
      </c>
      <c r="EV43" s="81">
        <v>3955</v>
      </c>
      <c r="EW43" s="81">
        <v>4220</v>
      </c>
      <c r="EX43" s="81">
        <v>3993</v>
      </c>
      <c r="EY43" s="81">
        <v>4133</v>
      </c>
      <c r="EZ43" s="81">
        <v>4138</v>
      </c>
      <c r="FA43" s="81">
        <v>4242</v>
      </c>
      <c r="FB43" s="81">
        <v>4015</v>
      </c>
      <c r="FC43" s="81">
        <v>3968</v>
      </c>
      <c r="FD43" s="81">
        <v>3967</v>
      </c>
      <c r="FE43" s="81">
        <v>3906</v>
      </c>
      <c r="FF43" s="81">
        <v>3670</v>
      </c>
      <c r="FG43" s="81">
        <v>3656</v>
      </c>
      <c r="FH43" s="81">
        <v>3456</v>
      </c>
      <c r="FI43" s="81">
        <v>3364</v>
      </c>
      <c r="FJ43" s="81">
        <v>3168</v>
      </c>
      <c r="FK43" s="81">
        <v>3143</v>
      </c>
      <c r="FL43" s="81">
        <v>2887</v>
      </c>
      <c r="FM43" s="81">
        <v>2877</v>
      </c>
      <c r="FN43" s="81">
        <v>2757</v>
      </c>
      <c r="FO43" s="81">
        <v>2788</v>
      </c>
      <c r="FP43" s="81">
        <v>2643</v>
      </c>
      <c r="FQ43" s="81">
        <v>2716</v>
      </c>
      <c r="FR43" s="81">
        <v>2789</v>
      </c>
      <c r="FS43" s="81">
        <v>2861</v>
      </c>
      <c r="FT43" s="81">
        <v>2925</v>
      </c>
      <c r="FU43" s="81">
        <v>3211</v>
      </c>
      <c r="FV43" s="81">
        <v>2495</v>
      </c>
      <c r="FW43" s="81">
        <v>2436</v>
      </c>
      <c r="FX43" s="81">
        <v>2489</v>
      </c>
      <c r="FY43" s="81">
        <v>2314</v>
      </c>
      <c r="FZ43" s="81">
        <v>1984</v>
      </c>
      <c r="GA43" s="81">
        <v>1774</v>
      </c>
      <c r="GB43" s="81">
        <v>1888</v>
      </c>
      <c r="GC43" s="81">
        <v>1805</v>
      </c>
      <c r="GD43" s="81">
        <v>1729</v>
      </c>
      <c r="GE43" s="81">
        <v>1614</v>
      </c>
      <c r="GF43" s="81">
        <v>1499</v>
      </c>
      <c r="GG43" s="81">
        <v>1441</v>
      </c>
      <c r="GH43" s="81">
        <v>1226</v>
      </c>
      <c r="GI43" s="81">
        <v>1103</v>
      </c>
      <c r="GJ43" s="81">
        <v>991</v>
      </c>
      <c r="GK43" s="81">
        <v>922</v>
      </c>
      <c r="GL43" s="82">
        <v>4036</v>
      </c>
    </row>
    <row r="44" spans="1:194" s="1" customFormat="1" hidden="1" x14ac:dyDescent="0.2">
      <c r="A44" s="83" t="s">
        <v>220</v>
      </c>
      <c r="B44" s="262" t="s">
        <v>254</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0">
        <v>1151</v>
      </c>
      <c r="N44" s="80">
        <v>1225</v>
      </c>
      <c r="O44" s="80">
        <v>1127</v>
      </c>
      <c r="P44" s="80">
        <v>1208</v>
      </c>
      <c r="Q44" s="80">
        <v>1261</v>
      </c>
      <c r="R44" s="80">
        <v>1203</v>
      </c>
      <c r="S44" s="80">
        <v>1269</v>
      </c>
      <c r="T44" s="80">
        <v>1284</v>
      </c>
      <c r="U44" s="80">
        <v>1359</v>
      </c>
      <c r="V44" s="80">
        <v>1294</v>
      </c>
      <c r="W44" s="80">
        <v>1326</v>
      </c>
      <c r="X44" s="80">
        <v>1318</v>
      </c>
      <c r="Y44" s="80">
        <v>1270</v>
      </c>
      <c r="Z44" s="80">
        <v>1187</v>
      </c>
      <c r="AA44" s="80">
        <v>1265</v>
      </c>
      <c r="AB44" s="80">
        <v>1225</v>
      </c>
      <c r="AC44" s="80">
        <v>1179</v>
      </c>
      <c r="AD44" s="80">
        <v>1182</v>
      </c>
      <c r="AE44" s="80">
        <v>1068</v>
      </c>
      <c r="AF44" s="80">
        <v>920</v>
      </c>
      <c r="AG44" s="80">
        <v>888</v>
      </c>
      <c r="AH44" s="80">
        <v>935</v>
      </c>
      <c r="AI44" s="80">
        <v>1046</v>
      </c>
      <c r="AJ44" s="80">
        <v>1047</v>
      </c>
      <c r="AK44" s="80">
        <v>1244</v>
      </c>
      <c r="AL44" s="80">
        <v>1170</v>
      </c>
      <c r="AM44" s="80">
        <v>1207</v>
      </c>
      <c r="AN44" s="80">
        <v>1139</v>
      </c>
      <c r="AO44" s="80">
        <v>1237</v>
      </c>
      <c r="AP44" s="80">
        <v>1263</v>
      </c>
      <c r="AQ44" s="80">
        <v>1343</v>
      </c>
      <c r="AR44" s="80">
        <v>1325</v>
      </c>
      <c r="AS44" s="80">
        <v>1188</v>
      </c>
      <c r="AT44" s="80">
        <v>1242</v>
      </c>
      <c r="AU44" s="80">
        <v>1152</v>
      </c>
      <c r="AV44" s="80">
        <v>1167</v>
      </c>
      <c r="AW44" s="80">
        <v>1296</v>
      </c>
      <c r="AX44" s="80">
        <v>1184</v>
      </c>
      <c r="AY44" s="80">
        <v>1250</v>
      </c>
      <c r="AZ44" s="80">
        <v>1272</v>
      </c>
      <c r="BA44" s="80">
        <v>1145</v>
      </c>
      <c r="BB44" s="80">
        <v>1163</v>
      </c>
      <c r="BC44" s="80">
        <v>1120</v>
      </c>
      <c r="BD44" s="80">
        <v>985</v>
      </c>
      <c r="BE44" s="80">
        <v>1098</v>
      </c>
      <c r="BF44" s="80">
        <v>1147</v>
      </c>
      <c r="BG44" s="80">
        <v>1100</v>
      </c>
      <c r="BH44" s="80">
        <v>1244</v>
      </c>
      <c r="BI44" s="80">
        <v>1259</v>
      </c>
      <c r="BJ44" s="80">
        <v>1322</v>
      </c>
      <c r="BK44" s="80">
        <v>1216</v>
      </c>
      <c r="BL44" s="80">
        <v>1359</v>
      </c>
      <c r="BM44" s="80">
        <v>1335</v>
      </c>
      <c r="BN44" s="80">
        <v>1349</v>
      </c>
      <c r="BO44" s="80">
        <v>1318</v>
      </c>
      <c r="BP44" s="80">
        <v>1336</v>
      </c>
      <c r="BQ44" s="80">
        <v>1341</v>
      </c>
      <c r="BR44" s="80">
        <v>1272</v>
      </c>
      <c r="BS44" s="80">
        <v>1291</v>
      </c>
      <c r="BT44" s="80">
        <v>1099</v>
      </c>
      <c r="BU44" s="80">
        <v>1183</v>
      </c>
      <c r="BV44" s="80">
        <v>1111</v>
      </c>
      <c r="BW44" s="80">
        <v>1066</v>
      </c>
      <c r="BX44" s="80">
        <v>1011</v>
      </c>
      <c r="BY44" s="80">
        <v>963</v>
      </c>
      <c r="BZ44" s="80">
        <v>858</v>
      </c>
      <c r="CA44" s="80">
        <v>867</v>
      </c>
      <c r="CB44" s="80">
        <v>955</v>
      </c>
      <c r="CC44" s="80">
        <v>837</v>
      </c>
      <c r="CD44" s="80">
        <v>884</v>
      </c>
      <c r="CE44" s="80">
        <v>920</v>
      </c>
      <c r="CF44" s="80">
        <v>915</v>
      </c>
      <c r="CG44" s="80">
        <v>978</v>
      </c>
      <c r="CH44" s="80">
        <v>1091</v>
      </c>
      <c r="CI44" s="80">
        <v>796</v>
      </c>
      <c r="CJ44" s="80">
        <v>703</v>
      </c>
      <c r="CK44" s="80">
        <v>738</v>
      </c>
      <c r="CL44" s="80">
        <v>605</v>
      </c>
      <c r="CM44" s="80">
        <v>582</v>
      </c>
      <c r="CN44" s="80">
        <v>475</v>
      </c>
      <c r="CO44" s="80">
        <v>517</v>
      </c>
      <c r="CP44" s="80">
        <v>475</v>
      </c>
      <c r="CQ44" s="80">
        <v>410</v>
      </c>
      <c r="CR44" s="80">
        <v>389</v>
      </c>
      <c r="CS44" s="80">
        <v>329</v>
      </c>
      <c r="CT44" s="80">
        <v>307</v>
      </c>
      <c r="CU44" s="80">
        <v>232</v>
      </c>
      <c r="CV44" s="80">
        <v>200</v>
      </c>
      <c r="CW44" s="80">
        <v>152</v>
      </c>
      <c r="CX44" s="80">
        <v>161</v>
      </c>
      <c r="CY44" s="80">
        <v>575</v>
      </c>
      <c r="CZ44" s="81">
        <v>1019</v>
      </c>
      <c r="DA44" s="81">
        <v>1073</v>
      </c>
      <c r="DB44" s="81">
        <v>1083</v>
      </c>
      <c r="DC44" s="81">
        <v>1109</v>
      </c>
      <c r="DD44" s="81">
        <v>1198</v>
      </c>
      <c r="DE44" s="81">
        <v>1175</v>
      </c>
      <c r="DF44" s="81">
        <v>1196</v>
      </c>
      <c r="DG44" s="81">
        <v>1237</v>
      </c>
      <c r="DH44" s="81">
        <v>1247</v>
      </c>
      <c r="DI44" s="81">
        <v>1277</v>
      </c>
      <c r="DJ44" s="81">
        <v>1214</v>
      </c>
      <c r="DK44" s="81">
        <v>1144</v>
      </c>
      <c r="DL44" s="81">
        <v>1288</v>
      </c>
      <c r="DM44" s="81">
        <v>1233</v>
      </c>
      <c r="DN44" s="81">
        <v>1105</v>
      </c>
      <c r="DO44" s="81">
        <v>1127</v>
      </c>
      <c r="DP44" s="81">
        <v>1069</v>
      </c>
      <c r="DQ44" s="81">
        <v>1053</v>
      </c>
      <c r="DR44" s="81">
        <v>1003</v>
      </c>
      <c r="DS44" s="81">
        <v>791</v>
      </c>
      <c r="DT44" s="81">
        <v>718</v>
      </c>
      <c r="DU44" s="81">
        <v>886</v>
      </c>
      <c r="DV44" s="81">
        <v>920</v>
      </c>
      <c r="DW44" s="81">
        <v>1081</v>
      </c>
      <c r="DX44" s="81">
        <v>1000</v>
      </c>
      <c r="DY44" s="81">
        <v>1091</v>
      </c>
      <c r="DZ44" s="81">
        <v>1182</v>
      </c>
      <c r="EA44" s="81">
        <v>1189</v>
      </c>
      <c r="EB44" s="81">
        <v>1273</v>
      </c>
      <c r="EC44" s="81">
        <v>1316</v>
      </c>
      <c r="ED44" s="81">
        <v>1281</v>
      </c>
      <c r="EE44" s="81">
        <v>1314</v>
      </c>
      <c r="EF44" s="81">
        <v>1312</v>
      </c>
      <c r="EG44" s="81">
        <v>1424</v>
      </c>
      <c r="EH44" s="81">
        <v>1379</v>
      </c>
      <c r="EI44" s="81">
        <v>1346</v>
      </c>
      <c r="EJ44" s="81">
        <v>1277</v>
      </c>
      <c r="EK44" s="81">
        <v>1237</v>
      </c>
      <c r="EL44" s="81">
        <v>1375</v>
      </c>
      <c r="EM44" s="81">
        <v>1292</v>
      </c>
      <c r="EN44" s="81">
        <v>1207</v>
      </c>
      <c r="EO44" s="81">
        <v>1236</v>
      </c>
      <c r="EP44" s="81">
        <v>1142</v>
      </c>
      <c r="EQ44" s="81">
        <v>1090</v>
      </c>
      <c r="ER44" s="81">
        <v>1134</v>
      </c>
      <c r="ES44" s="81">
        <v>1222</v>
      </c>
      <c r="ET44" s="81">
        <v>1250</v>
      </c>
      <c r="EU44" s="81">
        <v>1251</v>
      </c>
      <c r="EV44" s="81">
        <v>1355</v>
      </c>
      <c r="EW44" s="81">
        <v>1397</v>
      </c>
      <c r="EX44" s="81">
        <v>1367</v>
      </c>
      <c r="EY44" s="81">
        <v>1376</v>
      </c>
      <c r="EZ44" s="81">
        <v>1385</v>
      </c>
      <c r="FA44" s="81">
        <v>1454</v>
      </c>
      <c r="FB44" s="81">
        <v>1385</v>
      </c>
      <c r="FC44" s="81">
        <v>1369</v>
      </c>
      <c r="FD44" s="81">
        <v>1336</v>
      </c>
      <c r="FE44" s="81">
        <v>1328</v>
      </c>
      <c r="FF44" s="81">
        <v>1320</v>
      </c>
      <c r="FG44" s="81">
        <v>1255</v>
      </c>
      <c r="FH44" s="81">
        <v>1213</v>
      </c>
      <c r="FI44" s="81">
        <v>1166</v>
      </c>
      <c r="FJ44" s="81">
        <v>1072</v>
      </c>
      <c r="FK44" s="81">
        <v>1018</v>
      </c>
      <c r="FL44" s="81">
        <v>1043</v>
      </c>
      <c r="FM44" s="81">
        <v>896</v>
      </c>
      <c r="FN44" s="81">
        <v>996</v>
      </c>
      <c r="FO44" s="81">
        <v>1008</v>
      </c>
      <c r="FP44" s="81">
        <v>956</v>
      </c>
      <c r="FQ44" s="81">
        <v>908</v>
      </c>
      <c r="FR44" s="81">
        <v>955</v>
      </c>
      <c r="FS44" s="81">
        <v>1054</v>
      </c>
      <c r="FT44" s="81">
        <v>1078</v>
      </c>
      <c r="FU44" s="81">
        <v>1203</v>
      </c>
      <c r="FV44" s="81">
        <v>851</v>
      </c>
      <c r="FW44" s="81">
        <v>839</v>
      </c>
      <c r="FX44" s="81">
        <v>874</v>
      </c>
      <c r="FY44" s="81">
        <v>747</v>
      </c>
      <c r="FZ44" s="81">
        <v>643</v>
      </c>
      <c r="GA44" s="81">
        <v>630</v>
      </c>
      <c r="GB44" s="81">
        <v>608</v>
      </c>
      <c r="GC44" s="81">
        <v>568</v>
      </c>
      <c r="GD44" s="81">
        <v>553</v>
      </c>
      <c r="GE44" s="81">
        <v>547</v>
      </c>
      <c r="GF44" s="81">
        <v>459</v>
      </c>
      <c r="GG44" s="81">
        <v>451</v>
      </c>
      <c r="GH44" s="81">
        <v>406</v>
      </c>
      <c r="GI44" s="81">
        <v>299</v>
      </c>
      <c r="GJ44" s="81">
        <v>297</v>
      </c>
      <c r="GK44" s="81">
        <v>243</v>
      </c>
      <c r="GL44" s="82">
        <v>1034</v>
      </c>
    </row>
    <row r="45" spans="1:194" s="1" customFormat="1" hidden="1" x14ac:dyDescent="0.2">
      <c r="A45" s="83" t="s">
        <v>220</v>
      </c>
      <c r="B45" s="262" t="s">
        <v>255</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0">
        <v>1079</v>
      </c>
      <c r="N45" s="80">
        <v>1124</v>
      </c>
      <c r="O45" s="80">
        <v>1211</v>
      </c>
      <c r="P45" s="80">
        <v>1228</v>
      </c>
      <c r="Q45" s="80">
        <v>1306</v>
      </c>
      <c r="R45" s="80">
        <v>1376</v>
      </c>
      <c r="S45" s="80">
        <v>1346</v>
      </c>
      <c r="T45" s="80">
        <v>1411</v>
      </c>
      <c r="U45" s="80">
        <v>1425</v>
      </c>
      <c r="V45" s="80">
        <v>1376</v>
      </c>
      <c r="W45" s="80">
        <v>1405</v>
      </c>
      <c r="X45" s="80">
        <v>1314</v>
      </c>
      <c r="Y45" s="80">
        <v>1355</v>
      </c>
      <c r="Z45" s="80">
        <v>1298</v>
      </c>
      <c r="AA45" s="80">
        <v>1237</v>
      </c>
      <c r="AB45" s="80">
        <v>1321</v>
      </c>
      <c r="AC45" s="80">
        <v>1292</v>
      </c>
      <c r="AD45" s="80">
        <v>1223</v>
      </c>
      <c r="AE45" s="80">
        <v>1139</v>
      </c>
      <c r="AF45" s="80">
        <v>984</v>
      </c>
      <c r="AG45" s="80">
        <v>963</v>
      </c>
      <c r="AH45" s="80">
        <v>1059</v>
      </c>
      <c r="AI45" s="80">
        <v>1097</v>
      </c>
      <c r="AJ45" s="80">
        <v>1171</v>
      </c>
      <c r="AK45" s="80">
        <v>1228</v>
      </c>
      <c r="AL45" s="80">
        <v>1268</v>
      </c>
      <c r="AM45" s="80">
        <v>1198</v>
      </c>
      <c r="AN45" s="80">
        <v>1215</v>
      </c>
      <c r="AO45" s="80">
        <v>1240</v>
      </c>
      <c r="AP45" s="80">
        <v>1263</v>
      </c>
      <c r="AQ45" s="80">
        <v>1255</v>
      </c>
      <c r="AR45" s="80">
        <v>1166</v>
      </c>
      <c r="AS45" s="80">
        <v>1314</v>
      </c>
      <c r="AT45" s="80">
        <v>1244</v>
      </c>
      <c r="AU45" s="80">
        <v>1154</v>
      </c>
      <c r="AV45" s="80">
        <v>1291</v>
      </c>
      <c r="AW45" s="80">
        <v>1242</v>
      </c>
      <c r="AX45" s="80">
        <v>1311</v>
      </c>
      <c r="AY45" s="80">
        <v>1194</v>
      </c>
      <c r="AZ45" s="80">
        <v>1271</v>
      </c>
      <c r="BA45" s="80">
        <v>1423</v>
      </c>
      <c r="BB45" s="80">
        <v>1329</v>
      </c>
      <c r="BC45" s="80">
        <v>1230</v>
      </c>
      <c r="BD45" s="80">
        <v>1203</v>
      </c>
      <c r="BE45" s="80">
        <v>1323</v>
      </c>
      <c r="BF45" s="80">
        <v>1188</v>
      </c>
      <c r="BG45" s="80">
        <v>1313</v>
      </c>
      <c r="BH45" s="80">
        <v>1494</v>
      </c>
      <c r="BI45" s="80">
        <v>1534</v>
      </c>
      <c r="BJ45" s="80">
        <v>1682</v>
      </c>
      <c r="BK45" s="80">
        <v>1535</v>
      </c>
      <c r="BL45" s="80">
        <v>1580</v>
      </c>
      <c r="BM45" s="80">
        <v>1654</v>
      </c>
      <c r="BN45" s="80">
        <v>1551</v>
      </c>
      <c r="BO45" s="80">
        <v>1603</v>
      </c>
      <c r="BP45" s="80">
        <v>1627</v>
      </c>
      <c r="BQ45" s="80">
        <v>1618</v>
      </c>
      <c r="BR45" s="80">
        <v>1538</v>
      </c>
      <c r="BS45" s="80">
        <v>1519</v>
      </c>
      <c r="BT45" s="80">
        <v>1365</v>
      </c>
      <c r="BU45" s="80">
        <v>1325</v>
      </c>
      <c r="BV45" s="80">
        <v>1329</v>
      </c>
      <c r="BW45" s="80">
        <v>1307</v>
      </c>
      <c r="BX45" s="80">
        <v>1299</v>
      </c>
      <c r="BY45" s="80">
        <v>1268</v>
      </c>
      <c r="BZ45" s="80">
        <v>1113</v>
      </c>
      <c r="CA45" s="80">
        <v>1196</v>
      </c>
      <c r="CB45" s="80">
        <v>1135</v>
      </c>
      <c r="CC45" s="80">
        <v>1047</v>
      </c>
      <c r="CD45" s="80">
        <v>1083</v>
      </c>
      <c r="CE45" s="80">
        <v>1066</v>
      </c>
      <c r="CF45" s="80">
        <v>1142</v>
      </c>
      <c r="CG45" s="80">
        <v>1165</v>
      </c>
      <c r="CH45" s="80">
        <v>1190</v>
      </c>
      <c r="CI45" s="80">
        <v>873</v>
      </c>
      <c r="CJ45" s="80">
        <v>829</v>
      </c>
      <c r="CK45" s="80">
        <v>881</v>
      </c>
      <c r="CL45" s="80">
        <v>772</v>
      </c>
      <c r="CM45" s="80">
        <v>587</v>
      </c>
      <c r="CN45" s="80">
        <v>587</v>
      </c>
      <c r="CO45" s="80">
        <v>534</v>
      </c>
      <c r="CP45" s="80">
        <v>451</v>
      </c>
      <c r="CQ45" s="80">
        <v>463</v>
      </c>
      <c r="CR45" s="80">
        <v>405</v>
      </c>
      <c r="CS45" s="80">
        <v>369</v>
      </c>
      <c r="CT45" s="80">
        <v>300</v>
      </c>
      <c r="CU45" s="80">
        <v>246</v>
      </c>
      <c r="CV45" s="80">
        <v>211</v>
      </c>
      <c r="CW45" s="80">
        <v>193</v>
      </c>
      <c r="CX45" s="80">
        <v>146</v>
      </c>
      <c r="CY45" s="80">
        <v>451</v>
      </c>
      <c r="CZ45" s="81">
        <v>1086</v>
      </c>
      <c r="DA45" s="81">
        <v>1042</v>
      </c>
      <c r="DB45" s="81">
        <v>1142</v>
      </c>
      <c r="DC45" s="81">
        <v>1207</v>
      </c>
      <c r="DD45" s="81">
        <v>1230</v>
      </c>
      <c r="DE45" s="81">
        <v>1265</v>
      </c>
      <c r="DF45" s="81">
        <v>1215</v>
      </c>
      <c r="DG45" s="81">
        <v>1370</v>
      </c>
      <c r="DH45" s="81">
        <v>1363</v>
      </c>
      <c r="DI45" s="81">
        <v>1331</v>
      </c>
      <c r="DJ45" s="81">
        <v>1362</v>
      </c>
      <c r="DK45" s="81">
        <v>1328</v>
      </c>
      <c r="DL45" s="81">
        <v>1353</v>
      </c>
      <c r="DM45" s="81">
        <v>1325</v>
      </c>
      <c r="DN45" s="81">
        <v>1364</v>
      </c>
      <c r="DO45" s="81">
        <v>1251</v>
      </c>
      <c r="DP45" s="81">
        <v>1235</v>
      </c>
      <c r="DQ45" s="81">
        <v>1155</v>
      </c>
      <c r="DR45" s="81">
        <v>1133</v>
      </c>
      <c r="DS45" s="81">
        <v>879</v>
      </c>
      <c r="DT45" s="81">
        <v>905</v>
      </c>
      <c r="DU45" s="81">
        <v>908</v>
      </c>
      <c r="DV45" s="81">
        <v>1028</v>
      </c>
      <c r="DW45" s="81">
        <v>1204</v>
      </c>
      <c r="DX45" s="81">
        <v>1190</v>
      </c>
      <c r="DY45" s="81">
        <v>1112</v>
      </c>
      <c r="DZ45" s="81">
        <v>1214</v>
      </c>
      <c r="EA45" s="81">
        <v>1256</v>
      </c>
      <c r="EB45" s="81">
        <v>1283</v>
      </c>
      <c r="EC45" s="81">
        <v>1276</v>
      </c>
      <c r="ED45" s="81">
        <v>1271</v>
      </c>
      <c r="EE45" s="81">
        <v>1299</v>
      </c>
      <c r="EF45" s="81">
        <v>1322</v>
      </c>
      <c r="EG45" s="81">
        <v>1488</v>
      </c>
      <c r="EH45" s="81">
        <v>1281</v>
      </c>
      <c r="EI45" s="81">
        <v>1390</v>
      </c>
      <c r="EJ45" s="81">
        <v>1326</v>
      </c>
      <c r="EK45" s="81">
        <v>1335</v>
      </c>
      <c r="EL45" s="81">
        <v>1428</v>
      </c>
      <c r="EM45" s="81">
        <v>1341</v>
      </c>
      <c r="EN45" s="81">
        <v>1441</v>
      </c>
      <c r="EO45" s="81">
        <v>1407</v>
      </c>
      <c r="EP45" s="81">
        <v>1228</v>
      </c>
      <c r="EQ45" s="81">
        <v>1249</v>
      </c>
      <c r="ER45" s="81">
        <v>1255</v>
      </c>
      <c r="ES45" s="81">
        <v>1303</v>
      </c>
      <c r="ET45" s="81">
        <v>1451</v>
      </c>
      <c r="EU45" s="81">
        <v>1443</v>
      </c>
      <c r="EV45" s="81">
        <v>1472</v>
      </c>
      <c r="EW45" s="81">
        <v>1622</v>
      </c>
      <c r="EX45" s="81">
        <v>1649</v>
      </c>
      <c r="EY45" s="81">
        <v>1548</v>
      </c>
      <c r="EZ45" s="81">
        <v>1610</v>
      </c>
      <c r="FA45" s="81">
        <v>1600</v>
      </c>
      <c r="FB45" s="81">
        <v>1546</v>
      </c>
      <c r="FC45" s="81">
        <v>1575</v>
      </c>
      <c r="FD45" s="81">
        <v>1675</v>
      </c>
      <c r="FE45" s="81">
        <v>1551</v>
      </c>
      <c r="FF45" s="81">
        <v>1505</v>
      </c>
      <c r="FG45" s="81">
        <v>1474</v>
      </c>
      <c r="FH45" s="81">
        <v>1422</v>
      </c>
      <c r="FI45" s="81">
        <v>1378</v>
      </c>
      <c r="FJ45" s="81">
        <v>1325</v>
      </c>
      <c r="FK45" s="81">
        <v>1286</v>
      </c>
      <c r="FL45" s="81">
        <v>1277</v>
      </c>
      <c r="FM45" s="81">
        <v>1151</v>
      </c>
      <c r="FN45" s="81">
        <v>1155</v>
      </c>
      <c r="FO45" s="81">
        <v>1114</v>
      </c>
      <c r="FP45" s="81">
        <v>1071</v>
      </c>
      <c r="FQ45" s="81">
        <v>1141</v>
      </c>
      <c r="FR45" s="81">
        <v>1170</v>
      </c>
      <c r="FS45" s="81">
        <v>1143</v>
      </c>
      <c r="FT45" s="81">
        <v>1260</v>
      </c>
      <c r="FU45" s="81">
        <v>1330</v>
      </c>
      <c r="FV45" s="81">
        <v>987</v>
      </c>
      <c r="FW45" s="81">
        <v>971</v>
      </c>
      <c r="FX45" s="81">
        <v>893</v>
      </c>
      <c r="FY45" s="81">
        <v>830</v>
      </c>
      <c r="FZ45" s="81">
        <v>748</v>
      </c>
      <c r="GA45" s="81">
        <v>633</v>
      </c>
      <c r="GB45" s="81">
        <v>653</v>
      </c>
      <c r="GC45" s="81">
        <v>639</v>
      </c>
      <c r="GD45" s="81">
        <v>585</v>
      </c>
      <c r="GE45" s="81">
        <v>583</v>
      </c>
      <c r="GF45" s="81">
        <v>505</v>
      </c>
      <c r="GG45" s="81">
        <v>459</v>
      </c>
      <c r="GH45" s="81">
        <v>410</v>
      </c>
      <c r="GI45" s="81">
        <v>388</v>
      </c>
      <c r="GJ45" s="81">
        <v>335</v>
      </c>
      <c r="GK45" s="81">
        <v>341</v>
      </c>
      <c r="GL45" s="82">
        <v>1293</v>
      </c>
    </row>
    <row r="46" spans="1:194" s="1" customFormat="1" hidden="1" x14ac:dyDescent="0.2">
      <c r="A46" s="83" t="s">
        <v>220</v>
      </c>
      <c r="B46" s="262" t="s">
        <v>256</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0">
        <v>5072</v>
      </c>
      <c r="N46" s="80">
        <v>5189</v>
      </c>
      <c r="O46" s="80">
        <v>5605</v>
      </c>
      <c r="P46" s="80">
        <v>5529</v>
      </c>
      <c r="Q46" s="80">
        <v>6014</v>
      </c>
      <c r="R46" s="80">
        <v>5879</v>
      </c>
      <c r="S46" s="80">
        <v>6041</v>
      </c>
      <c r="T46" s="80">
        <v>6200</v>
      </c>
      <c r="U46" s="80">
        <v>6299</v>
      </c>
      <c r="V46" s="80">
        <v>6070</v>
      </c>
      <c r="W46" s="80">
        <v>5972</v>
      </c>
      <c r="X46" s="80">
        <v>5888</v>
      </c>
      <c r="Y46" s="80">
        <v>5812</v>
      </c>
      <c r="Z46" s="80">
        <v>5616</v>
      </c>
      <c r="AA46" s="80">
        <v>5472</v>
      </c>
      <c r="AB46" s="80">
        <v>5343</v>
      </c>
      <c r="AC46" s="80">
        <v>5179</v>
      </c>
      <c r="AD46" s="80">
        <v>5072</v>
      </c>
      <c r="AE46" s="80">
        <v>5208</v>
      </c>
      <c r="AF46" s="80">
        <v>5212</v>
      </c>
      <c r="AG46" s="80">
        <v>5212</v>
      </c>
      <c r="AH46" s="80">
        <v>5556</v>
      </c>
      <c r="AI46" s="80">
        <v>5971</v>
      </c>
      <c r="AJ46" s="80">
        <v>6164</v>
      </c>
      <c r="AK46" s="80">
        <v>5935</v>
      </c>
      <c r="AL46" s="80">
        <v>5888</v>
      </c>
      <c r="AM46" s="80">
        <v>5972</v>
      </c>
      <c r="AN46" s="80">
        <v>5594</v>
      </c>
      <c r="AO46" s="80">
        <v>5575</v>
      </c>
      <c r="AP46" s="80">
        <v>5810</v>
      </c>
      <c r="AQ46" s="80">
        <v>6016</v>
      </c>
      <c r="AR46" s="80">
        <v>6041</v>
      </c>
      <c r="AS46" s="80">
        <v>5991</v>
      </c>
      <c r="AT46" s="80">
        <v>5903</v>
      </c>
      <c r="AU46" s="80">
        <v>5944</v>
      </c>
      <c r="AV46" s="80">
        <v>5694</v>
      </c>
      <c r="AW46" s="80">
        <v>5601</v>
      </c>
      <c r="AX46" s="80">
        <v>5560</v>
      </c>
      <c r="AY46" s="80">
        <v>5770</v>
      </c>
      <c r="AZ46" s="80">
        <v>6034</v>
      </c>
      <c r="BA46" s="80">
        <v>5884</v>
      </c>
      <c r="BB46" s="80">
        <v>5916</v>
      </c>
      <c r="BC46" s="80">
        <v>5613</v>
      </c>
      <c r="BD46" s="80">
        <v>5527</v>
      </c>
      <c r="BE46" s="80">
        <v>5674</v>
      </c>
      <c r="BF46" s="80">
        <v>5757</v>
      </c>
      <c r="BG46" s="80">
        <v>5792</v>
      </c>
      <c r="BH46" s="80">
        <v>6088</v>
      </c>
      <c r="BI46" s="80">
        <v>6133</v>
      </c>
      <c r="BJ46" s="80">
        <v>6179</v>
      </c>
      <c r="BK46" s="80">
        <v>6087</v>
      </c>
      <c r="BL46" s="80">
        <v>6196</v>
      </c>
      <c r="BM46" s="80">
        <v>6142</v>
      </c>
      <c r="BN46" s="80">
        <v>6276</v>
      </c>
      <c r="BO46" s="80">
        <v>6362</v>
      </c>
      <c r="BP46" s="80">
        <v>6113</v>
      </c>
      <c r="BQ46" s="80">
        <v>6070</v>
      </c>
      <c r="BR46" s="80">
        <v>5926</v>
      </c>
      <c r="BS46" s="80">
        <v>5642</v>
      </c>
      <c r="BT46" s="80">
        <v>5536</v>
      </c>
      <c r="BU46" s="80">
        <v>5250</v>
      </c>
      <c r="BV46" s="80">
        <v>4933</v>
      </c>
      <c r="BW46" s="80">
        <v>5096</v>
      </c>
      <c r="BX46" s="80">
        <v>4723</v>
      </c>
      <c r="BY46" s="80">
        <v>4490</v>
      </c>
      <c r="BZ46" s="80">
        <v>4363</v>
      </c>
      <c r="CA46" s="80">
        <v>4220</v>
      </c>
      <c r="CB46" s="80">
        <v>4135</v>
      </c>
      <c r="CC46" s="80">
        <v>4159</v>
      </c>
      <c r="CD46" s="80">
        <v>4151</v>
      </c>
      <c r="CE46" s="80">
        <v>4279</v>
      </c>
      <c r="CF46" s="80">
        <v>4411</v>
      </c>
      <c r="CG46" s="80">
        <v>4532</v>
      </c>
      <c r="CH46" s="80">
        <v>4786</v>
      </c>
      <c r="CI46" s="80">
        <v>3930</v>
      </c>
      <c r="CJ46" s="80">
        <v>3606</v>
      </c>
      <c r="CK46" s="80">
        <v>3384</v>
      </c>
      <c r="CL46" s="80">
        <v>3044</v>
      </c>
      <c r="CM46" s="80">
        <v>2712</v>
      </c>
      <c r="CN46" s="80">
        <v>2280</v>
      </c>
      <c r="CO46" s="80">
        <v>2329</v>
      </c>
      <c r="CP46" s="80">
        <v>2125</v>
      </c>
      <c r="CQ46" s="80">
        <v>2064</v>
      </c>
      <c r="CR46" s="80">
        <v>1983</v>
      </c>
      <c r="CS46" s="80">
        <v>1657</v>
      </c>
      <c r="CT46" s="80">
        <v>1573</v>
      </c>
      <c r="CU46" s="80">
        <v>1337</v>
      </c>
      <c r="CV46" s="80">
        <v>1123</v>
      </c>
      <c r="CW46" s="80">
        <v>1074</v>
      </c>
      <c r="CX46" s="80">
        <v>846</v>
      </c>
      <c r="CY46" s="80">
        <v>2777</v>
      </c>
      <c r="CZ46" s="81">
        <v>4679</v>
      </c>
      <c r="DA46" s="81">
        <v>4799</v>
      </c>
      <c r="DB46" s="81">
        <v>5136</v>
      </c>
      <c r="DC46" s="81">
        <v>5407</v>
      </c>
      <c r="DD46" s="81">
        <v>5651</v>
      </c>
      <c r="DE46" s="81">
        <v>5649</v>
      </c>
      <c r="DF46" s="81">
        <v>5655</v>
      </c>
      <c r="DG46" s="81">
        <v>5859</v>
      </c>
      <c r="DH46" s="81">
        <v>6010</v>
      </c>
      <c r="DI46" s="81">
        <v>5607</v>
      </c>
      <c r="DJ46" s="81">
        <v>5512</v>
      </c>
      <c r="DK46" s="81">
        <v>5611</v>
      </c>
      <c r="DL46" s="81">
        <v>5362</v>
      </c>
      <c r="DM46" s="81">
        <v>5274</v>
      </c>
      <c r="DN46" s="81">
        <v>5089</v>
      </c>
      <c r="DO46" s="81">
        <v>4849</v>
      </c>
      <c r="DP46" s="81">
        <v>4997</v>
      </c>
      <c r="DQ46" s="81">
        <v>4722</v>
      </c>
      <c r="DR46" s="81">
        <v>4666</v>
      </c>
      <c r="DS46" s="81">
        <v>4822</v>
      </c>
      <c r="DT46" s="81">
        <v>4771</v>
      </c>
      <c r="DU46" s="81">
        <v>5033</v>
      </c>
      <c r="DV46" s="81">
        <v>5232</v>
      </c>
      <c r="DW46" s="81">
        <v>5420</v>
      </c>
      <c r="DX46" s="81">
        <v>5606</v>
      </c>
      <c r="DY46" s="81">
        <v>5141</v>
      </c>
      <c r="DZ46" s="81">
        <v>5098</v>
      </c>
      <c r="EA46" s="81">
        <v>5030</v>
      </c>
      <c r="EB46" s="81">
        <v>5190</v>
      </c>
      <c r="EC46" s="81">
        <v>5115</v>
      </c>
      <c r="ED46" s="81">
        <v>5116</v>
      </c>
      <c r="EE46" s="81">
        <v>5274</v>
      </c>
      <c r="EF46" s="81">
        <v>5641</v>
      </c>
      <c r="EG46" s="81">
        <v>5630</v>
      </c>
      <c r="EH46" s="81">
        <v>5665</v>
      </c>
      <c r="EI46" s="81">
        <v>5953</v>
      </c>
      <c r="EJ46" s="81">
        <v>5823</v>
      </c>
      <c r="EK46" s="81">
        <v>6012</v>
      </c>
      <c r="EL46" s="81">
        <v>6036</v>
      </c>
      <c r="EM46" s="81">
        <v>6146</v>
      </c>
      <c r="EN46" s="81">
        <v>6150</v>
      </c>
      <c r="EO46" s="81">
        <v>5929</v>
      </c>
      <c r="EP46" s="81">
        <v>5553</v>
      </c>
      <c r="EQ46" s="81">
        <v>5610</v>
      </c>
      <c r="ER46" s="81">
        <v>5405</v>
      </c>
      <c r="ES46" s="81">
        <v>5509</v>
      </c>
      <c r="ET46" s="81">
        <v>5745</v>
      </c>
      <c r="EU46" s="81">
        <v>5939</v>
      </c>
      <c r="EV46" s="81">
        <v>6248</v>
      </c>
      <c r="EW46" s="81">
        <v>6436</v>
      </c>
      <c r="EX46" s="81">
        <v>6063</v>
      </c>
      <c r="EY46" s="81">
        <v>6219</v>
      </c>
      <c r="EZ46" s="81">
        <v>6285</v>
      </c>
      <c r="FA46" s="81">
        <v>6278</v>
      </c>
      <c r="FB46" s="81">
        <v>6185</v>
      </c>
      <c r="FC46" s="81">
        <v>6222</v>
      </c>
      <c r="FD46" s="81">
        <v>6174</v>
      </c>
      <c r="FE46" s="81">
        <v>5960</v>
      </c>
      <c r="FF46" s="81">
        <v>5760</v>
      </c>
      <c r="FG46" s="81">
        <v>5501</v>
      </c>
      <c r="FH46" s="81">
        <v>5189</v>
      </c>
      <c r="FI46" s="81">
        <v>5079</v>
      </c>
      <c r="FJ46" s="81">
        <v>5015</v>
      </c>
      <c r="FK46" s="81">
        <v>4807</v>
      </c>
      <c r="FL46" s="81">
        <v>4667</v>
      </c>
      <c r="FM46" s="81">
        <v>4673</v>
      </c>
      <c r="FN46" s="81">
        <v>4862</v>
      </c>
      <c r="FO46" s="81">
        <v>4586</v>
      </c>
      <c r="FP46" s="81">
        <v>4628</v>
      </c>
      <c r="FQ46" s="81">
        <v>4450</v>
      </c>
      <c r="FR46" s="81">
        <v>4397</v>
      </c>
      <c r="FS46" s="81">
        <v>4563</v>
      </c>
      <c r="FT46" s="81">
        <v>4718</v>
      </c>
      <c r="FU46" s="81">
        <v>5386</v>
      </c>
      <c r="FV46" s="81">
        <v>3937</v>
      </c>
      <c r="FW46" s="81">
        <v>3799</v>
      </c>
      <c r="FX46" s="81">
        <v>3705</v>
      </c>
      <c r="FY46" s="81">
        <v>3470</v>
      </c>
      <c r="FZ46" s="81">
        <v>2955</v>
      </c>
      <c r="GA46" s="81">
        <v>2605</v>
      </c>
      <c r="GB46" s="81">
        <v>2729</v>
      </c>
      <c r="GC46" s="81">
        <v>2713</v>
      </c>
      <c r="GD46" s="81">
        <v>2457</v>
      </c>
      <c r="GE46" s="81">
        <v>2305</v>
      </c>
      <c r="GF46" s="81">
        <v>2147</v>
      </c>
      <c r="GG46" s="81">
        <v>1962</v>
      </c>
      <c r="GH46" s="81">
        <v>1791</v>
      </c>
      <c r="GI46" s="81">
        <v>1602</v>
      </c>
      <c r="GJ46" s="81">
        <v>1499</v>
      </c>
      <c r="GK46" s="81">
        <v>1383</v>
      </c>
      <c r="GL46" s="82">
        <v>5999</v>
      </c>
    </row>
    <row r="47" spans="1:194" s="1" customFormat="1" hidden="1" x14ac:dyDescent="0.2">
      <c r="A47" s="83" t="s">
        <v>220</v>
      </c>
      <c r="B47" s="262" t="s">
        <v>257</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0">
        <v>738</v>
      </c>
      <c r="N47" s="80">
        <v>774</v>
      </c>
      <c r="O47" s="80">
        <v>794</v>
      </c>
      <c r="P47" s="80">
        <v>764</v>
      </c>
      <c r="Q47" s="80">
        <v>777</v>
      </c>
      <c r="R47" s="80">
        <v>762</v>
      </c>
      <c r="S47" s="80">
        <v>777</v>
      </c>
      <c r="T47" s="80">
        <v>819</v>
      </c>
      <c r="U47" s="80">
        <v>817</v>
      </c>
      <c r="V47" s="80">
        <v>813</v>
      </c>
      <c r="W47" s="80">
        <v>824</v>
      </c>
      <c r="X47" s="80">
        <v>805</v>
      </c>
      <c r="Y47" s="80">
        <v>805</v>
      </c>
      <c r="Z47" s="80">
        <v>755</v>
      </c>
      <c r="AA47" s="80">
        <v>824</v>
      </c>
      <c r="AB47" s="80">
        <v>732</v>
      </c>
      <c r="AC47" s="80">
        <v>811</v>
      </c>
      <c r="AD47" s="80">
        <v>732</v>
      </c>
      <c r="AE47" s="80">
        <v>720</v>
      </c>
      <c r="AF47" s="80">
        <v>659</v>
      </c>
      <c r="AG47" s="80">
        <v>632</v>
      </c>
      <c r="AH47" s="80">
        <v>705</v>
      </c>
      <c r="AI47" s="80">
        <v>716</v>
      </c>
      <c r="AJ47" s="80">
        <v>818</v>
      </c>
      <c r="AK47" s="80">
        <v>839</v>
      </c>
      <c r="AL47" s="80">
        <v>854</v>
      </c>
      <c r="AM47" s="80">
        <v>893</v>
      </c>
      <c r="AN47" s="80">
        <v>841</v>
      </c>
      <c r="AO47" s="80">
        <v>886</v>
      </c>
      <c r="AP47" s="80">
        <v>919</v>
      </c>
      <c r="AQ47" s="80">
        <v>944</v>
      </c>
      <c r="AR47" s="80">
        <v>867</v>
      </c>
      <c r="AS47" s="80">
        <v>915</v>
      </c>
      <c r="AT47" s="80">
        <v>907</v>
      </c>
      <c r="AU47" s="80">
        <v>919</v>
      </c>
      <c r="AV47" s="80">
        <v>850</v>
      </c>
      <c r="AW47" s="80">
        <v>903</v>
      </c>
      <c r="AX47" s="80">
        <v>830</v>
      </c>
      <c r="AY47" s="80">
        <v>869</v>
      </c>
      <c r="AZ47" s="80">
        <v>841</v>
      </c>
      <c r="BA47" s="80">
        <v>806</v>
      </c>
      <c r="BB47" s="80">
        <v>795</v>
      </c>
      <c r="BC47" s="80">
        <v>662</v>
      </c>
      <c r="BD47" s="80">
        <v>687</v>
      </c>
      <c r="BE47" s="80">
        <v>815</v>
      </c>
      <c r="BF47" s="80">
        <v>810</v>
      </c>
      <c r="BG47" s="80">
        <v>816</v>
      </c>
      <c r="BH47" s="80">
        <v>942</v>
      </c>
      <c r="BI47" s="80">
        <v>1047</v>
      </c>
      <c r="BJ47" s="80">
        <v>1022</v>
      </c>
      <c r="BK47" s="80">
        <v>1036</v>
      </c>
      <c r="BL47" s="80">
        <v>1121</v>
      </c>
      <c r="BM47" s="80">
        <v>1078</v>
      </c>
      <c r="BN47" s="80">
        <v>1071</v>
      </c>
      <c r="BO47" s="80">
        <v>1120</v>
      </c>
      <c r="BP47" s="80">
        <v>1050</v>
      </c>
      <c r="BQ47" s="80">
        <v>1122</v>
      </c>
      <c r="BR47" s="80">
        <v>1031</v>
      </c>
      <c r="BS47" s="80">
        <v>1011</v>
      </c>
      <c r="BT47" s="80">
        <v>958</v>
      </c>
      <c r="BU47" s="80">
        <v>828</v>
      </c>
      <c r="BV47" s="80">
        <v>914</v>
      </c>
      <c r="BW47" s="80">
        <v>830</v>
      </c>
      <c r="BX47" s="80">
        <v>814</v>
      </c>
      <c r="BY47" s="80">
        <v>748</v>
      </c>
      <c r="BZ47" s="80">
        <v>717</v>
      </c>
      <c r="CA47" s="80">
        <v>794</v>
      </c>
      <c r="CB47" s="80">
        <v>704</v>
      </c>
      <c r="CC47" s="80">
        <v>648</v>
      </c>
      <c r="CD47" s="80">
        <v>692</v>
      </c>
      <c r="CE47" s="80">
        <v>716</v>
      </c>
      <c r="CF47" s="80">
        <v>717</v>
      </c>
      <c r="CG47" s="80">
        <v>744</v>
      </c>
      <c r="CH47" s="80">
        <v>804</v>
      </c>
      <c r="CI47" s="80">
        <v>651</v>
      </c>
      <c r="CJ47" s="80">
        <v>698</v>
      </c>
      <c r="CK47" s="80">
        <v>595</v>
      </c>
      <c r="CL47" s="80">
        <v>557</v>
      </c>
      <c r="CM47" s="80">
        <v>489</v>
      </c>
      <c r="CN47" s="80">
        <v>400</v>
      </c>
      <c r="CO47" s="80">
        <v>414</v>
      </c>
      <c r="CP47" s="80">
        <v>386</v>
      </c>
      <c r="CQ47" s="80">
        <v>324</v>
      </c>
      <c r="CR47" s="80">
        <v>316</v>
      </c>
      <c r="CS47" s="80">
        <v>252</v>
      </c>
      <c r="CT47" s="80">
        <v>224</v>
      </c>
      <c r="CU47" s="80">
        <v>176</v>
      </c>
      <c r="CV47" s="80">
        <v>147</v>
      </c>
      <c r="CW47" s="80">
        <v>123</v>
      </c>
      <c r="CX47" s="80">
        <v>127</v>
      </c>
      <c r="CY47" s="80">
        <v>354</v>
      </c>
      <c r="CZ47" s="81">
        <v>653</v>
      </c>
      <c r="DA47" s="81">
        <v>696</v>
      </c>
      <c r="DB47" s="81">
        <v>744</v>
      </c>
      <c r="DC47" s="81">
        <v>712</v>
      </c>
      <c r="DD47" s="81">
        <v>707</v>
      </c>
      <c r="DE47" s="81">
        <v>725</v>
      </c>
      <c r="DF47" s="81">
        <v>743</v>
      </c>
      <c r="DG47" s="81">
        <v>838</v>
      </c>
      <c r="DH47" s="81">
        <v>752</v>
      </c>
      <c r="DI47" s="81">
        <v>807</v>
      </c>
      <c r="DJ47" s="81">
        <v>737</v>
      </c>
      <c r="DK47" s="81">
        <v>770</v>
      </c>
      <c r="DL47" s="81">
        <v>785</v>
      </c>
      <c r="DM47" s="81">
        <v>824</v>
      </c>
      <c r="DN47" s="81">
        <v>767</v>
      </c>
      <c r="DO47" s="81">
        <v>709</v>
      </c>
      <c r="DP47" s="81">
        <v>717</v>
      </c>
      <c r="DQ47" s="81">
        <v>699</v>
      </c>
      <c r="DR47" s="81">
        <v>636</v>
      </c>
      <c r="DS47" s="81">
        <v>569</v>
      </c>
      <c r="DT47" s="81">
        <v>562</v>
      </c>
      <c r="DU47" s="81">
        <v>628</v>
      </c>
      <c r="DV47" s="81">
        <v>705</v>
      </c>
      <c r="DW47" s="81">
        <v>825</v>
      </c>
      <c r="DX47" s="81">
        <v>757</v>
      </c>
      <c r="DY47" s="81">
        <v>827</v>
      </c>
      <c r="DZ47" s="81">
        <v>899</v>
      </c>
      <c r="EA47" s="81">
        <v>902</v>
      </c>
      <c r="EB47" s="81">
        <v>977</v>
      </c>
      <c r="EC47" s="81">
        <v>992</v>
      </c>
      <c r="ED47" s="81">
        <v>898</v>
      </c>
      <c r="EE47" s="81">
        <v>952</v>
      </c>
      <c r="EF47" s="81">
        <v>921</v>
      </c>
      <c r="EG47" s="81">
        <v>963</v>
      </c>
      <c r="EH47" s="81">
        <v>937</v>
      </c>
      <c r="EI47" s="81">
        <v>874</v>
      </c>
      <c r="EJ47" s="81">
        <v>926</v>
      </c>
      <c r="EK47" s="81">
        <v>877</v>
      </c>
      <c r="EL47" s="81">
        <v>874</v>
      </c>
      <c r="EM47" s="81">
        <v>903</v>
      </c>
      <c r="EN47" s="81">
        <v>865</v>
      </c>
      <c r="EO47" s="81">
        <v>814</v>
      </c>
      <c r="EP47" s="81">
        <v>696</v>
      </c>
      <c r="EQ47" s="81">
        <v>700</v>
      </c>
      <c r="ER47" s="81">
        <v>762</v>
      </c>
      <c r="ES47" s="81">
        <v>783</v>
      </c>
      <c r="ET47" s="81">
        <v>896</v>
      </c>
      <c r="EU47" s="81">
        <v>953</v>
      </c>
      <c r="EV47" s="81">
        <v>1001</v>
      </c>
      <c r="EW47" s="81">
        <v>1046</v>
      </c>
      <c r="EX47" s="81">
        <v>1053</v>
      </c>
      <c r="EY47" s="81">
        <v>1065</v>
      </c>
      <c r="EZ47" s="81">
        <v>1100</v>
      </c>
      <c r="FA47" s="81">
        <v>1018</v>
      </c>
      <c r="FB47" s="81">
        <v>1084</v>
      </c>
      <c r="FC47" s="81">
        <v>1080</v>
      </c>
      <c r="FD47" s="81">
        <v>1049</v>
      </c>
      <c r="FE47" s="81">
        <v>1058</v>
      </c>
      <c r="FF47" s="81">
        <v>1038</v>
      </c>
      <c r="FG47" s="81">
        <v>962</v>
      </c>
      <c r="FH47" s="81">
        <v>844</v>
      </c>
      <c r="FI47" s="81">
        <v>872</v>
      </c>
      <c r="FJ47" s="81">
        <v>832</v>
      </c>
      <c r="FK47" s="81">
        <v>810</v>
      </c>
      <c r="FL47" s="81">
        <v>815</v>
      </c>
      <c r="FM47" s="81">
        <v>776</v>
      </c>
      <c r="FN47" s="81">
        <v>769</v>
      </c>
      <c r="FO47" s="81">
        <v>801</v>
      </c>
      <c r="FP47" s="81">
        <v>720</v>
      </c>
      <c r="FQ47" s="81">
        <v>750</v>
      </c>
      <c r="FR47" s="81">
        <v>821</v>
      </c>
      <c r="FS47" s="81">
        <v>709</v>
      </c>
      <c r="FT47" s="81">
        <v>822</v>
      </c>
      <c r="FU47" s="81">
        <v>907</v>
      </c>
      <c r="FV47" s="81">
        <v>689</v>
      </c>
      <c r="FW47" s="81">
        <v>675</v>
      </c>
      <c r="FX47" s="81">
        <v>657</v>
      </c>
      <c r="FY47" s="81">
        <v>616</v>
      </c>
      <c r="FZ47" s="81">
        <v>590</v>
      </c>
      <c r="GA47" s="81">
        <v>470</v>
      </c>
      <c r="GB47" s="81">
        <v>477</v>
      </c>
      <c r="GC47" s="81">
        <v>484</v>
      </c>
      <c r="GD47" s="81">
        <v>434</v>
      </c>
      <c r="GE47" s="81">
        <v>419</v>
      </c>
      <c r="GF47" s="81">
        <v>341</v>
      </c>
      <c r="GG47" s="81">
        <v>279</v>
      </c>
      <c r="GH47" s="81">
        <v>268</v>
      </c>
      <c r="GI47" s="81">
        <v>234</v>
      </c>
      <c r="GJ47" s="81">
        <v>235</v>
      </c>
      <c r="GK47" s="81">
        <v>200</v>
      </c>
      <c r="GL47" s="82">
        <v>829</v>
      </c>
    </row>
    <row r="48" spans="1:194" s="1" customFormat="1" hidden="1" x14ac:dyDescent="0.2">
      <c r="A48" s="83" t="s">
        <v>220</v>
      </c>
      <c r="B48" s="262" t="s">
        <v>258</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0">
        <v>782</v>
      </c>
      <c r="N48" s="80">
        <v>813</v>
      </c>
      <c r="O48" s="80">
        <v>899</v>
      </c>
      <c r="P48" s="80">
        <v>935</v>
      </c>
      <c r="Q48" s="80">
        <v>961</v>
      </c>
      <c r="R48" s="80">
        <v>949</v>
      </c>
      <c r="S48" s="80">
        <v>959</v>
      </c>
      <c r="T48" s="80">
        <v>1074</v>
      </c>
      <c r="U48" s="80">
        <v>1027</v>
      </c>
      <c r="V48" s="80">
        <v>1053</v>
      </c>
      <c r="W48" s="80">
        <v>1000</v>
      </c>
      <c r="X48" s="80">
        <v>1081</v>
      </c>
      <c r="Y48" s="80">
        <v>1095</v>
      </c>
      <c r="Z48" s="80">
        <v>1044</v>
      </c>
      <c r="AA48" s="80">
        <v>1065</v>
      </c>
      <c r="AB48" s="80">
        <v>941</v>
      </c>
      <c r="AC48" s="80">
        <v>1056</v>
      </c>
      <c r="AD48" s="80">
        <v>1008</v>
      </c>
      <c r="AE48" s="80">
        <v>855</v>
      </c>
      <c r="AF48" s="80">
        <v>835</v>
      </c>
      <c r="AG48" s="80">
        <v>784</v>
      </c>
      <c r="AH48" s="80">
        <v>835</v>
      </c>
      <c r="AI48" s="80">
        <v>1003</v>
      </c>
      <c r="AJ48" s="80">
        <v>1061</v>
      </c>
      <c r="AK48" s="80">
        <v>1013</v>
      </c>
      <c r="AL48" s="80">
        <v>1024</v>
      </c>
      <c r="AM48" s="80">
        <v>1013</v>
      </c>
      <c r="AN48" s="80">
        <v>955</v>
      </c>
      <c r="AO48" s="80">
        <v>938</v>
      </c>
      <c r="AP48" s="80">
        <v>1001</v>
      </c>
      <c r="AQ48" s="80">
        <v>982</v>
      </c>
      <c r="AR48" s="80">
        <v>988</v>
      </c>
      <c r="AS48" s="80">
        <v>965</v>
      </c>
      <c r="AT48" s="80">
        <v>912</v>
      </c>
      <c r="AU48" s="80">
        <v>972</v>
      </c>
      <c r="AV48" s="80">
        <v>953</v>
      </c>
      <c r="AW48" s="80">
        <v>868</v>
      </c>
      <c r="AX48" s="80">
        <v>880</v>
      </c>
      <c r="AY48" s="80">
        <v>945</v>
      </c>
      <c r="AZ48" s="80">
        <v>964</v>
      </c>
      <c r="BA48" s="80">
        <v>956</v>
      </c>
      <c r="BB48" s="80">
        <v>983</v>
      </c>
      <c r="BC48" s="80">
        <v>897</v>
      </c>
      <c r="BD48" s="80">
        <v>962</v>
      </c>
      <c r="BE48" s="80">
        <v>935</v>
      </c>
      <c r="BF48" s="80">
        <v>1082</v>
      </c>
      <c r="BG48" s="80">
        <v>1096</v>
      </c>
      <c r="BH48" s="80">
        <v>1109</v>
      </c>
      <c r="BI48" s="80">
        <v>1130</v>
      </c>
      <c r="BJ48" s="80">
        <v>1242</v>
      </c>
      <c r="BK48" s="80">
        <v>1223</v>
      </c>
      <c r="BL48" s="80">
        <v>1320</v>
      </c>
      <c r="BM48" s="80">
        <v>1261</v>
      </c>
      <c r="BN48" s="80">
        <v>1350</v>
      </c>
      <c r="BO48" s="80">
        <v>1354</v>
      </c>
      <c r="BP48" s="80">
        <v>1292</v>
      </c>
      <c r="BQ48" s="80">
        <v>1251</v>
      </c>
      <c r="BR48" s="80">
        <v>1285</v>
      </c>
      <c r="BS48" s="80">
        <v>1271</v>
      </c>
      <c r="BT48" s="80">
        <v>1229</v>
      </c>
      <c r="BU48" s="80">
        <v>1133</v>
      </c>
      <c r="BV48" s="80">
        <v>1193</v>
      </c>
      <c r="BW48" s="80">
        <v>1115</v>
      </c>
      <c r="BX48" s="80">
        <v>1147</v>
      </c>
      <c r="BY48" s="80">
        <v>1000</v>
      </c>
      <c r="BZ48" s="80">
        <v>959</v>
      </c>
      <c r="CA48" s="80">
        <v>1007</v>
      </c>
      <c r="CB48" s="80">
        <v>1075</v>
      </c>
      <c r="CC48" s="80">
        <v>955</v>
      </c>
      <c r="CD48" s="80">
        <v>955</v>
      </c>
      <c r="CE48" s="80">
        <v>972</v>
      </c>
      <c r="CF48" s="80">
        <v>1083</v>
      </c>
      <c r="CG48" s="80">
        <v>1229</v>
      </c>
      <c r="CH48" s="80">
        <v>1450</v>
      </c>
      <c r="CI48" s="80">
        <v>1006</v>
      </c>
      <c r="CJ48" s="80">
        <v>968</v>
      </c>
      <c r="CK48" s="80">
        <v>893</v>
      </c>
      <c r="CL48" s="80">
        <v>841</v>
      </c>
      <c r="CM48" s="80">
        <v>692</v>
      </c>
      <c r="CN48" s="80">
        <v>626</v>
      </c>
      <c r="CO48" s="80">
        <v>605</v>
      </c>
      <c r="CP48" s="80">
        <v>568</v>
      </c>
      <c r="CQ48" s="80">
        <v>550</v>
      </c>
      <c r="CR48" s="80">
        <v>514</v>
      </c>
      <c r="CS48" s="80">
        <v>498</v>
      </c>
      <c r="CT48" s="80">
        <v>364</v>
      </c>
      <c r="CU48" s="80">
        <v>356</v>
      </c>
      <c r="CV48" s="80">
        <v>327</v>
      </c>
      <c r="CW48" s="80">
        <v>264</v>
      </c>
      <c r="CX48" s="80">
        <v>196</v>
      </c>
      <c r="CY48" s="80">
        <v>590</v>
      </c>
      <c r="CZ48" s="81">
        <v>804</v>
      </c>
      <c r="DA48" s="81">
        <v>800</v>
      </c>
      <c r="DB48" s="81">
        <v>844</v>
      </c>
      <c r="DC48" s="81">
        <v>856</v>
      </c>
      <c r="DD48" s="81">
        <v>830</v>
      </c>
      <c r="DE48" s="81">
        <v>936</v>
      </c>
      <c r="DF48" s="81">
        <v>961</v>
      </c>
      <c r="DG48" s="81">
        <v>907</v>
      </c>
      <c r="DH48" s="81">
        <v>900</v>
      </c>
      <c r="DI48" s="81">
        <v>1048</v>
      </c>
      <c r="DJ48" s="81">
        <v>1100</v>
      </c>
      <c r="DK48" s="81">
        <v>1048</v>
      </c>
      <c r="DL48" s="81">
        <v>1015</v>
      </c>
      <c r="DM48" s="81">
        <v>957</v>
      </c>
      <c r="DN48" s="81">
        <v>988</v>
      </c>
      <c r="DO48" s="81">
        <v>949</v>
      </c>
      <c r="DP48" s="81">
        <v>969</v>
      </c>
      <c r="DQ48" s="81">
        <v>934</v>
      </c>
      <c r="DR48" s="81">
        <v>885</v>
      </c>
      <c r="DS48" s="81">
        <v>723</v>
      </c>
      <c r="DT48" s="81">
        <v>749</v>
      </c>
      <c r="DU48" s="81">
        <v>790</v>
      </c>
      <c r="DV48" s="81">
        <v>879</v>
      </c>
      <c r="DW48" s="81">
        <v>907</v>
      </c>
      <c r="DX48" s="81">
        <v>949</v>
      </c>
      <c r="DY48" s="81">
        <v>919</v>
      </c>
      <c r="DZ48" s="81">
        <v>928</v>
      </c>
      <c r="EA48" s="81">
        <v>946</v>
      </c>
      <c r="EB48" s="81">
        <v>1019</v>
      </c>
      <c r="EC48" s="81">
        <v>947</v>
      </c>
      <c r="ED48" s="81">
        <v>949</v>
      </c>
      <c r="EE48" s="81">
        <v>1012</v>
      </c>
      <c r="EF48" s="81">
        <v>1022</v>
      </c>
      <c r="EG48" s="81">
        <v>970</v>
      </c>
      <c r="EH48" s="81">
        <v>926</v>
      </c>
      <c r="EI48" s="81">
        <v>936</v>
      </c>
      <c r="EJ48" s="81">
        <v>977</v>
      </c>
      <c r="EK48" s="81">
        <v>985</v>
      </c>
      <c r="EL48" s="81">
        <v>1050</v>
      </c>
      <c r="EM48" s="81">
        <v>1058</v>
      </c>
      <c r="EN48" s="81">
        <v>1126</v>
      </c>
      <c r="EO48" s="81">
        <v>1038</v>
      </c>
      <c r="EP48" s="81">
        <v>935</v>
      </c>
      <c r="EQ48" s="81">
        <v>984</v>
      </c>
      <c r="ER48" s="81">
        <v>1064</v>
      </c>
      <c r="ES48" s="81">
        <v>1070</v>
      </c>
      <c r="ET48" s="81">
        <v>1077</v>
      </c>
      <c r="EU48" s="81">
        <v>1188</v>
      </c>
      <c r="EV48" s="81">
        <v>1250</v>
      </c>
      <c r="EW48" s="81">
        <v>1329</v>
      </c>
      <c r="EX48" s="81">
        <v>1334</v>
      </c>
      <c r="EY48" s="81">
        <v>1375</v>
      </c>
      <c r="EZ48" s="81">
        <v>1353</v>
      </c>
      <c r="FA48" s="81">
        <v>1415</v>
      </c>
      <c r="FB48" s="81">
        <v>1291</v>
      </c>
      <c r="FC48" s="81">
        <v>1337</v>
      </c>
      <c r="FD48" s="81">
        <v>1302</v>
      </c>
      <c r="FE48" s="81">
        <v>1342</v>
      </c>
      <c r="FF48" s="81">
        <v>1279</v>
      </c>
      <c r="FG48" s="81">
        <v>1259</v>
      </c>
      <c r="FH48" s="81">
        <v>1161</v>
      </c>
      <c r="FI48" s="81">
        <v>1127</v>
      </c>
      <c r="FJ48" s="81">
        <v>1167</v>
      </c>
      <c r="FK48" s="81">
        <v>1095</v>
      </c>
      <c r="FL48" s="81">
        <v>1107</v>
      </c>
      <c r="FM48" s="81">
        <v>1075</v>
      </c>
      <c r="FN48" s="81">
        <v>1118</v>
      </c>
      <c r="FO48" s="81">
        <v>1139</v>
      </c>
      <c r="FP48" s="81">
        <v>1092</v>
      </c>
      <c r="FQ48" s="81">
        <v>1153</v>
      </c>
      <c r="FR48" s="81">
        <v>1203</v>
      </c>
      <c r="FS48" s="81">
        <v>1231</v>
      </c>
      <c r="FT48" s="81">
        <v>1391</v>
      </c>
      <c r="FU48" s="81">
        <v>1578</v>
      </c>
      <c r="FV48" s="81">
        <v>1174</v>
      </c>
      <c r="FW48" s="81">
        <v>1084</v>
      </c>
      <c r="FX48" s="81">
        <v>1049</v>
      </c>
      <c r="FY48" s="81">
        <v>1025</v>
      </c>
      <c r="FZ48" s="81">
        <v>902</v>
      </c>
      <c r="GA48" s="81">
        <v>747</v>
      </c>
      <c r="GB48" s="81">
        <v>764</v>
      </c>
      <c r="GC48" s="81">
        <v>821</v>
      </c>
      <c r="GD48" s="81">
        <v>714</v>
      </c>
      <c r="GE48" s="81">
        <v>668</v>
      </c>
      <c r="GF48" s="81">
        <v>636</v>
      </c>
      <c r="GG48" s="81">
        <v>531</v>
      </c>
      <c r="GH48" s="81">
        <v>460</v>
      </c>
      <c r="GI48" s="81">
        <v>436</v>
      </c>
      <c r="GJ48" s="81">
        <v>390</v>
      </c>
      <c r="GK48" s="81">
        <v>335</v>
      </c>
      <c r="GL48" s="82">
        <v>1211</v>
      </c>
    </row>
    <row r="49" spans="1:194" s="1" customFormat="1" hidden="1" x14ac:dyDescent="0.2">
      <c r="A49" s="83" t="s">
        <v>220</v>
      </c>
      <c r="B49" s="262" t="s">
        <v>259</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0">
        <v>3633</v>
      </c>
      <c r="N49" s="80">
        <v>3654</v>
      </c>
      <c r="O49" s="80">
        <v>4108</v>
      </c>
      <c r="P49" s="80">
        <v>4104</v>
      </c>
      <c r="Q49" s="80">
        <v>4274</v>
      </c>
      <c r="R49" s="80">
        <v>4226</v>
      </c>
      <c r="S49" s="80">
        <v>4261</v>
      </c>
      <c r="T49" s="80">
        <v>4517</v>
      </c>
      <c r="U49" s="80">
        <v>4559</v>
      </c>
      <c r="V49" s="80">
        <v>4403</v>
      </c>
      <c r="W49" s="80">
        <v>4223</v>
      </c>
      <c r="X49" s="80">
        <v>4341</v>
      </c>
      <c r="Y49" s="80">
        <v>4527</v>
      </c>
      <c r="Z49" s="80">
        <v>4406</v>
      </c>
      <c r="AA49" s="80">
        <v>4338</v>
      </c>
      <c r="AB49" s="80">
        <v>4157</v>
      </c>
      <c r="AC49" s="80">
        <v>4078</v>
      </c>
      <c r="AD49" s="80">
        <v>3913</v>
      </c>
      <c r="AE49" s="80">
        <v>3759</v>
      </c>
      <c r="AF49" s="80">
        <v>3090</v>
      </c>
      <c r="AG49" s="80">
        <v>3026</v>
      </c>
      <c r="AH49" s="80">
        <v>3381</v>
      </c>
      <c r="AI49" s="80">
        <v>3699</v>
      </c>
      <c r="AJ49" s="80">
        <v>3839</v>
      </c>
      <c r="AK49" s="80">
        <v>3768</v>
      </c>
      <c r="AL49" s="80">
        <v>4043</v>
      </c>
      <c r="AM49" s="80">
        <v>3958</v>
      </c>
      <c r="AN49" s="80">
        <v>4111</v>
      </c>
      <c r="AO49" s="80">
        <v>4106</v>
      </c>
      <c r="AP49" s="80">
        <v>3880</v>
      </c>
      <c r="AQ49" s="80">
        <v>3984</v>
      </c>
      <c r="AR49" s="80">
        <v>3670</v>
      </c>
      <c r="AS49" s="80">
        <v>3913</v>
      </c>
      <c r="AT49" s="80">
        <v>3561</v>
      </c>
      <c r="AU49" s="80">
        <v>3979</v>
      </c>
      <c r="AV49" s="80">
        <v>4055</v>
      </c>
      <c r="AW49" s="80">
        <v>3814</v>
      </c>
      <c r="AX49" s="80">
        <v>4013</v>
      </c>
      <c r="AY49" s="80">
        <v>4017</v>
      </c>
      <c r="AZ49" s="80">
        <v>4114</v>
      </c>
      <c r="BA49" s="80">
        <v>4261</v>
      </c>
      <c r="BB49" s="80">
        <v>4228</v>
      </c>
      <c r="BC49" s="80">
        <v>3866</v>
      </c>
      <c r="BD49" s="80">
        <v>3787</v>
      </c>
      <c r="BE49" s="80">
        <v>4247</v>
      </c>
      <c r="BF49" s="80">
        <v>4370</v>
      </c>
      <c r="BG49" s="80">
        <v>4491</v>
      </c>
      <c r="BH49" s="80">
        <v>4891</v>
      </c>
      <c r="BI49" s="80">
        <v>5199</v>
      </c>
      <c r="BJ49" s="80">
        <v>5269</v>
      </c>
      <c r="BK49" s="80">
        <v>5091</v>
      </c>
      <c r="BL49" s="80">
        <v>5364</v>
      </c>
      <c r="BM49" s="80">
        <v>5464</v>
      </c>
      <c r="BN49" s="80">
        <v>5413</v>
      </c>
      <c r="BO49" s="80">
        <v>5439</v>
      </c>
      <c r="BP49" s="80">
        <v>5382</v>
      </c>
      <c r="BQ49" s="80">
        <v>5578</v>
      </c>
      <c r="BR49" s="80">
        <v>5618</v>
      </c>
      <c r="BS49" s="80">
        <v>5404</v>
      </c>
      <c r="BT49" s="80">
        <v>5158</v>
      </c>
      <c r="BU49" s="80">
        <v>4883</v>
      </c>
      <c r="BV49" s="80">
        <v>4654</v>
      </c>
      <c r="BW49" s="80">
        <v>4679</v>
      </c>
      <c r="BX49" s="80">
        <v>4357</v>
      </c>
      <c r="BY49" s="80">
        <v>4366</v>
      </c>
      <c r="BZ49" s="80">
        <v>4075</v>
      </c>
      <c r="CA49" s="80">
        <v>4119</v>
      </c>
      <c r="CB49" s="80">
        <v>4181</v>
      </c>
      <c r="CC49" s="80">
        <v>3915</v>
      </c>
      <c r="CD49" s="80">
        <v>4163</v>
      </c>
      <c r="CE49" s="80">
        <v>4193</v>
      </c>
      <c r="CF49" s="80">
        <v>4339</v>
      </c>
      <c r="CG49" s="80">
        <v>4549</v>
      </c>
      <c r="CH49" s="80">
        <v>4938</v>
      </c>
      <c r="CI49" s="80">
        <v>3614</v>
      </c>
      <c r="CJ49" s="80">
        <v>3655</v>
      </c>
      <c r="CK49" s="80">
        <v>3519</v>
      </c>
      <c r="CL49" s="80">
        <v>3117</v>
      </c>
      <c r="CM49" s="80">
        <v>2648</v>
      </c>
      <c r="CN49" s="80">
        <v>2424</v>
      </c>
      <c r="CO49" s="80">
        <v>2358</v>
      </c>
      <c r="CP49" s="80">
        <v>2325</v>
      </c>
      <c r="CQ49" s="80">
        <v>2103</v>
      </c>
      <c r="CR49" s="80">
        <v>1835</v>
      </c>
      <c r="CS49" s="80">
        <v>1666</v>
      </c>
      <c r="CT49" s="80">
        <v>1495</v>
      </c>
      <c r="CU49" s="80">
        <v>1175</v>
      </c>
      <c r="CV49" s="80">
        <v>1071</v>
      </c>
      <c r="CW49" s="80">
        <v>874</v>
      </c>
      <c r="CX49" s="80">
        <v>852</v>
      </c>
      <c r="CY49" s="80">
        <v>2766</v>
      </c>
      <c r="CZ49" s="81">
        <v>3393</v>
      </c>
      <c r="DA49" s="81">
        <v>3501</v>
      </c>
      <c r="DB49" s="81">
        <v>3687</v>
      </c>
      <c r="DC49" s="81">
        <v>3889</v>
      </c>
      <c r="DD49" s="81">
        <v>4009</v>
      </c>
      <c r="DE49" s="81">
        <v>3909</v>
      </c>
      <c r="DF49" s="81">
        <v>4033</v>
      </c>
      <c r="DG49" s="81">
        <v>4142</v>
      </c>
      <c r="DH49" s="81">
        <v>4304</v>
      </c>
      <c r="DI49" s="81">
        <v>4315</v>
      </c>
      <c r="DJ49" s="81">
        <v>4002</v>
      </c>
      <c r="DK49" s="81">
        <v>4118</v>
      </c>
      <c r="DL49" s="81">
        <v>4216</v>
      </c>
      <c r="DM49" s="81">
        <v>4094</v>
      </c>
      <c r="DN49" s="81">
        <v>4079</v>
      </c>
      <c r="DO49" s="81">
        <v>4027</v>
      </c>
      <c r="DP49" s="81">
        <v>3966</v>
      </c>
      <c r="DQ49" s="81">
        <v>3840</v>
      </c>
      <c r="DR49" s="81">
        <v>3522</v>
      </c>
      <c r="DS49" s="81">
        <v>2941</v>
      </c>
      <c r="DT49" s="81">
        <v>3055</v>
      </c>
      <c r="DU49" s="81">
        <v>3446</v>
      </c>
      <c r="DV49" s="81">
        <v>3556</v>
      </c>
      <c r="DW49" s="81">
        <v>3721</v>
      </c>
      <c r="DX49" s="81">
        <v>3775</v>
      </c>
      <c r="DY49" s="81">
        <v>3513</v>
      </c>
      <c r="DZ49" s="81">
        <v>3647</v>
      </c>
      <c r="EA49" s="81">
        <v>3799</v>
      </c>
      <c r="EB49" s="81">
        <v>4164</v>
      </c>
      <c r="EC49" s="81">
        <v>3967</v>
      </c>
      <c r="ED49" s="81">
        <v>3911</v>
      </c>
      <c r="EE49" s="81">
        <v>4124</v>
      </c>
      <c r="EF49" s="81">
        <v>4329</v>
      </c>
      <c r="EG49" s="81">
        <v>4019</v>
      </c>
      <c r="EH49" s="81">
        <v>4254</v>
      </c>
      <c r="EI49" s="81">
        <v>4381</v>
      </c>
      <c r="EJ49" s="81">
        <v>4355</v>
      </c>
      <c r="EK49" s="81">
        <v>4504</v>
      </c>
      <c r="EL49" s="81">
        <v>4460</v>
      </c>
      <c r="EM49" s="81">
        <v>4408</v>
      </c>
      <c r="EN49" s="81">
        <v>4674</v>
      </c>
      <c r="EO49" s="81">
        <v>4398</v>
      </c>
      <c r="EP49" s="81">
        <v>4118</v>
      </c>
      <c r="EQ49" s="81">
        <v>4225</v>
      </c>
      <c r="ER49" s="81">
        <v>4255</v>
      </c>
      <c r="ES49" s="81">
        <v>4643</v>
      </c>
      <c r="ET49" s="81">
        <v>4854</v>
      </c>
      <c r="EU49" s="81">
        <v>5072</v>
      </c>
      <c r="EV49" s="81">
        <v>5432</v>
      </c>
      <c r="EW49" s="81">
        <v>5539</v>
      </c>
      <c r="EX49" s="81">
        <v>5462</v>
      </c>
      <c r="EY49" s="81">
        <v>5831</v>
      </c>
      <c r="EZ49" s="81">
        <v>5678</v>
      </c>
      <c r="FA49" s="81">
        <v>5674</v>
      </c>
      <c r="FB49" s="81">
        <v>5772</v>
      </c>
      <c r="FC49" s="81">
        <v>5894</v>
      </c>
      <c r="FD49" s="81">
        <v>5797</v>
      </c>
      <c r="FE49" s="81">
        <v>5676</v>
      </c>
      <c r="FF49" s="81">
        <v>5582</v>
      </c>
      <c r="FG49" s="81">
        <v>5519</v>
      </c>
      <c r="FH49" s="81">
        <v>5041</v>
      </c>
      <c r="FI49" s="81">
        <v>4947</v>
      </c>
      <c r="FJ49" s="81">
        <v>4832</v>
      </c>
      <c r="FK49" s="81">
        <v>4713</v>
      </c>
      <c r="FL49" s="81">
        <v>4463</v>
      </c>
      <c r="FM49" s="81">
        <v>4342</v>
      </c>
      <c r="FN49" s="81">
        <v>4333</v>
      </c>
      <c r="FO49" s="81">
        <v>4267</v>
      </c>
      <c r="FP49" s="81">
        <v>4258</v>
      </c>
      <c r="FQ49" s="81">
        <v>4454</v>
      </c>
      <c r="FR49" s="81">
        <v>4504</v>
      </c>
      <c r="FS49" s="81">
        <v>4521</v>
      </c>
      <c r="FT49" s="81">
        <v>5036</v>
      </c>
      <c r="FU49" s="81">
        <v>5298</v>
      </c>
      <c r="FV49" s="81">
        <v>3938</v>
      </c>
      <c r="FW49" s="81">
        <v>3792</v>
      </c>
      <c r="FX49" s="81">
        <v>3768</v>
      </c>
      <c r="FY49" s="81">
        <v>3435</v>
      </c>
      <c r="FZ49" s="81">
        <v>3081</v>
      </c>
      <c r="GA49" s="81">
        <v>2841</v>
      </c>
      <c r="GB49" s="81">
        <v>2867</v>
      </c>
      <c r="GC49" s="81">
        <v>2545</v>
      </c>
      <c r="GD49" s="81">
        <v>2610</v>
      </c>
      <c r="GE49" s="81">
        <v>2421</v>
      </c>
      <c r="GF49" s="81">
        <v>2230</v>
      </c>
      <c r="GG49" s="81">
        <v>1961</v>
      </c>
      <c r="GH49" s="81">
        <v>1750</v>
      </c>
      <c r="GI49" s="81">
        <v>1527</v>
      </c>
      <c r="GJ49" s="81">
        <v>1488</v>
      </c>
      <c r="GK49" s="81">
        <v>1354</v>
      </c>
      <c r="GL49" s="82">
        <v>5473</v>
      </c>
    </row>
    <row r="50" spans="1:194" s="1" customFormat="1" hidden="1" x14ac:dyDescent="0.2">
      <c r="A50" s="83" t="s">
        <v>220</v>
      </c>
      <c r="B50" s="262" t="s">
        <v>260</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0">
        <v>845</v>
      </c>
      <c r="N50" s="80">
        <v>930</v>
      </c>
      <c r="O50" s="80">
        <v>935</v>
      </c>
      <c r="P50" s="80">
        <v>1024</v>
      </c>
      <c r="Q50" s="80">
        <v>1081</v>
      </c>
      <c r="R50" s="80">
        <v>1065</v>
      </c>
      <c r="S50" s="80">
        <v>1121</v>
      </c>
      <c r="T50" s="80">
        <v>1137</v>
      </c>
      <c r="U50" s="80">
        <v>1169</v>
      </c>
      <c r="V50" s="80">
        <v>1168</v>
      </c>
      <c r="W50" s="80">
        <v>1132</v>
      </c>
      <c r="X50" s="80">
        <v>1185</v>
      </c>
      <c r="Y50" s="80">
        <v>1104</v>
      </c>
      <c r="Z50" s="80">
        <v>1090</v>
      </c>
      <c r="AA50" s="80">
        <v>1157</v>
      </c>
      <c r="AB50" s="80">
        <v>1019</v>
      </c>
      <c r="AC50" s="80">
        <v>994</v>
      </c>
      <c r="AD50" s="80">
        <v>950</v>
      </c>
      <c r="AE50" s="80">
        <v>899</v>
      </c>
      <c r="AF50" s="80">
        <v>841</v>
      </c>
      <c r="AG50" s="80">
        <v>750</v>
      </c>
      <c r="AH50" s="80">
        <v>799</v>
      </c>
      <c r="AI50" s="80">
        <v>899</v>
      </c>
      <c r="AJ50" s="80">
        <v>1009</v>
      </c>
      <c r="AK50" s="80">
        <v>1013</v>
      </c>
      <c r="AL50" s="80">
        <v>1011</v>
      </c>
      <c r="AM50" s="80">
        <v>1019</v>
      </c>
      <c r="AN50" s="80">
        <v>1015</v>
      </c>
      <c r="AO50" s="80">
        <v>1141</v>
      </c>
      <c r="AP50" s="80">
        <v>1141</v>
      </c>
      <c r="AQ50" s="80">
        <v>1144</v>
      </c>
      <c r="AR50" s="80">
        <v>1106</v>
      </c>
      <c r="AS50" s="80">
        <v>1204</v>
      </c>
      <c r="AT50" s="80">
        <v>1139</v>
      </c>
      <c r="AU50" s="80">
        <v>1214</v>
      </c>
      <c r="AV50" s="80">
        <v>1148</v>
      </c>
      <c r="AW50" s="80">
        <v>1207</v>
      </c>
      <c r="AX50" s="80">
        <v>1174</v>
      </c>
      <c r="AY50" s="80">
        <v>1076</v>
      </c>
      <c r="AZ50" s="80">
        <v>1178</v>
      </c>
      <c r="BA50" s="80">
        <v>1097</v>
      </c>
      <c r="BB50" s="80">
        <v>1082</v>
      </c>
      <c r="BC50" s="80">
        <v>1018</v>
      </c>
      <c r="BD50" s="80">
        <v>1041</v>
      </c>
      <c r="BE50" s="80">
        <v>1092</v>
      </c>
      <c r="BF50" s="80">
        <v>1243</v>
      </c>
      <c r="BG50" s="80">
        <v>1228</v>
      </c>
      <c r="BH50" s="80">
        <v>1245</v>
      </c>
      <c r="BI50" s="80">
        <v>1347</v>
      </c>
      <c r="BJ50" s="80">
        <v>1418</v>
      </c>
      <c r="BK50" s="80">
        <v>1285</v>
      </c>
      <c r="BL50" s="80">
        <v>1302</v>
      </c>
      <c r="BM50" s="80">
        <v>1341</v>
      </c>
      <c r="BN50" s="80">
        <v>1311</v>
      </c>
      <c r="BO50" s="80">
        <v>1273</v>
      </c>
      <c r="BP50" s="80">
        <v>1357</v>
      </c>
      <c r="BQ50" s="80">
        <v>1358</v>
      </c>
      <c r="BR50" s="80">
        <v>1269</v>
      </c>
      <c r="BS50" s="80">
        <v>1280</v>
      </c>
      <c r="BT50" s="80">
        <v>1247</v>
      </c>
      <c r="BU50" s="80">
        <v>1095</v>
      </c>
      <c r="BV50" s="80">
        <v>1078</v>
      </c>
      <c r="BW50" s="80">
        <v>1078</v>
      </c>
      <c r="BX50" s="80">
        <v>1011</v>
      </c>
      <c r="BY50" s="80">
        <v>977</v>
      </c>
      <c r="BZ50" s="80">
        <v>914</v>
      </c>
      <c r="CA50" s="80">
        <v>1007</v>
      </c>
      <c r="CB50" s="80">
        <v>957</v>
      </c>
      <c r="CC50" s="80">
        <v>953</v>
      </c>
      <c r="CD50" s="80">
        <v>934</v>
      </c>
      <c r="CE50" s="80">
        <v>985</v>
      </c>
      <c r="CF50" s="80">
        <v>967</v>
      </c>
      <c r="CG50" s="80">
        <v>1052</v>
      </c>
      <c r="CH50" s="80">
        <v>1169</v>
      </c>
      <c r="CI50" s="80">
        <v>826</v>
      </c>
      <c r="CJ50" s="80">
        <v>815</v>
      </c>
      <c r="CK50" s="80">
        <v>759</v>
      </c>
      <c r="CL50" s="80">
        <v>699</v>
      </c>
      <c r="CM50" s="80">
        <v>577</v>
      </c>
      <c r="CN50" s="80">
        <v>516</v>
      </c>
      <c r="CO50" s="80">
        <v>501</v>
      </c>
      <c r="CP50" s="80">
        <v>463</v>
      </c>
      <c r="CQ50" s="80">
        <v>446</v>
      </c>
      <c r="CR50" s="80">
        <v>389</v>
      </c>
      <c r="CS50" s="80">
        <v>301</v>
      </c>
      <c r="CT50" s="80">
        <v>282</v>
      </c>
      <c r="CU50" s="80">
        <v>231</v>
      </c>
      <c r="CV50" s="80">
        <v>174</v>
      </c>
      <c r="CW50" s="80">
        <v>164</v>
      </c>
      <c r="CX50" s="80">
        <v>139</v>
      </c>
      <c r="CY50" s="80">
        <v>405</v>
      </c>
      <c r="CZ50" s="81">
        <v>855</v>
      </c>
      <c r="DA50" s="81">
        <v>900</v>
      </c>
      <c r="DB50" s="81">
        <v>862</v>
      </c>
      <c r="DC50" s="81">
        <v>1003</v>
      </c>
      <c r="DD50" s="81">
        <v>1033</v>
      </c>
      <c r="DE50" s="81">
        <v>1057</v>
      </c>
      <c r="DF50" s="81">
        <v>1077</v>
      </c>
      <c r="DG50" s="81">
        <v>1031</v>
      </c>
      <c r="DH50" s="81">
        <v>1092</v>
      </c>
      <c r="DI50" s="81">
        <v>1098</v>
      </c>
      <c r="DJ50" s="81">
        <v>1072</v>
      </c>
      <c r="DK50" s="81">
        <v>1076</v>
      </c>
      <c r="DL50" s="81">
        <v>1068</v>
      </c>
      <c r="DM50" s="81">
        <v>1026</v>
      </c>
      <c r="DN50" s="81">
        <v>1029</v>
      </c>
      <c r="DO50" s="81">
        <v>1008</v>
      </c>
      <c r="DP50" s="81">
        <v>1056</v>
      </c>
      <c r="DQ50" s="81">
        <v>887</v>
      </c>
      <c r="DR50" s="81">
        <v>862</v>
      </c>
      <c r="DS50" s="81">
        <v>681</v>
      </c>
      <c r="DT50" s="81">
        <v>663</v>
      </c>
      <c r="DU50" s="81">
        <v>718</v>
      </c>
      <c r="DV50" s="81">
        <v>873</v>
      </c>
      <c r="DW50" s="81">
        <v>923</v>
      </c>
      <c r="DX50" s="81">
        <v>957</v>
      </c>
      <c r="DY50" s="81">
        <v>1046</v>
      </c>
      <c r="DZ50" s="81">
        <v>984</v>
      </c>
      <c r="EA50" s="81">
        <v>1062</v>
      </c>
      <c r="EB50" s="81">
        <v>1130</v>
      </c>
      <c r="EC50" s="81">
        <v>1137</v>
      </c>
      <c r="ED50" s="81">
        <v>1084</v>
      </c>
      <c r="EE50" s="81">
        <v>1233</v>
      </c>
      <c r="EF50" s="81">
        <v>1288</v>
      </c>
      <c r="EG50" s="81">
        <v>1224</v>
      </c>
      <c r="EH50" s="81">
        <v>1213</v>
      </c>
      <c r="EI50" s="81">
        <v>1249</v>
      </c>
      <c r="EJ50" s="81">
        <v>1124</v>
      </c>
      <c r="EK50" s="81">
        <v>1153</v>
      </c>
      <c r="EL50" s="81">
        <v>1188</v>
      </c>
      <c r="EM50" s="81">
        <v>1099</v>
      </c>
      <c r="EN50" s="81">
        <v>1167</v>
      </c>
      <c r="EO50" s="81">
        <v>1140</v>
      </c>
      <c r="EP50" s="81">
        <v>996</v>
      </c>
      <c r="EQ50" s="81">
        <v>1075</v>
      </c>
      <c r="ER50" s="81">
        <v>1167</v>
      </c>
      <c r="ES50" s="81">
        <v>1089</v>
      </c>
      <c r="ET50" s="81">
        <v>1213</v>
      </c>
      <c r="EU50" s="81">
        <v>1261</v>
      </c>
      <c r="EV50" s="81">
        <v>1345</v>
      </c>
      <c r="EW50" s="81">
        <v>1465</v>
      </c>
      <c r="EX50" s="81">
        <v>1274</v>
      </c>
      <c r="EY50" s="81">
        <v>1332</v>
      </c>
      <c r="EZ50" s="81">
        <v>1406</v>
      </c>
      <c r="FA50" s="81">
        <v>1304</v>
      </c>
      <c r="FB50" s="81">
        <v>1332</v>
      </c>
      <c r="FC50" s="81">
        <v>1342</v>
      </c>
      <c r="FD50" s="81">
        <v>1317</v>
      </c>
      <c r="FE50" s="81">
        <v>1341</v>
      </c>
      <c r="FF50" s="81">
        <v>1252</v>
      </c>
      <c r="FG50" s="81">
        <v>1177</v>
      </c>
      <c r="FH50" s="81">
        <v>1113</v>
      </c>
      <c r="FI50" s="81">
        <v>1080</v>
      </c>
      <c r="FJ50" s="81">
        <v>1058</v>
      </c>
      <c r="FK50" s="81">
        <v>1122</v>
      </c>
      <c r="FL50" s="81">
        <v>1007</v>
      </c>
      <c r="FM50" s="81">
        <v>1008</v>
      </c>
      <c r="FN50" s="81">
        <v>1052</v>
      </c>
      <c r="FO50" s="81">
        <v>962</v>
      </c>
      <c r="FP50" s="81">
        <v>975</v>
      </c>
      <c r="FQ50" s="81">
        <v>981</v>
      </c>
      <c r="FR50" s="81">
        <v>1058</v>
      </c>
      <c r="FS50" s="81">
        <v>1038</v>
      </c>
      <c r="FT50" s="81">
        <v>1162</v>
      </c>
      <c r="FU50" s="81">
        <v>1195</v>
      </c>
      <c r="FV50" s="81">
        <v>831</v>
      </c>
      <c r="FW50" s="81">
        <v>851</v>
      </c>
      <c r="FX50" s="81">
        <v>827</v>
      </c>
      <c r="FY50" s="81">
        <v>746</v>
      </c>
      <c r="FZ50" s="81">
        <v>678</v>
      </c>
      <c r="GA50" s="81">
        <v>648</v>
      </c>
      <c r="GB50" s="81">
        <v>629</v>
      </c>
      <c r="GC50" s="81">
        <v>555</v>
      </c>
      <c r="GD50" s="81">
        <v>511</v>
      </c>
      <c r="GE50" s="81">
        <v>486</v>
      </c>
      <c r="GF50" s="81">
        <v>408</v>
      </c>
      <c r="GG50" s="81">
        <v>385</v>
      </c>
      <c r="GH50" s="81">
        <v>341</v>
      </c>
      <c r="GI50" s="81">
        <v>296</v>
      </c>
      <c r="GJ50" s="81">
        <v>270</v>
      </c>
      <c r="GK50" s="81">
        <v>241</v>
      </c>
      <c r="GL50" s="82">
        <v>936</v>
      </c>
    </row>
    <row r="51" spans="1:194" s="1" customFormat="1" hidden="1" x14ac:dyDescent="0.2">
      <c r="A51" s="83" t="s">
        <v>220</v>
      </c>
      <c r="B51" s="262" t="s">
        <v>261</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0">
        <v>2431</v>
      </c>
      <c r="N51" s="80">
        <v>2565</v>
      </c>
      <c r="O51" s="80">
        <v>2625</v>
      </c>
      <c r="P51" s="80">
        <v>2719</v>
      </c>
      <c r="Q51" s="80">
        <v>2883</v>
      </c>
      <c r="R51" s="80">
        <v>2848</v>
      </c>
      <c r="S51" s="80">
        <v>3055</v>
      </c>
      <c r="T51" s="80">
        <v>3176</v>
      </c>
      <c r="U51" s="80">
        <v>3145</v>
      </c>
      <c r="V51" s="80">
        <v>3250</v>
      </c>
      <c r="W51" s="80">
        <v>3149</v>
      </c>
      <c r="X51" s="80">
        <v>2988</v>
      </c>
      <c r="Y51" s="80">
        <v>3089</v>
      </c>
      <c r="Z51" s="80">
        <v>3103</v>
      </c>
      <c r="AA51" s="80">
        <v>2975</v>
      </c>
      <c r="AB51" s="80">
        <v>2888</v>
      </c>
      <c r="AC51" s="80">
        <v>2732</v>
      </c>
      <c r="AD51" s="80">
        <v>2725</v>
      </c>
      <c r="AE51" s="80">
        <v>2832</v>
      </c>
      <c r="AF51" s="80">
        <v>3793</v>
      </c>
      <c r="AG51" s="80">
        <v>4209</v>
      </c>
      <c r="AH51" s="80">
        <v>4270</v>
      </c>
      <c r="AI51" s="80">
        <v>3931</v>
      </c>
      <c r="AJ51" s="80">
        <v>3482</v>
      </c>
      <c r="AK51" s="80">
        <v>3256</v>
      </c>
      <c r="AL51" s="80">
        <v>3358</v>
      </c>
      <c r="AM51" s="80">
        <v>3441</v>
      </c>
      <c r="AN51" s="80">
        <v>3380</v>
      </c>
      <c r="AO51" s="80">
        <v>3508</v>
      </c>
      <c r="AP51" s="80">
        <v>3544</v>
      </c>
      <c r="AQ51" s="80">
        <v>3345</v>
      </c>
      <c r="AR51" s="80">
        <v>2846</v>
      </c>
      <c r="AS51" s="80">
        <v>2858</v>
      </c>
      <c r="AT51" s="80">
        <v>2798</v>
      </c>
      <c r="AU51" s="80">
        <v>3031</v>
      </c>
      <c r="AV51" s="80">
        <v>3127</v>
      </c>
      <c r="AW51" s="80">
        <v>2945</v>
      </c>
      <c r="AX51" s="80">
        <v>3309</v>
      </c>
      <c r="AY51" s="80">
        <v>3052</v>
      </c>
      <c r="AZ51" s="80">
        <v>3018</v>
      </c>
      <c r="BA51" s="80">
        <v>3009</v>
      </c>
      <c r="BB51" s="80">
        <v>2931</v>
      </c>
      <c r="BC51" s="80">
        <v>2652</v>
      </c>
      <c r="BD51" s="80">
        <v>2484</v>
      </c>
      <c r="BE51" s="80">
        <v>2686</v>
      </c>
      <c r="BF51" s="80">
        <v>2804</v>
      </c>
      <c r="BG51" s="80">
        <v>2874</v>
      </c>
      <c r="BH51" s="80">
        <v>3116</v>
      </c>
      <c r="BI51" s="80">
        <v>3376</v>
      </c>
      <c r="BJ51" s="80">
        <v>3723</v>
      </c>
      <c r="BK51" s="80">
        <v>3517</v>
      </c>
      <c r="BL51" s="80">
        <v>3710</v>
      </c>
      <c r="BM51" s="80">
        <v>3733</v>
      </c>
      <c r="BN51" s="80">
        <v>3909</v>
      </c>
      <c r="BO51" s="80">
        <v>3944</v>
      </c>
      <c r="BP51" s="80">
        <v>3987</v>
      </c>
      <c r="BQ51" s="80">
        <v>3957</v>
      </c>
      <c r="BR51" s="80">
        <v>3896</v>
      </c>
      <c r="BS51" s="80">
        <v>3911</v>
      </c>
      <c r="BT51" s="80">
        <v>3625</v>
      </c>
      <c r="BU51" s="80">
        <v>3422</v>
      </c>
      <c r="BV51" s="80">
        <v>3475</v>
      </c>
      <c r="BW51" s="80">
        <v>3388</v>
      </c>
      <c r="BX51" s="80">
        <v>3347</v>
      </c>
      <c r="BY51" s="80">
        <v>3169</v>
      </c>
      <c r="BZ51" s="80">
        <v>3184</v>
      </c>
      <c r="CA51" s="80">
        <v>3009</v>
      </c>
      <c r="CB51" s="80">
        <v>3050</v>
      </c>
      <c r="CC51" s="80">
        <v>2931</v>
      </c>
      <c r="CD51" s="80">
        <v>2975</v>
      </c>
      <c r="CE51" s="80">
        <v>2973</v>
      </c>
      <c r="CF51" s="80">
        <v>3055</v>
      </c>
      <c r="CG51" s="80">
        <v>3037</v>
      </c>
      <c r="CH51" s="80">
        <v>3452</v>
      </c>
      <c r="CI51" s="80">
        <v>2541</v>
      </c>
      <c r="CJ51" s="80">
        <v>2501</v>
      </c>
      <c r="CK51" s="80">
        <v>2398</v>
      </c>
      <c r="CL51" s="80">
        <v>1993</v>
      </c>
      <c r="CM51" s="80">
        <v>1748</v>
      </c>
      <c r="CN51" s="80">
        <v>1615</v>
      </c>
      <c r="CO51" s="80">
        <v>1586</v>
      </c>
      <c r="CP51" s="80">
        <v>1461</v>
      </c>
      <c r="CQ51" s="80">
        <v>1353</v>
      </c>
      <c r="CR51" s="80">
        <v>1270</v>
      </c>
      <c r="CS51" s="80">
        <v>1019</v>
      </c>
      <c r="CT51" s="80">
        <v>912</v>
      </c>
      <c r="CU51" s="80">
        <v>812</v>
      </c>
      <c r="CV51" s="80">
        <v>659</v>
      </c>
      <c r="CW51" s="80">
        <v>525</v>
      </c>
      <c r="CX51" s="80">
        <v>466</v>
      </c>
      <c r="CY51" s="80">
        <v>1404</v>
      </c>
      <c r="CZ51" s="81">
        <v>2296</v>
      </c>
      <c r="DA51" s="81">
        <v>2358</v>
      </c>
      <c r="DB51" s="81">
        <v>2520</v>
      </c>
      <c r="DC51" s="81">
        <v>2607</v>
      </c>
      <c r="DD51" s="81">
        <v>2654</v>
      </c>
      <c r="DE51" s="81">
        <v>2779</v>
      </c>
      <c r="DF51" s="81">
        <v>2836</v>
      </c>
      <c r="DG51" s="81">
        <v>2883</v>
      </c>
      <c r="DH51" s="81">
        <v>2900</v>
      </c>
      <c r="DI51" s="81">
        <v>3077</v>
      </c>
      <c r="DJ51" s="81">
        <v>3086</v>
      </c>
      <c r="DK51" s="81">
        <v>2849</v>
      </c>
      <c r="DL51" s="81">
        <v>3037</v>
      </c>
      <c r="DM51" s="81">
        <v>2844</v>
      </c>
      <c r="DN51" s="81">
        <v>2904</v>
      </c>
      <c r="DO51" s="81">
        <v>2758</v>
      </c>
      <c r="DP51" s="81">
        <v>2633</v>
      </c>
      <c r="DQ51" s="81">
        <v>2612</v>
      </c>
      <c r="DR51" s="81">
        <v>2620</v>
      </c>
      <c r="DS51" s="81">
        <v>3755</v>
      </c>
      <c r="DT51" s="81">
        <v>4042</v>
      </c>
      <c r="DU51" s="81">
        <v>3974</v>
      </c>
      <c r="DV51" s="81">
        <v>3521</v>
      </c>
      <c r="DW51" s="81">
        <v>3266</v>
      </c>
      <c r="DX51" s="81">
        <v>3115</v>
      </c>
      <c r="DY51" s="81">
        <v>3092</v>
      </c>
      <c r="DZ51" s="81">
        <v>3160</v>
      </c>
      <c r="EA51" s="81">
        <v>3413</v>
      </c>
      <c r="EB51" s="81">
        <v>3647</v>
      </c>
      <c r="EC51" s="81">
        <v>3558</v>
      </c>
      <c r="ED51" s="81">
        <v>3232</v>
      </c>
      <c r="EE51" s="81">
        <v>3193</v>
      </c>
      <c r="EF51" s="81">
        <v>3140</v>
      </c>
      <c r="EG51" s="81">
        <v>3037</v>
      </c>
      <c r="EH51" s="81">
        <v>3376</v>
      </c>
      <c r="EI51" s="81">
        <v>3247</v>
      </c>
      <c r="EJ51" s="81">
        <v>3060</v>
      </c>
      <c r="EK51" s="81">
        <v>3152</v>
      </c>
      <c r="EL51" s="81">
        <v>3116</v>
      </c>
      <c r="EM51" s="81">
        <v>3169</v>
      </c>
      <c r="EN51" s="81">
        <v>3199</v>
      </c>
      <c r="EO51" s="81">
        <v>2985</v>
      </c>
      <c r="EP51" s="81">
        <v>2838</v>
      </c>
      <c r="EQ51" s="81">
        <v>2802</v>
      </c>
      <c r="ER51" s="81">
        <v>2864</v>
      </c>
      <c r="ES51" s="81">
        <v>2878</v>
      </c>
      <c r="ET51" s="81">
        <v>2966</v>
      </c>
      <c r="EU51" s="81">
        <v>3358</v>
      </c>
      <c r="EV51" s="81">
        <v>3510</v>
      </c>
      <c r="EW51" s="81">
        <v>3834</v>
      </c>
      <c r="EX51" s="81">
        <v>3651</v>
      </c>
      <c r="EY51" s="81">
        <v>3834</v>
      </c>
      <c r="EZ51" s="81">
        <v>4009</v>
      </c>
      <c r="FA51" s="81">
        <v>3957</v>
      </c>
      <c r="FB51" s="81">
        <v>4002</v>
      </c>
      <c r="FC51" s="81">
        <v>4115</v>
      </c>
      <c r="FD51" s="81">
        <v>4177</v>
      </c>
      <c r="FE51" s="81">
        <v>4003</v>
      </c>
      <c r="FF51" s="81">
        <v>3901</v>
      </c>
      <c r="FG51" s="81">
        <v>3798</v>
      </c>
      <c r="FH51" s="81">
        <v>3608</v>
      </c>
      <c r="FI51" s="81">
        <v>3808</v>
      </c>
      <c r="FJ51" s="81">
        <v>3737</v>
      </c>
      <c r="FK51" s="81">
        <v>3488</v>
      </c>
      <c r="FL51" s="81">
        <v>3403</v>
      </c>
      <c r="FM51" s="81">
        <v>3262</v>
      </c>
      <c r="FN51" s="81">
        <v>3198</v>
      </c>
      <c r="FO51" s="81">
        <v>3249</v>
      </c>
      <c r="FP51" s="81">
        <v>3054</v>
      </c>
      <c r="FQ51" s="81">
        <v>3140</v>
      </c>
      <c r="FR51" s="81">
        <v>3204</v>
      </c>
      <c r="FS51" s="81">
        <v>3254</v>
      </c>
      <c r="FT51" s="81">
        <v>3337</v>
      </c>
      <c r="FU51" s="81">
        <v>3582</v>
      </c>
      <c r="FV51" s="81">
        <v>2709</v>
      </c>
      <c r="FW51" s="81">
        <v>2660</v>
      </c>
      <c r="FX51" s="81">
        <v>2555</v>
      </c>
      <c r="FY51" s="81">
        <v>2268</v>
      </c>
      <c r="FZ51" s="81">
        <v>2058</v>
      </c>
      <c r="GA51" s="81">
        <v>1873</v>
      </c>
      <c r="GB51" s="81">
        <v>1843</v>
      </c>
      <c r="GC51" s="81">
        <v>1836</v>
      </c>
      <c r="GD51" s="81">
        <v>1741</v>
      </c>
      <c r="GE51" s="81">
        <v>1656</v>
      </c>
      <c r="GF51" s="81">
        <v>1386</v>
      </c>
      <c r="GG51" s="81">
        <v>1339</v>
      </c>
      <c r="GH51" s="81">
        <v>1107</v>
      </c>
      <c r="GI51" s="81">
        <v>964</v>
      </c>
      <c r="GJ51" s="81">
        <v>848</v>
      </c>
      <c r="GK51" s="81">
        <v>814</v>
      </c>
      <c r="GL51" s="82">
        <v>2716</v>
      </c>
    </row>
    <row r="52" spans="1:194" s="1" customFormat="1" hidden="1" x14ac:dyDescent="0.2">
      <c r="A52" s="83" t="s">
        <v>220</v>
      </c>
      <c r="B52" s="262" t="s">
        <v>262</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0">
        <v>5158</v>
      </c>
      <c r="N52" s="80">
        <v>5523</v>
      </c>
      <c r="O52" s="80">
        <v>5547</v>
      </c>
      <c r="P52" s="80">
        <v>5685</v>
      </c>
      <c r="Q52" s="80">
        <v>5893</v>
      </c>
      <c r="R52" s="80">
        <v>5842</v>
      </c>
      <c r="S52" s="80">
        <v>5874</v>
      </c>
      <c r="T52" s="80">
        <v>5983</v>
      </c>
      <c r="U52" s="80">
        <v>6247</v>
      </c>
      <c r="V52" s="80">
        <v>6134</v>
      </c>
      <c r="W52" s="80">
        <v>5998</v>
      </c>
      <c r="X52" s="80">
        <v>5896</v>
      </c>
      <c r="Y52" s="80">
        <v>5865</v>
      </c>
      <c r="Z52" s="80">
        <v>5737</v>
      </c>
      <c r="AA52" s="80">
        <v>5552</v>
      </c>
      <c r="AB52" s="80">
        <v>5206</v>
      </c>
      <c r="AC52" s="80">
        <v>5223</v>
      </c>
      <c r="AD52" s="80">
        <v>5146</v>
      </c>
      <c r="AE52" s="80">
        <v>5487</v>
      </c>
      <c r="AF52" s="80">
        <v>7232</v>
      </c>
      <c r="AG52" s="80">
        <v>8070</v>
      </c>
      <c r="AH52" s="80">
        <v>8304</v>
      </c>
      <c r="AI52" s="80">
        <v>7946</v>
      </c>
      <c r="AJ52" s="80">
        <v>7911</v>
      </c>
      <c r="AK52" s="80">
        <v>7986</v>
      </c>
      <c r="AL52" s="80">
        <v>7961</v>
      </c>
      <c r="AM52" s="80">
        <v>7846</v>
      </c>
      <c r="AN52" s="80">
        <v>7740</v>
      </c>
      <c r="AO52" s="80">
        <v>7963</v>
      </c>
      <c r="AP52" s="80">
        <v>8192</v>
      </c>
      <c r="AQ52" s="80">
        <v>7929</v>
      </c>
      <c r="AR52" s="80">
        <v>7388</v>
      </c>
      <c r="AS52" s="80">
        <v>6809</v>
      </c>
      <c r="AT52" s="80">
        <v>6473</v>
      </c>
      <c r="AU52" s="80">
        <v>6612</v>
      </c>
      <c r="AV52" s="80">
        <v>6427</v>
      </c>
      <c r="AW52" s="80">
        <v>6021</v>
      </c>
      <c r="AX52" s="80">
        <v>6018</v>
      </c>
      <c r="AY52" s="80">
        <v>5904</v>
      </c>
      <c r="AZ52" s="80">
        <v>6002</v>
      </c>
      <c r="BA52" s="80">
        <v>5817</v>
      </c>
      <c r="BB52" s="80">
        <v>5641</v>
      </c>
      <c r="BC52" s="80">
        <v>5348</v>
      </c>
      <c r="BD52" s="80">
        <v>5249</v>
      </c>
      <c r="BE52" s="80">
        <v>5360</v>
      </c>
      <c r="BF52" s="80">
        <v>5493</v>
      </c>
      <c r="BG52" s="80">
        <v>5673</v>
      </c>
      <c r="BH52" s="80">
        <v>5799</v>
      </c>
      <c r="BI52" s="80">
        <v>6063</v>
      </c>
      <c r="BJ52" s="80">
        <v>6139</v>
      </c>
      <c r="BK52" s="80">
        <v>6009</v>
      </c>
      <c r="BL52" s="80">
        <v>6205</v>
      </c>
      <c r="BM52" s="80">
        <v>6153</v>
      </c>
      <c r="BN52" s="80">
        <v>6096</v>
      </c>
      <c r="BO52" s="80">
        <v>6192</v>
      </c>
      <c r="BP52" s="80">
        <v>6037</v>
      </c>
      <c r="BQ52" s="80">
        <v>6096</v>
      </c>
      <c r="BR52" s="80">
        <v>6082</v>
      </c>
      <c r="BS52" s="80">
        <v>5835</v>
      </c>
      <c r="BT52" s="80">
        <v>5617</v>
      </c>
      <c r="BU52" s="80">
        <v>5401</v>
      </c>
      <c r="BV52" s="80">
        <v>5316</v>
      </c>
      <c r="BW52" s="80">
        <v>4985</v>
      </c>
      <c r="BX52" s="80">
        <v>4738</v>
      </c>
      <c r="BY52" s="80">
        <v>4549</v>
      </c>
      <c r="BZ52" s="80">
        <v>4389</v>
      </c>
      <c r="CA52" s="80">
        <v>4438</v>
      </c>
      <c r="CB52" s="80">
        <v>4366</v>
      </c>
      <c r="CC52" s="80">
        <v>4079</v>
      </c>
      <c r="CD52" s="80">
        <v>4165</v>
      </c>
      <c r="CE52" s="80">
        <v>4263</v>
      </c>
      <c r="CF52" s="80">
        <v>4299</v>
      </c>
      <c r="CG52" s="80">
        <v>4454</v>
      </c>
      <c r="CH52" s="80">
        <v>4724</v>
      </c>
      <c r="CI52" s="80">
        <v>3940</v>
      </c>
      <c r="CJ52" s="80">
        <v>3943</v>
      </c>
      <c r="CK52" s="80">
        <v>3694</v>
      </c>
      <c r="CL52" s="80">
        <v>3407</v>
      </c>
      <c r="CM52" s="80">
        <v>2832</v>
      </c>
      <c r="CN52" s="80">
        <v>2465</v>
      </c>
      <c r="CO52" s="80">
        <v>2429</v>
      </c>
      <c r="CP52" s="80">
        <v>2439</v>
      </c>
      <c r="CQ52" s="80">
        <v>2290</v>
      </c>
      <c r="CR52" s="80">
        <v>2049</v>
      </c>
      <c r="CS52" s="80">
        <v>1796</v>
      </c>
      <c r="CT52" s="80">
        <v>1510</v>
      </c>
      <c r="CU52" s="80">
        <v>1276</v>
      </c>
      <c r="CV52" s="80">
        <v>1150</v>
      </c>
      <c r="CW52" s="80">
        <v>1010</v>
      </c>
      <c r="CX52" s="80">
        <v>855</v>
      </c>
      <c r="CY52" s="80">
        <v>2739</v>
      </c>
      <c r="CZ52" s="81">
        <v>4873</v>
      </c>
      <c r="DA52" s="81">
        <v>5101</v>
      </c>
      <c r="DB52" s="81">
        <v>5370</v>
      </c>
      <c r="DC52" s="81">
        <v>5483</v>
      </c>
      <c r="DD52" s="81">
        <v>5551</v>
      </c>
      <c r="DE52" s="81">
        <v>5553</v>
      </c>
      <c r="DF52" s="81">
        <v>5535</v>
      </c>
      <c r="DG52" s="81">
        <v>5843</v>
      </c>
      <c r="DH52" s="81">
        <v>5887</v>
      </c>
      <c r="DI52" s="81">
        <v>5818</v>
      </c>
      <c r="DJ52" s="81">
        <v>5622</v>
      </c>
      <c r="DK52" s="81">
        <v>5572</v>
      </c>
      <c r="DL52" s="81">
        <v>5529</v>
      </c>
      <c r="DM52" s="81">
        <v>5455</v>
      </c>
      <c r="DN52" s="81">
        <v>5235</v>
      </c>
      <c r="DO52" s="81">
        <v>5120</v>
      </c>
      <c r="DP52" s="81">
        <v>5054</v>
      </c>
      <c r="DQ52" s="81">
        <v>4850</v>
      </c>
      <c r="DR52" s="81">
        <v>5164</v>
      </c>
      <c r="DS52" s="81">
        <v>6408</v>
      </c>
      <c r="DT52" s="81">
        <v>6878</v>
      </c>
      <c r="DU52" s="81">
        <v>6938</v>
      </c>
      <c r="DV52" s="81">
        <v>7038</v>
      </c>
      <c r="DW52" s="81">
        <v>7310</v>
      </c>
      <c r="DX52" s="81">
        <v>7435</v>
      </c>
      <c r="DY52" s="81">
        <v>7231</v>
      </c>
      <c r="DZ52" s="81">
        <v>7342</v>
      </c>
      <c r="EA52" s="81">
        <v>7072</v>
      </c>
      <c r="EB52" s="81">
        <v>7389</v>
      </c>
      <c r="EC52" s="81">
        <v>7475</v>
      </c>
      <c r="ED52" s="81">
        <v>7312</v>
      </c>
      <c r="EE52" s="81">
        <v>6902</v>
      </c>
      <c r="EF52" s="81">
        <v>6537</v>
      </c>
      <c r="EG52" s="81">
        <v>6397</v>
      </c>
      <c r="EH52" s="81">
        <v>6377</v>
      </c>
      <c r="EI52" s="81">
        <v>6184</v>
      </c>
      <c r="EJ52" s="81">
        <v>6098</v>
      </c>
      <c r="EK52" s="81">
        <v>6057</v>
      </c>
      <c r="EL52" s="81">
        <v>5977</v>
      </c>
      <c r="EM52" s="81">
        <v>5836</v>
      </c>
      <c r="EN52" s="81">
        <v>6160</v>
      </c>
      <c r="EO52" s="81">
        <v>5643</v>
      </c>
      <c r="EP52" s="81">
        <v>5339</v>
      </c>
      <c r="EQ52" s="81">
        <v>5189</v>
      </c>
      <c r="ER52" s="81">
        <v>5432</v>
      </c>
      <c r="ES52" s="81">
        <v>5414</v>
      </c>
      <c r="ET52" s="81">
        <v>5798</v>
      </c>
      <c r="EU52" s="81">
        <v>5925</v>
      </c>
      <c r="EV52" s="81">
        <v>6079</v>
      </c>
      <c r="EW52" s="81">
        <v>6327</v>
      </c>
      <c r="EX52" s="81">
        <v>6159</v>
      </c>
      <c r="EY52" s="81">
        <v>6320</v>
      </c>
      <c r="EZ52" s="81">
        <v>6276</v>
      </c>
      <c r="FA52" s="81">
        <v>6257</v>
      </c>
      <c r="FB52" s="81">
        <v>6459</v>
      </c>
      <c r="FC52" s="81">
        <v>6332</v>
      </c>
      <c r="FD52" s="81">
        <v>6148</v>
      </c>
      <c r="FE52" s="81">
        <v>5999</v>
      </c>
      <c r="FF52" s="81">
        <v>5816</v>
      </c>
      <c r="FG52" s="81">
        <v>5879</v>
      </c>
      <c r="FH52" s="81">
        <v>5235</v>
      </c>
      <c r="FI52" s="81">
        <v>5190</v>
      </c>
      <c r="FJ52" s="81">
        <v>4977</v>
      </c>
      <c r="FK52" s="81">
        <v>5045</v>
      </c>
      <c r="FL52" s="81">
        <v>4646</v>
      </c>
      <c r="FM52" s="81">
        <v>4573</v>
      </c>
      <c r="FN52" s="81">
        <v>4533</v>
      </c>
      <c r="FO52" s="81">
        <v>4470</v>
      </c>
      <c r="FP52" s="81">
        <v>4509</v>
      </c>
      <c r="FQ52" s="81">
        <v>4444</v>
      </c>
      <c r="FR52" s="81">
        <v>4578</v>
      </c>
      <c r="FS52" s="81">
        <v>4746</v>
      </c>
      <c r="FT52" s="81">
        <v>4860</v>
      </c>
      <c r="FU52" s="81">
        <v>5174</v>
      </c>
      <c r="FV52" s="81">
        <v>4189</v>
      </c>
      <c r="FW52" s="81">
        <v>4255</v>
      </c>
      <c r="FX52" s="81">
        <v>4335</v>
      </c>
      <c r="FY52" s="81">
        <v>3876</v>
      </c>
      <c r="FZ52" s="81">
        <v>3204</v>
      </c>
      <c r="GA52" s="81">
        <v>2982</v>
      </c>
      <c r="GB52" s="81">
        <v>2963</v>
      </c>
      <c r="GC52" s="81">
        <v>2853</v>
      </c>
      <c r="GD52" s="81">
        <v>2746</v>
      </c>
      <c r="GE52" s="81">
        <v>2590</v>
      </c>
      <c r="GF52" s="81">
        <v>2414</v>
      </c>
      <c r="GG52" s="81">
        <v>2105</v>
      </c>
      <c r="GH52" s="81">
        <v>1836</v>
      </c>
      <c r="GI52" s="81">
        <v>1644</v>
      </c>
      <c r="GJ52" s="81">
        <v>1534</v>
      </c>
      <c r="GK52" s="81">
        <v>1424</v>
      </c>
      <c r="GL52" s="82">
        <v>5860</v>
      </c>
    </row>
    <row r="53" spans="1:194" s="1" customFormat="1" hidden="1" x14ac:dyDescent="0.2">
      <c r="A53" s="83" t="s">
        <v>220</v>
      </c>
      <c r="B53" s="262" t="s">
        <v>263</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0">
        <v>5000</v>
      </c>
      <c r="N53" s="80">
        <v>5289</v>
      </c>
      <c r="O53" s="80">
        <v>5458</v>
      </c>
      <c r="P53" s="80">
        <v>5679</v>
      </c>
      <c r="Q53" s="80">
        <v>5796</v>
      </c>
      <c r="R53" s="80">
        <v>6028</v>
      </c>
      <c r="S53" s="80">
        <v>5915</v>
      </c>
      <c r="T53" s="80">
        <v>6178</v>
      </c>
      <c r="U53" s="80">
        <v>6273</v>
      </c>
      <c r="V53" s="80">
        <v>6210</v>
      </c>
      <c r="W53" s="80">
        <v>6363</v>
      </c>
      <c r="X53" s="80">
        <v>6204</v>
      </c>
      <c r="Y53" s="80">
        <v>6308</v>
      </c>
      <c r="Z53" s="80">
        <v>6119</v>
      </c>
      <c r="AA53" s="80">
        <v>6024</v>
      </c>
      <c r="AB53" s="80">
        <v>5848</v>
      </c>
      <c r="AC53" s="80">
        <v>5863</v>
      </c>
      <c r="AD53" s="80">
        <v>5665</v>
      </c>
      <c r="AE53" s="80">
        <v>5496</v>
      </c>
      <c r="AF53" s="80">
        <v>5242</v>
      </c>
      <c r="AG53" s="80">
        <v>5348</v>
      </c>
      <c r="AH53" s="80">
        <v>5742</v>
      </c>
      <c r="AI53" s="80">
        <v>5865</v>
      </c>
      <c r="AJ53" s="80">
        <v>6065</v>
      </c>
      <c r="AK53" s="80">
        <v>6295</v>
      </c>
      <c r="AL53" s="80">
        <v>6276</v>
      </c>
      <c r="AM53" s="80">
        <v>6266</v>
      </c>
      <c r="AN53" s="80">
        <v>6456</v>
      </c>
      <c r="AO53" s="80">
        <v>6518</v>
      </c>
      <c r="AP53" s="80">
        <v>6783</v>
      </c>
      <c r="AQ53" s="80">
        <v>6468</v>
      </c>
      <c r="AR53" s="80">
        <v>6510</v>
      </c>
      <c r="AS53" s="80">
        <v>6136</v>
      </c>
      <c r="AT53" s="80">
        <v>6227</v>
      </c>
      <c r="AU53" s="80">
        <v>6063</v>
      </c>
      <c r="AV53" s="80">
        <v>5913</v>
      </c>
      <c r="AW53" s="80">
        <v>5973</v>
      </c>
      <c r="AX53" s="80">
        <v>5992</v>
      </c>
      <c r="AY53" s="80">
        <v>5967</v>
      </c>
      <c r="AZ53" s="80">
        <v>6151</v>
      </c>
      <c r="BA53" s="80">
        <v>6021</v>
      </c>
      <c r="BB53" s="80">
        <v>5779</v>
      </c>
      <c r="BC53" s="80">
        <v>5373</v>
      </c>
      <c r="BD53" s="80">
        <v>5347</v>
      </c>
      <c r="BE53" s="80">
        <v>5728</v>
      </c>
      <c r="BF53" s="80">
        <v>6197</v>
      </c>
      <c r="BG53" s="80">
        <v>6332</v>
      </c>
      <c r="BH53" s="80">
        <v>6539</v>
      </c>
      <c r="BI53" s="80">
        <v>7281</v>
      </c>
      <c r="BJ53" s="80">
        <v>7614</v>
      </c>
      <c r="BK53" s="80">
        <v>7129</v>
      </c>
      <c r="BL53" s="80">
        <v>7689</v>
      </c>
      <c r="BM53" s="80">
        <v>7876</v>
      </c>
      <c r="BN53" s="80">
        <v>7962</v>
      </c>
      <c r="BO53" s="80">
        <v>7805</v>
      </c>
      <c r="BP53" s="80">
        <v>7820</v>
      </c>
      <c r="BQ53" s="80">
        <v>7561</v>
      </c>
      <c r="BR53" s="80">
        <v>7515</v>
      </c>
      <c r="BS53" s="80">
        <v>7250</v>
      </c>
      <c r="BT53" s="80">
        <v>7022</v>
      </c>
      <c r="BU53" s="80">
        <v>6638</v>
      </c>
      <c r="BV53" s="80">
        <v>6490</v>
      </c>
      <c r="BW53" s="80">
        <v>6435</v>
      </c>
      <c r="BX53" s="80">
        <v>6097</v>
      </c>
      <c r="BY53" s="80">
        <v>6031</v>
      </c>
      <c r="BZ53" s="80">
        <v>5536</v>
      </c>
      <c r="CA53" s="80">
        <v>5606</v>
      </c>
      <c r="CB53" s="80">
        <v>5692</v>
      </c>
      <c r="CC53" s="80">
        <v>5368</v>
      </c>
      <c r="CD53" s="80">
        <v>5551</v>
      </c>
      <c r="CE53" s="80">
        <v>5573</v>
      </c>
      <c r="CF53" s="80">
        <v>5517</v>
      </c>
      <c r="CG53" s="80">
        <v>5774</v>
      </c>
      <c r="CH53" s="80">
        <v>6363</v>
      </c>
      <c r="CI53" s="80">
        <v>4784</v>
      </c>
      <c r="CJ53" s="80">
        <v>4747</v>
      </c>
      <c r="CK53" s="80">
        <v>4597</v>
      </c>
      <c r="CL53" s="80">
        <v>4054</v>
      </c>
      <c r="CM53" s="80">
        <v>3439</v>
      </c>
      <c r="CN53" s="80">
        <v>3003</v>
      </c>
      <c r="CO53" s="80">
        <v>2938</v>
      </c>
      <c r="CP53" s="80">
        <v>2913</v>
      </c>
      <c r="CQ53" s="80">
        <v>2672</v>
      </c>
      <c r="CR53" s="80">
        <v>2208</v>
      </c>
      <c r="CS53" s="80">
        <v>1998</v>
      </c>
      <c r="CT53" s="80">
        <v>1755</v>
      </c>
      <c r="CU53" s="80">
        <v>1575</v>
      </c>
      <c r="CV53" s="80">
        <v>1325</v>
      </c>
      <c r="CW53" s="80">
        <v>1188</v>
      </c>
      <c r="CX53" s="80">
        <v>989</v>
      </c>
      <c r="CY53" s="80">
        <v>2986</v>
      </c>
      <c r="CZ53" s="81">
        <v>4734</v>
      </c>
      <c r="DA53" s="81">
        <v>5124</v>
      </c>
      <c r="DB53" s="81">
        <v>5241</v>
      </c>
      <c r="DC53" s="81">
        <v>5438</v>
      </c>
      <c r="DD53" s="81">
        <v>5652</v>
      </c>
      <c r="DE53" s="81">
        <v>5455</v>
      </c>
      <c r="DF53" s="81">
        <v>5794</v>
      </c>
      <c r="DG53" s="81">
        <v>5923</v>
      </c>
      <c r="DH53" s="81">
        <v>6204</v>
      </c>
      <c r="DI53" s="81">
        <v>6130</v>
      </c>
      <c r="DJ53" s="81">
        <v>6027</v>
      </c>
      <c r="DK53" s="81">
        <v>5785</v>
      </c>
      <c r="DL53" s="81">
        <v>6131</v>
      </c>
      <c r="DM53" s="81">
        <v>5732</v>
      </c>
      <c r="DN53" s="81">
        <v>5764</v>
      </c>
      <c r="DO53" s="81">
        <v>5578</v>
      </c>
      <c r="DP53" s="81">
        <v>5505</v>
      </c>
      <c r="DQ53" s="81">
        <v>5315</v>
      </c>
      <c r="DR53" s="81">
        <v>5111</v>
      </c>
      <c r="DS53" s="81">
        <v>4602</v>
      </c>
      <c r="DT53" s="81">
        <v>4754</v>
      </c>
      <c r="DU53" s="81">
        <v>5214</v>
      </c>
      <c r="DV53" s="81">
        <v>5283</v>
      </c>
      <c r="DW53" s="81">
        <v>5946</v>
      </c>
      <c r="DX53" s="81">
        <v>5855</v>
      </c>
      <c r="DY53" s="81">
        <v>6020</v>
      </c>
      <c r="DZ53" s="81">
        <v>6344</v>
      </c>
      <c r="EA53" s="81">
        <v>6279</v>
      </c>
      <c r="EB53" s="81">
        <v>6536</v>
      </c>
      <c r="EC53" s="81">
        <v>6618</v>
      </c>
      <c r="ED53" s="81">
        <v>6591</v>
      </c>
      <c r="EE53" s="81">
        <v>6577</v>
      </c>
      <c r="EF53" s="81">
        <v>6515</v>
      </c>
      <c r="EG53" s="81">
        <v>6478</v>
      </c>
      <c r="EH53" s="81">
        <v>6465</v>
      </c>
      <c r="EI53" s="81">
        <v>6555</v>
      </c>
      <c r="EJ53" s="81">
        <v>6149</v>
      </c>
      <c r="EK53" s="81">
        <v>6298</v>
      </c>
      <c r="EL53" s="81">
        <v>6204</v>
      </c>
      <c r="EM53" s="81">
        <v>6399</v>
      </c>
      <c r="EN53" s="81">
        <v>6440</v>
      </c>
      <c r="EO53" s="81">
        <v>6301</v>
      </c>
      <c r="EP53" s="81">
        <v>5741</v>
      </c>
      <c r="EQ53" s="81">
        <v>5692</v>
      </c>
      <c r="ER53" s="81">
        <v>6029</v>
      </c>
      <c r="ES53" s="81">
        <v>6148</v>
      </c>
      <c r="ET53" s="81">
        <v>6407</v>
      </c>
      <c r="EU53" s="81">
        <v>6928</v>
      </c>
      <c r="EV53" s="81">
        <v>7295</v>
      </c>
      <c r="EW53" s="81">
        <v>7735</v>
      </c>
      <c r="EX53" s="81">
        <v>7667</v>
      </c>
      <c r="EY53" s="81">
        <v>7935</v>
      </c>
      <c r="EZ53" s="81">
        <v>7764</v>
      </c>
      <c r="FA53" s="81">
        <v>8008</v>
      </c>
      <c r="FB53" s="81">
        <v>8098</v>
      </c>
      <c r="FC53" s="81">
        <v>7988</v>
      </c>
      <c r="FD53" s="81">
        <v>7884</v>
      </c>
      <c r="FE53" s="81">
        <v>7555</v>
      </c>
      <c r="FF53" s="81">
        <v>7327</v>
      </c>
      <c r="FG53" s="81">
        <v>6908</v>
      </c>
      <c r="FH53" s="81">
        <v>6687</v>
      </c>
      <c r="FI53" s="81">
        <v>6641</v>
      </c>
      <c r="FJ53" s="81">
        <v>6472</v>
      </c>
      <c r="FK53" s="81">
        <v>6169</v>
      </c>
      <c r="FL53" s="81">
        <v>6052</v>
      </c>
      <c r="FM53" s="81">
        <v>5728</v>
      </c>
      <c r="FN53" s="81">
        <v>6045</v>
      </c>
      <c r="FO53" s="81">
        <v>5674</v>
      </c>
      <c r="FP53" s="81">
        <v>5690</v>
      </c>
      <c r="FQ53" s="81">
        <v>5575</v>
      </c>
      <c r="FR53" s="81">
        <v>5747</v>
      </c>
      <c r="FS53" s="81">
        <v>5971</v>
      </c>
      <c r="FT53" s="81">
        <v>6467</v>
      </c>
      <c r="FU53" s="81">
        <v>6787</v>
      </c>
      <c r="FV53" s="81">
        <v>5195</v>
      </c>
      <c r="FW53" s="81">
        <v>5013</v>
      </c>
      <c r="FX53" s="81">
        <v>5280</v>
      </c>
      <c r="FY53" s="81">
        <v>4595</v>
      </c>
      <c r="FZ53" s="81">
        <v>3980</v>
      </c>
      <c r="GA53" s="81">
        <v>3462</v>
      </c>
      <c r="GB53" s="81">
        <v>3527</v>
      </c>
      <c r="GC53" s="81">
        <v>3414</v>
      </c>
      <c r="GD53" s="81">
        <v>3291</v>
      </c>
      <c r="GE53" s="81">
        <v>3012</v>
      </c>
      <c r="GF53" s="81">
        <v>2756</v>
      </c>
      <c r="GG53" s="81">
        <v>2628</v>
      </c>
      <c r="GH53" s="81">
        <v>2261</v>
      </c>
      <c r="GI53" s="81">
        <v>2121</v>
      </c>
      <c r="GJ53" s="81">
        <v>1863</v>
      </c>
      <c r="GK53" s="81">
        <v>1648</v>
      </c>
      <c r="GL53" s="82">
        <v>6813</v>
      </c>
    </row>
    <row r="54" spans="1:194" s="1" customFormat="1" hidden="1" x14ac:dyDescent="0.2">
      <c r="A54" s="83" t="s">
        <v>220</v>
      </c>
      <c r="B54" s="262" t="s">
        <v>264</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0">
        <v>5257</v>
      </c>
      <c r="N54" s="80">
        <v>5633</v>
      </c>
      <c r="O54" s="80">
        <v>5833</v>
      </c>
      <c r="P54" s="80">
        <v>6005</v>
      </c>
      <c r="Q54" s="80">
        <v>6430</v>
      </c>
      <c r="R54" s="80">
        <v>6455</v>
      </c>
      <c r="S54" s="80">
        <v>6707</v>
      </c>
      <c r="T54" s="80">
        <v>6910</v>
      </c>
      <c r="U54" s="80">
        <v>7224</v>
      </c>
      <c r="V54" s="80">
        <v>7118</v>
      </c>
      <c r="W54" s="80">
        <v>6981</v>
      </c>
      <c r="X54" s="80">
        <v>6778</v>
      </c>
      <c r="Y54" s="80">
        <v>6966</v>
      </c>
      <c r="Z54" s="80">
        <v>6863</v>
      </c>
      <c r="AA54" s="80">
        <v>6568</v>
      </c>
      <c r="AB54" s="80">
        <v>6414</v>
      </c>
      <c r="AC54" s="80">
        <v>6244</v>
      </c>
      <c r="AD54" s="80">
        <v>6223</v>
      </c>
      <c r="AE54" s="80">
        <v>6273</v>
      </c>
      <c r="AF54" s="80">
        <v>7486</v>
      </c>
      <c r="AG54" s="80">
        <v>7824</v>
      </c>
      <c r="AH54" s="80">
        <v>8052</v>
      </c>
      <c r="AI54" s="80">
        <v>7548</v>
      </c>
      <c r="AJ54" s="80">
        <v>7423</v>
      </c>
      <c r="AK54" s="80">
        <v>7270</v>
      </c>
      <c r="AL54" s="80">
        <v>6622</v>
      </c>
      <c r="AM54" s="80">
        <v>6865</v>
      </c>
      <c r="AN54" s="80">
        <v>6998</v>
      </c>
      <c r="AO54" s="80">
        <v>7251</v>
      </c>
      <c r="AP54" s="80">
        <v>7716</v>
      </c>
      <c r="AQ54" s="80">
        <v>7420</v>
      </c>
      <c r="AR54" s="80">
        <v>7117</v>
      </c>
      <c r="AS54" s="80">
        <v>6848</v>
      </c>
      <c r="AT54" s="80">
        <v>6527</v>
      </c>
      <c r="AU54" s="80">
        <v>6502</v>
      </c>
      <c r="AV54" s="80">
        <v>6472</v>
      </c>
      <c r="AW54" s="80">
        <v>6460</v>
      </c>
      <c r="AX54" s="80">
        <v>6472</v>
      </c>
      <c r="AY54" s="80">
        <v>6541</v>
      </c>
      <c r="AZ54" s="80">
        <v>6420</v>
      </c>
      <c r="BA54" s="80">
        <v>6429</v>
      </c>
      <c r="BB54" s="80">
        <v>6350</v>
      </c>
      <c r="BC54" s="80">
        <v>5864</v>
      </c>
      <c r="BD54" s="80">
        <v>5876</v>
      </c>
      <c r="BE54" s="80">
        <v>5989</v>
      </c>
      <c r="BF54" s="80">
        <v>6329</v>
      </c>
      <c r="BG54" s="80">
        <v>6601</v>
      </c>
      <c r="BH54" s="80">
        <v>6887</v>
      </c>
      <c r="BI54" s="80">
        <v>7374</v>
      </c>
      <c r="BJ54" s="80">
        <v>7654</v>
      </c>
      <c r="BK54" s="80">
        <v>7685</v>
      </c>
      <c r="BL54" s="80">
        <v>8061</v>
      </c>
      <c r="BM54" s="80">
        <v>8045</v>
      </c>
      <c r="BN54" s="80">
        <v>8253</v>
      </c>
      <c r="BO54" s="80">
        <v>8386</v>
      </c>
      <c r="BP54" s="80">
        <v>8722</v>
      </c>
      <c r="BQ54" s="80">
        <v>8776</v>
      </c>
      <c r="BR54" s="80">
        <v>8438</v>
      </c>
      <c r="BS54" s="80">
        <v>8408</v>
      </c>
      <c r="BT54" s="80">
        <v>8088</v>
      </c>
      <c r="BU54" s="80">
        <v>8125</v>
      </c>
      <c r="BV54" s="80">
        <v>8021</v>
      </c>
      <c r="BW54" s="80">
        <v>7965</v>
      </c>
      <c r="BX54" s="80">
        <v>7734</v>
      </c>
      <c r="BY54" s="80">
        <v>7452</v>
      </c>
      <c r="BZ54" s="80">
        <v>7179</v>
      </c>
      <c r="CA54" s="80">
        <v>7206</v>
      </c>
      <c r="CB54" s="80">
        <v>7256</v>
      </c>
      <c r="CC54" s="80">
        <v>7079</v>
      </c>
      <c r="CD54" s="80">
        <v>7022</v>
      </c>
      <c r="CE54" s="80">
        <v>7448</v>
      </c>
      <c r="CF54" s="80">
        <v>7616</v>
      </c>
      <c r="CG54" s="80">
        <v>7999</v>
      </c>
      <c r="CH54" s="80">
        <v>8766</v>
      </c>
      <c r="CI54" s="80">
        <v>6742</v>
      </c>
      <c r="CJ54" s="80">
        <v>6414</v>
      </c>
      <c r="CK54" s="80">
        <v>6244</v>
      </c>
      <c r="CL54" s="80">
        <v>5718</v>
      </c>
      <c r="CM54" s="80">
        <v>4825</v>
      </c>
      <c r="CN54" s="80">
        <v>4127</v>
      </c>
      <c r="CO54" s="80">
        <v>4075</v>
      </c>
      <c r="CP54" s="80">
        <v>3797</v>
      </c>
      <c r="CQ54" s="80">
        <v>3608</v>
      </c>
      <c r="CR54" s="80">
        <v>3301</v>
      </c>
      <c r="CS54" s="80">
        <v>3012</v>
      </c>
      <c r="CT54" s="80">
        <v>2653</v>
      </c>
      <c r="CU54" s="80">
        <v>2286</v>
      </c>
      <c r="CV54" s="80">
        <v>2004</v>
      </c>
      <c r="CW54" s="80">
        <v>1744</v>
      </c>
      <c r="CX54" s="80">
        <v>1531</v>
      </c>
      <c r="CY54" s="80">
        <v>4961</v>
      </c>
      <c r="CZ54" s="81">
        <v>4962</v>
      </c>
      <c r="DA54" s="81">
        <v>5291</v>
      </c>
      <c r="DB54" s="81">
        <v>5516</v>
      </c>
      <c r="DC54" s="81">
        <v>5758</v>
      </c>
      <c r="DD54" s="81">
        <v>6113</v>
      </c>
      <c r="DE54" s="81">
        <v>6160</v>
      </c>
      <c r="DF54" s="81">
        <v>6301</v>
      </c>
      <c r="DG54" s="81">
        <v>6407</v>
      </c>
      <c r="DH54" s="81">
        <v>6888</v>
      </c>
      <c r="DI54" s="81">
        <v>6775</v>
      </c>
      <c r="DJ54" s="81">
        <v>6723</v>
      </c>
      <c r="DK54" s="81">
        <v>6379</v>
      </c>
      <c r="DL54" s="81">
        <v>6592</v>
      </c>
      <c r="DM54" s="81">
        <v>6359</v>
      </c>
      <c r="DN54" s="81">
        <v>6287</v>
      </c>
      <c r="DO54" s="81">
        <v>6100</v>
      </c>
      <c r="DP54" s="81">
        <v>5807</v>
      </c>
      <c r="DQ54" s="81">
        <v>5824</v>
      </c>
      <c r="DR54" s="81">
        <v>5960</v>
      </c>
      <c r="DS54" s="81">
        <v>7323</v>
      </c>
      <c r="DT54" s="81">
        <v>7932</v>
      </c>
      <c r="DU54" s="81">
        <v>7730</v>
      </c>
      <c r="DV54" s="81">
        <v>7161</v>
      </c>
      <c r="DW54" s="81">
        <v>6408</v>
      </c>
      <c r="DX54" s="81">
        <v>5942</v>
      </c>
      <c r="DY54" s="81">
        <v>6068</v>
      </c>
      <c r="DZ54" s="81">
        <v>6349</v>
      </c>
      <c r="EA54" s="81">
        <v>6235</v>
      </c>
      <c r="EB54" s="81">
        <v>6800</v>
      </c>
      <c r="EC54" s="81">
        <v>6838</v>
      </c>
      <c r="ED54" s="81">
        <v>6908</v>
      </c>
      <c r="EE54" s="81">
        <v>6506</v>
      </c>
      <c r="EF54" s="81">
        <v>6861</v>
      </c>
      <c r="EG54" s="81">
        <v>6760</v>
      </c>
      <c r="EH54" s="81">
        <v>6555</v>
      </c>
      <c r="EI54" s="81">
        <v>6574</v>
      </c>
      <c r="EJ54" s="81">
        <v>6794</v>
      </c>
      <c r="EK54" s="81">
        <v>6789</v>
      </c>
      <c r="EL54" s="81">
        <v>6867</v>
      </c>
      <c r="EM54" s="81">
        <v>6682</v>
      </c>
      <c r="EN54" s="81">
        <v>6865</v>
      </c>
      <c r="EO54" s="81">
        <v>6697</v>
      </c>
      <c r="EP54" s="81">
        <v>6146</v>
      </c>
      <c r="EQ54" s="81">
        <v>6141</v>
      </c>
      <c r="ER54" s="81">
        <v>6419</v>
      </c>
      <c r="ES54" s="81">
        <v>6615</v>
      </c>
      <c r="ET54" s="81">
        <v>6813</v>
      </c>
      <c r="EU54" s="81">
        <v>7362</v>
      </c>
      <c r="EV54" s="81">
        <v>7779</v>
      </c>
      <c r="EW54" s="81">
        <v>8266</v>
      </c>
      <c r="EX54" s="81">
        <v>8426</v>
      </c>
      <c r="EY54" s="81">
        <v>8692</v>
      </c>
      <c r="EZ54" s="81">
        <v>8568</v>
      </c>
      <c r="FA54" s="81">
        <v>8969</v>
      </c>
      <c r="FB54" s="81">
        <v>8988</v>
      </c>
      <c r="FC54" s="81">
        <v>9199</v>
      </c>
      <c r="FD54" s="81">
        <v>9229</v>
      </c>
      <c r="FE54" s="81">
        <v>8987</v>
      </c>
      <c r="FF54" s="81">
        <v>9044</v>
      </c>
      <c r="FG54" s="81">
        <v>8793</v>
      </c>
      <c r="FH54" s="81">
        <v>8496</v>
      </c>
      <c r="FI54" s="81">
        <v>8473</v>
      </c>
      <c r="FJ54" s="81">
        <v>8155</v>
      </c>
      <c r="FK54" s="81">
        <v>8328</v>
      </c>
      <c r="FL54" s="81">
        <v>7872</v>
      </c>
      <c r="FM54" s="81">
        <v>7787</v>
      </c>
      <c r="FN54" s="81">
        <v>7944</v>
      </c>
      <c r="FO54" s="81">
        <v>7865</v>
      </c>
      <c r="FP54" s="81">
        <v>7756</v>
      </c>
      <c r="FQ54" s="81">
        <v>7843</v>
      </c>
      <c r="FR54" s="81">
        <v>7829</v>
      </c>
      <c r="FS54" s="81">
        <v>8241</v>
      </c>
      <c r="FT54" s="81">
        <v>8800</v>
      </c>
      <c r="FU54" s="81">
        <v>9453</v>
      </c>
      <c r="FV54" s="81">
        <v>7311</v>
      </c>
      <c r="FW54" s="81">
        <v>7053</v>
      </c>
      <c r="FX54" s="81">
        <v>6865</v>
      </c>
      <c r="FY54" s="81">
        <v>6262</v>
      </c>
      <c r="FZ54" s="81">
        <v>5548</v>
      </c>
      <c r="GA54" s="81">
        <v>4901</v>
      </c>
      <c r="GB54" s="81">
        <v>4880</v>
      </c>
      <c r="GC54" s="81">
        <v>4757</v>
      </c>
      <c r="GD54" s="81">
        <v>4467</v>
      </c>
      <c r="GE54" s="81">
        <v>4221</v>
      </c>
      <c r="GF54" s="81">
        <v>3793</v>
      </c>
      <c r="GG54" s="81">
        <v>3513</v>
      </c>
      <c r="GH54" s="81">
        <v>3237</v>
      </c>
      <c r="GI54" s="81">
        <v>2960</v>
      </c>
      <c r="GJ54" s="81">
        <v>2773</v>
      </c>
      <c r="GK54" s="81">
        <v>2450</v>
      </c>
      <c r="GL54" s="82">
        <v>10817</v>
      </c>
    </row>
    <row r="55" spans="1:194" s="1" customFormat="1" hidden="1" x14ac:dyDescent="0.2">
      <c r="A55" s="83" t="s">
        <v>220</v>
      </c>
      <c r="B55" s="262" t="s">
        <v>265</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0">
        <v>1813</v>
      </c>
      <c r="N55" s="80">
        <v>1805</v>
      </c>
      <c r="O55" s="80">
        <v>1843</v>
      </c>
      <c r="P55" s="80">
        <v>1878</v>
      </c>
      <c r="Q55" s="80">
        <v>1977</v>
      </c>
      <c r="R55" s="80">
        <v>1915</v>
      </c>
      <c r="S55" s="80">
        <v>1987</v>
      </c>
      <c r="T55" s="80">
        <v>2003</v>
      </c>
      <c r="U55" s="80">
        <v>2047</v>
      </c>
      <c r="V55" s="80">
        <v>2039</v>
      </c>
      <c r="W55" s="80">
        <v>1989</v>
      </c>
      <c r="X55" s="80">
        <v>2114</v>
      </c>
      <c r="Y55" s="80">
        <v>2051</v>
      </c>
      <c r="Z55" s="80">
        <v>1866</v>
      </c>
      <c r="AA55" s="80">
        <v>1875</v>
      </c>
      <c r="AB55" s="80">
        <v>1853</v>
      </c>
      <c r="AC55" s="80">
        <v>1774</v>
      </c>
      <c r="AD55" s="80">
        <v>1661</v>
      </c>
      <c r="AE55" s="80">
        <v>1685</v>
      </c>
      <c r="AF55" s="80">
        <v>1400</v>
      </c>
      <c r="AG55" s="80">
        <v>1439</v>
      </c>
      <c r="AH55" s="80">
        <v>1537</v>
      </c>
      <c r="AI55" s="80">
        <v>1708</v>
      </c>
      <c r="AJ55" s="80">
        <v>1823</v>
      </c>
      <c r="AK55" s="80">
        <v>1845</v>
      </c>
      <c r="AL55" s="80">
        <v>1904</v>
      </c>
      <c r="AM55" s="80">
        <v>1999</v>
      </c>
      <c r="AN55" s="80">
        <v>2084</v>
      </c>
      <c r="AO55" s="80">
        <v>2113</v>
      </c>
      <c r="AP55" s="80">
        <v>2262</v>
      </c>
      <c r="AQ55" s="80">
        <v>2186</v>
      </c>
      <c r="AR55" s="80">
        <v>2065</v>
      </c>
      <c r="AS55" s="80">
        <v>2083</v>
      </c>
      <c r="AT55" s="80">
        <v>2111</v>
      </c>
      <c r="AU55" s="80">
        <v>2135</v>
      </c>
      <c r="AV55" s="80">
        <v>2227</v>
      </c>
      <c r="AW55" s="80">
        <v>2074</v>
      </c>
      <c r="AX55" s="80">
        <v>2116</v>
      </c>
      <c r="AY55" s="80">
        <v>2014</v>
      </c>
      <c r="AZ55" s="80">
        <v>2069</v>
      </c>
      <c r="BA55" s="80">
        <v>2015</v>
      </c>
      <c r="BB55" s="80">
        <v>1901</v>
      </c>
      <c r="BC55" s="80">
        <v>1802</v>
      </c>
      <c r="BD55" s="80">
        <v>1611</v>
      </c>
      <c r="BE55" s="80">
        <v>1866</v>
      </c>
      <c r="BF55" s="80">
        <v>1868</v>
      </c>
      <c r="BG55" s="80">
        <v>1844</v>
      </c>
      <c r="BH55" s="80">
        <v>2024</v>
      </c>
      <c r="BI55" s="80">
        <v>1998</v>
      </c>
      <c r="BJ55" s="80">
        <v>2179</v>
      </c>
      <c r="BK55" s="80">
        <v>2131</v>
      </c>
      <c r="BL55" s="80">
        <v>2095</v>
      </c>
      <c r="BM55" s="80">
        <v>2144</v>
      </c>
      <c r="BN55" s="80">
        <v>2094</v>
      </c>
      <c r="BO55" s="80">
        <v>2249</v>
      </c>
      <c r="BP55" s="80">
        <v>2131</v>
      </c>
      <c r="BQ55" s="80">
        <v>2265</v>
      </c>
      <c r="BR55" s="80">
        <v>2271</v>
      </c>
      <c r="BS55" s="80">
        <v>2147</v>
      </c>
      <c r="BT55" s="80">
        <v>2159</v>
      </c>
      <c r="BU55" s="80">
        <v>2024</v>
      </c>
      <c r="BV55" s="80">
        <v>1988</v>
      </c>
      <c r="BW55" s="80">
        <v>1941</v>
      </c>
      <c r="BX55" s="80">
        <v>1858</v>
      </c>
      <c r="BY55" s="80">
        <v>1846</v>
      </c>
      <c r="BZ55" s="80">
        <v>1724</v>
      </c>
      <c r="CA55" s="80">
        <v>1654</v>
      </c>
      <c r="CB55" s="80">
        <v>1639</v>
      </c>
      <c r="CC55" s="80">
        <v>1612</v>
      </c>
      <c r="CD55" s="80">
        <v>1618</v>
      </c>
      <c r="CE55" s="80">
        <v>1462</v>
      </c>
      <c r="CF55" s="80">
        <v>1658</v>
      </c>
      <c r="CG55" s="80">
        <v>1610</v>
      </c>
      <c r="CH55" s="80">
        <v>1699</v>
      </c>
      <c r="CI55" s="80">
        <v>1308</v>
      </c>
      <c r="CJ55" s="80">
        <v>1286</v>
      </c>
      <c r="CK55" s="80">
        <v>1242</v>
      </c>
      <c r="CL55" s="80">
        <v>1070</v>
      </c>
      <c r="CM55" s="80">
        <v>984</v>
      </c>
      <c r="CN55" s="80">
        <v>877</v>
      </c>
      <c r="CO55" s="80">
        <v>841</v>
      </c>
      <c r="CP55" s="80">
        <v>731</v>
      </c>
      <c r="CQ55" s="80">
        <v>704</v>
      </c>
      <c r="CR55" s="80">
        <v>648</v>
      </c>
      <c r="CS55" s="80">
        <v>596</v>
      </c>
      <c r="CT55" s="80">
        <v>498</v>
      </c>
      <c r="CU55" s="80">
        <v>420</v>
      </c>
      <c r="CV55" s="80">
        <v>397</v>
      </c>
      <c r="CW55" s="80">
        <v>355</v>
      </c>
      <c r="CX55" s="80">
        <v>230</v>
      </c>
      <c r="CY55" s="80">
        <v>837</v>
      </c>
      <c r="CZ55" s="81">
        <v>1636</v>
      </c>
      <c r="DA55" s="81">
        <v>1675</v>
      </c>
      <c r="DB55" s="81">
        <v>1792</v>
      </c>
      <c r="DC55" s="81">
        <v>1774</v>
      </c>
      <c r="DD55" s="81">
        <v>1764</v>
      </c>
      <c r="DE55" s="81">
        <v>1848</v>
      </c>
      <c r="DF55" s="81">
        <v>1854</v>
      </c>
      <c r="DG55" s="81">
        <v>1925</v>
      </c>
      <c r="DH55" s="81">
        <v>1878</v>
      </c>
      <c r="DI55" s="81">
        <v>1952</v>
      </c>
      <c r="DJ55" s="81">
        <v>1945</v>
      </c>
      <c r="DK55" s="81">
        <v>2025</v>
      </c>
      <c r="DL55" s="81">
        <v>1971</v>
      </c>
      <c r="DM55" s="81">
        <v>1868</v>
      </c>
      <c r="DN55" s="81">
        <v>1851</v>
      </c>
      <c r="DO55" s="81">
        <v>1768</v>
      </c>
      <c r="DP55" s="81">
        <v>1719</v>
      </c>
      <c r="DQ55" s="81">
        <v>1627</v>
      </c>
      <c r="DR55" s="81">
        <v>1553</v>
      </c>
      <c r="DS55" s="81">
        <v>1197</v>
      </c>
      <c r="DT55" s="81">
        <v>1168</v>
      </c>
      <c r="DU55" s="81">
        <v>1362</v>
      </c>
      <c r="DV55" s="81">
        <v>1556</v>
      </c>
      <c r="DW55" s="81">
        <v>1738</v>
      </c>
      <c r="DX55" s="81">
        <v>1832</v>
      </c>
      <c r="DY55" s="81">
        <v>1918</v>
      </c>
      <c r="DZ55" s="81">
        <v>1930</v>
      </c>
      <c r="EA55" s="81">
        <v>1936</v>
      </c>
      <c r="EB55" s="81">
        <v>2035</v>
      </c>
      <c r="EC55" s="81">
        <v>2189</v>
      </c>
      <c r="ED55" s="81">
        <v>2077</v>
      </c>
      <c r="EE55" s="81">
        <v>2206</v>
      </c>
      <c r="EF55" s="81">
        <v>2178</v>
      </c>
      <c r="EG55" s="81">
        <v>2202</v>
      </c>
      <c r="EH55" s="81">
        <v>2144</v>
      </c>
      <c r="EI55" s="81">
        <v>2141</v>
      </c>
      <c r="EJ55" s="81">
        <v>2042</v>
      </c>
      <c r="EK55" s="81">
        <v>1962</v>
      </c>
      <c r="EL55" s="81">
        <v>1983</v>
      </c>
      <c r="EM55" s="81">
        <v>1954</v>
      </c>
      <c r="EN55" s="81">
        <v>2061</v>
      </c>
      <c r="EO55" s="81">
        <v>1682</v>
      </c>
      <c r="EP55" s="81">
        <v>1623</v>
      </c>
      <c r="EQ55" s="81">
        <v>1666</v>
      </c>
      <c r="ER55" s="81">
        <v>1670</v>
      </c>
      <c r="ES55" s="81">
        <v>1778</v>
      </c>
      <c r="ET55" s="81">
        <v>1803</v>
      </c>
      <c r="EU55" s="81">
        <v>1991</v>
      </c>
      <c r="EV55" s="81">
        <v>2010</v>
      </c>
      <c r="EW55" s="81">
        <v>2234</v>
      </c>
      <c r="EX55" s="81">
        <v>2090</v>
      </c>
      <c r="EY55" s="81">
        <v>2273</v>
      </c>
      <c r="EZ55" s="81">
        <v>2199</v>
      </c>
      <c r="FA55" s="81">
        <v>2271</v>
      </c>
      <c r="FB55" s="81">
        <v>2265</v>
      </c>
      <c r="FC55" s="81">
        <v>2285</v>
      </c>
      <c r="FD55" s="81">
        <v>2256</v>
      </c>
      <c r="FE55" s="81">
        <v>2188</v>
      </c>
      <c r="FF55" s="81">
        <v>2138</v>
      </c>
      <c r="FG55" s="81">
        <v>2066</v>
      </c>
      <c r="FH55" s="81">
        <v>2105</v>
      </c>
      <c r="FI55" s="81">
        <v>2004</v>
      </c>
      <c r="FJ55" s="81">
        <v>2043</v>
      </c>
      <c r="FK55" s="81">
        <v>1932</v>
      </c>
      <c r="FL55" s="81">
        <v>1833</v>
      </c>
      <c r="FM55" s="81">
        <v>1784</v>
      </c>
      <c r="FN55" s="81">
        <v>1775</v>
      </c>
      <c r="FO55" s="81">
        <v>1722</v>
      </c>
      <c r="FP55" s="81">
        <v>1665</v>
      </c>
      <c r="FQ55" s="81">
        <v>1702</v>
      </c>
      <c r="FR55" s="81">
        <v>1672</v>
      </c>
      <c r="FS55" s="81">
        <v>1698</v>
      </c>
      <c r="FT55" s="81">
        <v>1826</v>
      </c>
      <c r="FU55" s="81">
        <v>1871</v>
      </c>
      <c r="FV55" s="81">
        <v>1412</v>
      </c>
      <c r="FW55" s="81">
        <v>1386</v>
      </c>
      <c r="FX55" s="81">
        <v>1379</v>
      </c>
      <c r="FY55" s="81">
        <v>1169</v>
      </c>
      <c r="FZ55" s="81">
        <v>1059</v>
      </c>
      <c r="GA55" s="81">
        <v>1022</v>
      </c>
      <c r="GB55" s="81">
        <v>1030</v>
      </c>
      <c r="GC55" s="81">
        <v>1054</v>
      </c>
      <c r="GD55" s="81">
        <v>942</v>
      </c>
      <c r="GE55" s="81">
        <v>908</v>
      </c>
      <c r="GF55" s="81">
        <v>858</v>
      </c>
      <c r="GG55" s="81">
        <v>760</v>
      </c>
      <c r="GH55" s="81">
        <v>658</v>
      </c>
      <c r="GI55" s="81">
        <v>588</v>
      </c>
      <c r="GJ55" s="81">
        <v>541</v>
      </c>
      <c r="GK55" s="81">
        <v>436</v>
      </c>
      <c r="GL55" s="82">
        <v>1707</v>
      </c>
    </row>
    <row r="56" spans="1:194" s="1" customFormat="1" hidden="1" x14ac:dyDescent="0.2">
      <c r="A56" s="83" t="s">
        <v>220</v>
      </c>
      <c r="B56" s="262" t="s">
        <v>266</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0">
        <v>3259</v>
      </c>
      <c r="N56" s="80">
        <v>3402</v>
      </c>
      <c r="O56" s="80">
        <v>3561</v>
      </c>
      <c r="P56" s="80">
        <v>3814</v>
      </c>
      <c r="Q56" s="80">
        <v>3969</v>
      </c>
      <c r="R56" s="80">
        <v>3975</v>
      </c>
      <c r="S56" s="80">
        <v>4176</v>
      </c>
      <c r="T56" s="80">
        <v>4263</v>
      </c>
      <c r="U56" s="80">
        <v>4621</v>
      </c>
      <c r="V56" s="80">
        <v>4443</v>
      </c>
      <c r="W56" s="80">
        <v>4349</v>
      </c>
      <c r="X56" s="80">
        <v>4331</v>
      </c>
      <c r="Y56" s="80">
        <v>4534</v>
      </c>
      <c r="Z56" s="80">
        <v>4408</v>
      </c>
      <c r="AA56" s="80">
        <v>4303</v>
      </c>
      <c r="AB56" s="80">
        <v>4274</v>
      </c>
      <c r="AC56" s="80">
        <v>4118</v>
      </c>
      <c r="AD56" s="80">
        <v>4047</v>
      </c>
      <c r="AE56" s="80">
        <v>4114</v>
      </c>
      <c r="AF56" s="80">
        <v>4332</v>
      </c>
      <c r="AG56" s="80">
        <v>4639</v>
      </c>
      <c r="AH56" s="80">
        <v>4544</v>
      </c>
      <c r="AI56" s="80">
        <v>4467</v>
      </c>
      <c r="AJ56" s="80">
        <v>4479</v>
      </c>
      <c r="AK56" s="80">
        <v>4032</v>
      </c>
      <c r="AL56" s="80">
        <v>3911</v>
      </c>
      <c r="AM56" s="80">
        <v>4019</v>
      </c>
      <c r="AN56" s="80">
        <v>4084</v>
      </c>
      <c r="AO56" s="80">
        <v>4106</v>
      </c>
      <c r="AP56" s="80">
        <v>4394</v>
      </c>
      <c r="AQ56" s="80">
        <v>4242</v>
      </c>
      <c r="AR56" s="80">
        <v>4093</v>
      </c>
      <c r="AS56" s="80">
        <v>4168</v>
      </c>
      <c r="AT56" s="80">
        <v>4310</v>
      </c>
      <c r="AU56" s="80">
        <v>4138</v>
      </c>
      <c r="AV56" s="80">
        <v>4120</v>
      </c>
      <c r="AW56" s="80">
        <v>3935</v>
      </c>
      <c r="AX56" s="80">
        <v>4064</v>
      </c>
      <c r="AY56" s="80">
        <v>4321</v>
      </c>
      <c r="AZ56" s="80">
        <v>4754</v>
      </c>
      <c r="BA56" s="80">
        <v>4662</v>
      </c>
      <c r="BB56" s="80">
        <v>4577</v>
      </c>
      <c r="BC56" s="80">
        <v>4076</v>
      </c>
      <c r="BD56" s="80">
        <v>4196</v>
      </c>
      <c r="BE56" s="80">
        <v>4255</v>
      </c>
      <c r="BF56" s="80">
        <v>4525</v>
      </c>
      <c r="BG56" s="80">
        <v>4532</v>
      </c>
      <c r="BH56" s="80">
        <v>4653</v>
      </c>
      <c r="BI56" s="80">
        <v>5064</v>
      </c>
      <c r="BJ56" s="80">
        <v>5242</v>
      </c>
      <c r="BK56" s="80">
        <v>5203</v>
      </c>
      <c r="BL56" s="80">
        <v>5236</v>
      </c>
      <c r="BM56" s="80">
        <v>5377</v>
      </c>
      <c r="BN56" s="80">
        <v>5516</v>
      </c>
      <c r="BO56" s="80">
        <v>5604</v>
      </c>
      <c r="BP56" s="80">
        <v>5629</v>
      </c>
      <c r="BQ56" s="80">
        <v>5715</v>
      </c>
      <c r="BR56" s="80">
        <v>5591</v>
      </c>
      <c r="BS56" s="80">
        <v>5618</v>
      </c>
      <c r="BT56" s="80">
        <v>5201</v>
      </c>
      <c r="BU56" s="80">
        <v>5002</v>
      </c>
      <c r="BV56" s="80">
        <v>5023</v>
      </c>
      <c r="BW56" s="80">
        <v>5041</v>
      </c>
      <c r="BX56" s="80">
        <v>4866</v>
      </c>
      <c r="BY56" s="80">
        <v>4694</v>
      </c>
      <c r="BZ56" s="80">
        <v>4620</v>
      </c>
      <c r="CA56" s="80">
        <v>4557</v>
      </c>
      <c r="CB56" s="80">
        <v>4599</v>
      </c>
      <c r="CC56" s="80">
        <v>4616</v>
      </c>
      <c r="CD56" s="80">
        <v>4654</v>
      </c>
      <c r="CE56" s="80">
        <v>4819</v>
      </c>
      <c r="CF56" s="80">
        <v>4773</v>
      </c>
      <c r="CG56" s="80">
        <v>5383</v>
      </c>
      <c r="CH56" s="80">
        <v>6008</v>
      </c>
      <c r="CI56" s="80">
        <v>4547</v>
      </c>
      <c r="CJ56" s="80">
        <v>4252</v>
      </c>
      <c r="CK56" s="80">
        <v>4096</v>
      </c>
      <c r="CL56" s="80">
        <v>3891</v>
      </c>
      <c r="CM56" s="80">
        <v>3323</v>
      </c>
      <c r="CN56" s="80">
        <v>2787</v>
      </c>
      <c r="CO56" s="80">
        <v>2756</v>
      </c>
      <c r="CP56" s="80">
        <v>2741</v>
      </c>
      <c r="CQ56" s="80">
        <v>2706</v>
      </c>
      <c r="CR56" s="80">
        <v>2400</v>
      </c>
      <c r="CS56" s="80">
        <v>2080</v>
      </c>
      <c r="CT56" s="80">
        <v>1967</v>
      </c>
      <c r="CU56" s="80">
        <v>1668</v>
      </c>
      <c r="CV56" s="80">
        <v>1466</v>
      </c>
      <c r="CW56" s="80">
        <v>1286</v>
      </c>
      <c r="CX56" s="80">
        <v>1156</v>
      </c>
      <c r="CY56" s="80">
        <v>4002</v>
      </c>
      <c r="CZ56" s="81">
        <v>3048</v>
      </c>
      <c r="DA56" s="81">
        <v>3206</v>
      </c>
      <c r="DB56" s="81">
        <v>3483</v>
      </c>
      <c r="DC56" s="81">
        <v>3632</v>
      </c>
      <c r="DD56" s="81">
        <v>3858</v>
      </c>
      <c r="DE56" s="81">
        <v>3912</v>
      </c>
      <c r="DF56" s="81">
        <v>3917</v>
      </c>
      <c r="DG56" s="81">
        <v>3958</v>
      </c>
      <c r="DH56" s="81">
        <v>4252</v>
      </c>
      <c r="DI56" s="81">
        <v>4239</v>
      </c>
      <c r="DJ56" s="81">
        <v>4242</v>
      </c>
      <c r="DK56" s="81">
        <v>4187</v>
      </c>
      <c r="DL56" s="81">
        <v>4301</v>
      </c>
      <c r="DM56" s="81">
        <v>4077</v>
      </c>
      <c r="DN56" s="81">
        <v>4006</v>
      </c>
      <c r="DO56" s="81">
        <v>3972</v>
      </c>
      <c r="DP56" s="81">
        <v>3954</v>
      </c>
      <c r="DQ56" s="81">
        <v>3959</v>
      </c>
      <c r="DR56" s="81">
        <v>3626</v>
      </c>
      <c r="DS56" s="81">
        <v>4110</v>
      </c>
      <c r="DT56" s="81">
        <v>3974</v>
      </c>
      <c r="DU56" s="81">
        <v>4047</v>
      </c>
      <c r="DV56" s="81">
        <v>4215</v>
      </c>
      <c r="DW56" s="81">
        <v>3668</v>
      </c>
      <c r="DX56" s="81">
        <v>3570</v>
      </c>
      <c r="DY56" s="81">
        <v>3481</v>
      </c>
      <c r="DZ56" s="81">
        <v>3622</v>
      </c>
      <c r="EA56" s="81">
        <v>3501</v>
      </c>
      <c r="EB56" s="81">
        <v>3814</v>
      </c>
      <c r="EC56" s="81">
        <v>3905</v>
      </c>
      <c r="ED56" s="81">
        <v>3779</v>
      </c>
      <c r="EE56" s="81">
        <v>3947</v>
      </c>
      <c r="EF56" s="81">
        <v>4167</v>
      </c>
      <c r="EG56" s="81">
        <v>4212</v>
      </c>
      <c r="EH56" s="81">
        <v>4168</v>
      </c>
      <c r="EI56" s="81">
        <v>4393</v>
      </c>
      <c r="EJ56" s="81">
        <v>4363</v>
      </c>
      <c r="EK56" s="81">
        <v>4280</v>
      </c>
      <c r="EL56" s="81">
        <v>4546</v>
      </c>
      <c r="EM56" s="81">
        <v>4692</v>
      </c>
      <c r="EN56" s="81">
        <v>4653</v>
      </c>
      <c r="EO56" s="81">
        <v>4460</v>
      </c>
      <c r="EP56" s="81">
        <v>4074</v>
      </c>
      <c r="EQ56" s="81">
        <v>4133</v>
      </c>
      <c r="ER56" s="81">
        <v>4148</v>
      </c>
      <c r="ES56" s="81">
        <v>4397</v>
      </c>
      <c r="ET56" s="81">
        <v>4556</v>
      </c>
      <c r="EU56" s="81">
        <v>4731</v>
      </c>
      <c r="EV56" s="81">
        <v>5077</v>
      </c>
      <c r="EW56" s="81">
        <v>5308</v>
      </c>
      <c r="EX56" s="81">
        <v>5287</v>
      </c>
      <c r="EY56" s="81">
        <v>5294</v>
      </c>
      <c r="EZ56" s="81">
        <v>5349</v>
      </c>
      <c r="FA56" s="81">
        <v>5606</v>
      </c>
      <c r="FB56" s="81">
        <v>5642</v>
      </c>
      <c r="FC56" s="81">
        <v>5760</v>
      </c>
      <c r="FD56" s="81">
        <v>5932</v>
      </c>
      <c r="FE56" s="81">
        <v>5772</v>
      </c>
      <c r="FF56" s="81">
        <v>5710</v>
      </c>
      <c r="FG56" s="81">
        <v>5501</v>
      </c>
      <c r="FH56" s="81">
        <v>5330</v>
      </c>
      <c r="FI56" s="81">
        <v>5345</v>
      </c>
      <c r="FJ56" s="81">
        <v>5422</v>
      </c>
      <c r="FK56" s="81">
        <v>5263</v>
      </c>
      <c r="FL56" s="81">
        <v>4928</v>
      </c>
      <c r="FM56" s="81">
        <v>4900</v>
      </c>
      <c r="FN56" s="81">
        <v>5257</v>
      </c>
      <c r="FO56" s="81">
        <v>4985</v>
      </c>
      <c r="FP56" s="81">
        <v>4975</v>
      </c>
      <c r="FQ56" s="81">
        <v>5140</v>
      </c>
      <c r="FR56" s="81">
        <v>5497</v>
      </c>
      <c r="FS56" s="81">
        <v>5379</v>
      </c>
      <c r="FT56" s="81">
        <v>5851</v>
      </c>
      <c r="FU56" s="81">
        <v>6482</v>
      </c>
      <c r="FV56" s="81">
        <v>4874</v>
      </c>
      <c r="FW56" s="81">
        <v>4685</v>
      </c>
      <c r="FX56" s="81">
        <v>4615</v>
      </c>
      <c r="FY56" s="81">
        <v>4193</v>
      </c>
      <c r="FZ56" s="81">
        <v>3760</v>
      </c>
      <c r="GA56" s="81">
        <v>3170</v>
      </c>
      <c r="GB56" s="81">
        <v>3322</v>
      </c>
      <c r="GC56" s="81">
        <v>3229</v>
      </c>
      <c r="GD56" s="81">
        <v>3175</v>
      </c>
      <c r="GE56" s="81">
        <v>2867</v>
      </c>
      <c r="GF56" s="81">
        <v>2661</v>
      </c>
      <c r="GG56" s="81">
        <v>2498</v>
      </c>
      <c r="GH56" s="81">
        <v>2321</v>
      </c>
      <c r="GI56" s="81">
        <v>2202</v>
      </c>
      <c r="GJ56" s="81">
        <v>1995</v>
      </c>
      <c r="GK56" s="81">
        <v>1861</v>
      </c>
      <c r="GL56" s="82">
        <v>7561</v>
      </c>
    </row>
    <row r="57" spans="1:194" s="1" customFormat="1" hidden="1" x14ac:dyDescent="0.2">
      <c r="A57" s="83" t="s">
        <v>220</v>
      </c>
      <c r="B57" s="262" t="s">
        <v>267</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0">
        <v>3289</v>
      </c>
      <c r="N57" s="80">
        <v>3370</v>
      </c>
      <c r="O57" s="80">
        <v>3547</v>
      </c>
      <c r="P57" s="80">
        <v>3679</v>
      </c>
      <c r="Q57" s="80">
        <v>3629</v>
      </c>
      <c r="R57" s="80">
        <v>3634</v>
      </c>
      <c r="S57" s="80">
        <v>3718</v>
      </c>
      <c r="T57" s="80">
        <v>3845</v>
      </c>
      <c r="U57" s="80">
        <v>3966</v>
      </c>
      <c r="V57" s="80">
        <v>3844</v>
      </c>
      <c r="W57" s="80">
        <v>3951</v>
      </c>
      <c r="X57" s="80">
        <v>3728</v>
      </c>
      <c r="Y57" s="80">
        <v>3807</v>
      </c>
      <c r="Z57" s="80">
        <v>3618</v>
      </c>
      <c r="AA57" s="80">
        <v>3532</v>
      </c>
      <c r="AB57" s="80">
        <v>3423</v>
      </c>
      <c r="AC57" s="80">
        <v>3425</v>
      </c>
      <c r="AD57" s="80">
        <v>3221</v>
      </c>
      <c r="AE57" s="80">
        <v>3264</v>
      </c>
      <c r="AF57" s="80">
        <v>2945</v>
      </c>
      <c r="AG57" s="80">
        <v>3187</v>
      </c>
      <c r="AH57" s="80">
        <v>3243</v>
      </c>
      <c r="AI57" s="80">
        <v>3516</v>
      </c>
      <c r="AJ57" s="80">
        <v>3667</v>
      </c>
      <c r="AK57" s="80">
        <v>3559</v>
      </c>
      <c r="AL57" s="80">
        <v>3581</v>
      </c>
      <c r="AM57" s="80">
        <v>3715</v>
      </c>
      <c r="AN57" s="80">
        <v>3739</v>
      </c>
      <c r="AO57" s="80">
        <v>3616</v>
      </c>
      <c r="AP57" s="80">
        <v>3707</v>
      </c>
      <c r="AQ57" s="80">
        <v>3687</v>
      </c>
      <c r="AR57" s="80">
        <v>3625</v>
      </c>
      <c r="AS57" s="80">
        <v>3700</v>
      </c>
      <c r="AT57" s="80">
        <v>3656</v>
      </c>
      <c r="AU57" s="80">
        <v>3726</v>
      </c>
      <c r="AV57" s="80">
        <v>3634</v>
      </c>
      <c r="AW57" s="80">
        <v>3603</v>
      </c>
      <c r="AX57" s="80">
        <v>3614</v>
      </c>
      <c r="AY57" s="80">
        <v>3815</v>
      </c>
      <c r="AZ57" s="80">
        <v>3890</v>
      </c>
      <c r="BA57" s="80">
        <v>4121</v>
      </c>
      <c r="BB57" s="80">
        <v>3947</v>
      </c>
      <c r="BC57" s="80">
        <v>3664</v>
      </c>
      <c r="BD57" s="80">
        <v>3549</v>
      </c>
      <c r="BE57" s="80">
        <v>3621</v>
      </c>
      <c r="BF57" s="80">
        <v>3584</v>
      </c>
      <c r="BG57" s="80">
        <v>3756</v>
      </c>
      <c r="BH57" s="80">
        <v>3791</v>
      </c>
      <c r="BI57" s="80">
        <v>3839</v>
      </c>
      <c r="BJ57" s="80">
        <v>3956</v>
      </c>
      <c r="BK57" s="80">
        <v>3858</v>
      </c>
      <c r="BL57" s="80">
        <v>3976</v>
      </c>
      <c r="BM57" s="80">
        <v>3972</v>
      </c>
      <c r="BN57" s="80">
        <v>4053</v>
      </c>
      <c r="BO57" s="80">
        <v>4079</v>
      </c>
      <c r="BP57" s="80">
        <v>4171</v>
      </c>
      <c r="BQ57" s="80">
        <v>4017</v>
      </c>
      <c r="BR57" s="80">
        <v>3905</v>
      </c>
      <c r="BS57" s="80">
        <v>3778</v>
      </c>
      <c r="BT57" s="80">
        <v>3568</v>
      </c>
      <c r="BU57" s="80">
        <v>3399</v>
      </c>
      <c r="BV57" s="80">
        <v>3284</v>
      </c>
      <c r="BW57" s="80">
        <v>3218</v>
      </c>
      <c r="BX57" s="80">
        <v>3110</v>
      </c>
      <c r="BY57" s="80">
        <v>2855</v>
      </c>
      <c r="BZ57" s="80">
        <v>2611</v>
      </c>
      <c r="CA57" s="80">
        <v>2570</v>
      </c>
      <c r="CB57" s="80">
        <v>2516</v>
      </c>
      <c r="CC57" s="80">
        <v>2349</v>
      </c>
      <c r="CD57" s="80">
        <v>2327</v>
      </c>
      <c r="CE57" s="80">
        <v>2388</v>
      </c>
      <c r="CF57" s="80">
        <v>2335</v>
      </c>
      <c r="CG57" s="80">
        <v>2586</v>
      </c>
      <c r="CH57" s="80">
        <v>2815</v>
      </c>
      <c r="CI57" s="80">
        <v>2022</v>
      </c>
      <c r="CJ57" s="80">
        <v>2037</v>
      </c>
      <c r="CK57" s="80">
        <v>1927</v>
      </c>
      <c r="CL57" s="80">
        <v>1806</v>
      </c>
      <c r="CM57" s="80">
        <v>1533</v>
      </c>
      <c r="CN57" s="80">
        <v>1341</v>
      </c>
      <c r="CO57" s="80">
        <v>1342</v>
      </c>
      <c r="CP57" s="80">
        <v>1359</v>
      </c>
      <c r="CQ57" s="80">
        <v>1291</v>
      </c>
      <c r="CR57" s="80">
        <v>1184</v>
      </c>
      <c r="CS57" s="80">
        <v>1074</v>
      </c>
      <c r="CT57" s="80">
        <v>980</v>
      </c>
      <c r="CU57" s="80">
        <v>865</v>
      </c>
      <c r="CV57" s="80">
        <v>734</v>
      </c>
      <c r="CW57" s="80">
        <v>649</v>
      </c>
      <c r="CX57" s="80">
        <v>558</v>
      </c>
      <c r="CY57" s="80">
        <v>1782</v>
      </c>
      <c r="CZ57" s="81">
        <v>2997</v>
      </c>
      <c r="DA57" s="81">
        <v>3130</v>
      </c>
      <c r="DB57" s="81">
        <v>3324</v>
      </c>
      <c r="DC57" s="81">
        <v>3347</v>
      </c>
      <c r="DD57" s="81">
        <v>3526</v>
      </c>
      <c r="DE57" s="81">
        <v>3526</v>
      </c>
      <c r="DF57" s="81">
        <v>3560</v>
      </c>
      <c r="DG57" s="81">
        <v>3509</v>
      </c>
      <c r="DH57" s="81">
        <v>3853</v>
      </c>
      <c r="DI57" s="81">
        <v>3697</v>
      </c>
      <c r="DJ57" s="81">
        <v>3758</v>
      </c>
      <c r="DK57" s="81">
        <v>3567</v>
      </c>
      <c r="DL57" s="81">
        <v>3585</v>
      </c>
      <c r="DM57" s="81">
        <v>3480</v>
      </c>
      <c r="DN57" s="81">
        <v>3387</v>
      </c>
      <c r="DO57" s="81">
        <v>3271</v>
      </c>
      <c r="DP57" s="81">
        <v>3238</v>
      </c>
      <c r="DQ57" s="81">
        <v>3135</v>
      </c>
      <c r="DR57" s="81">
        <v>3014</v>
      </c>
      <c r="DS57" s="81">
        <v>2710</v>
      </c>
      <c r="DT57" s="81">
        <v>2902</v>
      </c>
      <c r="DU57" s="81">
        <v>3217</v>
      </c>
      <c r="DV57" s="81">
        <v>3264</v>
      </c>
      <c r="DW57" s="81">
        <v>3496</v>
      </c>
      <c r="DX57" s="81">
        <v>3539</v>
      </c>
      <c r="DY57" s="81">
        <v>3601</v>
      </c>
      <c r="DZ57" s="81">
        <v>3622</v>
      </c>
      <c r="EA57" s="81">
        <v>3569</v>
      </c>
      <c r="EB57" s="81">
        <v>3517</v>
      </c>
      <c r="EC57" s="81">
        <v>3617</v>
      </c>
      <c r="ED57" s="81">
        <v>3732</v>
      </c>
      <c r="EE57" s="81">
        <v>3946</v>
      </c>
      <c r="EF57" s="81">
        <v>3940</v>
      </c>
      <c r="EG57" s="81">
        <v>4059</v>
      </c>
      <c r="EH57" s="81">
        <v>4100</v>
      </c>
      <c r="EI57" s="81">
        <v>3921</v>
      </c>
      <c r="EJ57" s="81">
        <v>4116</v>
      </c>
      <c r="EK57" s="81">
        <v>4066</v>
      </c>
      <c r="EL57" s="81">
        <v>3995</v>
      </c>
      <c r="EM57" s="81">
        <v>4360</v>
      </c>
      <c r="EN57" s="81">
        <v>4377</v>
      </c>
      <c r="EO57" s="81">
        <v>4022</v>
      </c>
      <c r="EP57" s="81">
        <v>3699</v>
      </c>
      <c r="EQ57" s="81">
        <v>3748</v>
      </c>
      <c r="ER57" s="81">
        <v>3781</v>
      </c>
      <c r="ES57" s="81">
        <v>3878</v>
      </c>
      <c r="ET57" s="81">
        <v>3857</v>
      </c>
      <c r="EU57" s="81">
        <v>3960</v>
      </c>
      <c r="EV57" s="81">
        <v>4113</v>
      </c>
      <c r="EW57" s="81">
        <v>4260</v>
      </c>
      <c r="EX57" s="81">
        <v>3961</v>
      </c>
      <c r="EY57" s="81">
        <v>4146</v>
      </c>
      <c r="EZ57" s="81">
        <v>4110</v>
      </c>
      <c r="FA57" s="81">
        <v>4273</v>
      </c>
      <c r="FB57" s="81">
        <v>4334</v>
      </c>
      <c r="FC57" s="81">
        <v>4267</v>
      </c>
      <c r="FD57" s="81">
        <v>4161</v>
      </c>
      <c r="FE57" s="81">
        <v>3993</v>
      </c>
      <c r="FF57" s="81">
        <v>3860</v>
      </c>
      <c r="FG57" s="81">
        <v>3576</v>
      </c>
      <c r="FH57" s="81">
        <v>3463</v>
      </c>
      <c r="FI57" s="81">
        <v>3391</v>
      </c>
      <c r="FJ57" s="81">
        <v>3148</v>
      </c>
      <c r="FK57" s="81">
        <v>3020</v>
      </c>
      <c r="FL57" s="81">
        <v>2883</v>
      </c>
      <c r="FM57" s="81">
        <v>2748</v>
      </c>
      <c r="FN57" s="81">
        <v>2686</v>
      </c>
      <c r="FO57" s="81">
        <v>2592</v>
      </c>
      <c r="FP57" s="81">
        <v>2480</v>
      </c>
      <c r="FQ57" s="81">
        <v>2538</v>
      </c>
      <c r="FR57" s="81">
        <v>2586</v>
      </c>
      <c r="FS57" s="81">
        <v>2679</v>
      </c>
      <c r="FT57" s="81">
        <v>2759</v>
      </c>
      <c r="FU57" s="81">
        <v>3213</v>
      </c>
      <c r="FV57" s="81">
        <v>2335</v>
      </c>
      <c r="FW57" s="81">
        <v>2256</v>
      </c>
      <c r="FX57" s="81">
        <v>2234</v>
      </c>
      <c r="FY57" s="81">
        <v>2122</v>
      </c>
      <c r="FZ57" s="81">
        <v>1869</v>
      </c>
      <c r="GA57" s="81">
        <v>1617</v>
      </c>
      <c r="GB57" s="81">
        <v>1801</v>
      </c>
      <c r="GC57" s="81">
        <v>1704</v>
      </c>
      <c r="GD57" s="81">
        <v>1673</v>
      </c>
      <c r="GE57" s="81">
        <v>1583</v>
      </c>
      <c r="GF57" s="81">
        <v>1497</v>
      </c>
      <c r="GG57" s="81">
        <v>1486</v>
      </c>
      <c r="GH57" s="81">
        <v>1263</v>
      </c>
      <c r="GI57" s="81">
        <v>1085</v>
      </c>
      <c r="GJ57" s="81">
        <v>1081</v>
      </c>
      <c r="GK57" s="81">
        <v>942</v>
      </c>
      <c r="GL57" s="82">
        <v>3743</v>
      </c>
    </row>
    <row r="58" spans="1:194" s="1" customFormat="1" hidden="1" x14ac:dyDescent="0.2">
      <c r="A58" s="83" t="s">
        <v>220</v>
      </c>
      <c r="B58" s="262" t="s">
        <v>268</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0">
        <v>2240</v>
      </c>
      <c r="N58" s="80">
        <v>2270</v>
      </c>
      <c r="O58" s="80">
        <v>2341</v>
      </c>
      <c r="P58" s="80">
        <v>2502</v>
      </c>
      <c r="Q58" s="80">
        <v>2448</v>
      </c>
      <c r="R58" s="80">
        <v>2475</v>
      </c>
      <c r="S58" s="80">
        <v>2459</v>
      </c>
      <c r="T58" s="80">
        <v>2615</v>
      </c>
      <c r="U58" s="80">
        <v>2575</v>
      </c>
      <c r="V58" s="80">
        <v>2644</v>
      </c>
      <c r="W58" s="80">
        <v>2676</v>
      </c>
      <c r="X58" s="80">
        <v>2609</v>
      </c>
      <c r="Y58" s="80">
        <v>2557</v>
      </c>
      <c r="Z58" s="80">
        <v>2505</v>
      </c>
      <c r="AA58" s="80">
        <v>2455</v>
      </c>
      <c r="AB58" s="80">
        <v>2458</v>
      </c>
      <c r="AC58" s="80">
        <v>2319</v>
      </c>
      <c r="AD58" s="80">
        <v>2348</v>
      </c>
      <c r="AE58" s="80">
        <v>2200</v>
      </c>
      <c r="AF58" s="80">
        <v>1889</v>
      </c>
      <c r="AG58" s="80">
        <v>1840</v>
      </c>
      <c r="AH58" s="80">
        <v>1886</v>
      </c>
      <c r="AI58" s="80">
        <v>1972</v>
      </c>
      <c r="AJ58" s="80">
        <v>2240</v>
      </c>
      <c r="AK58" s="80">
        <v>2240</v>
      </c>
      <c r="AL58" s="80">
        <v>2192</v>
      </c>
      <c r="AM58" s="80">
        <v>2236</v>
      </c>
      <c r="AN58" s="80">
        <v>2305</v>
      </c>
      <c r="AO58" s="80">
        <v>2264</v>
      </c>
      <c r="AP58" s="80">
        <v>2499</v>
      </c>
      <c r="AQ58" s="80">
        <v>2389</v>
      </c>
      <c r="AR58" s="80">
        <v>2361</v>
      </c>
      <c r="AS58" s="80">
        <v>2411</v>
      </c>
      <c r="AT58" s="80">
        <v>2284</v>
      </c>
      <c r="AU58" s="80">
        <v>2356</v>
      </c>
      <c r="AV58" s="80">
        <v>2432</v>
      </c>
      <c r="AW58" s="80">
        <v>2334</v>
      </c>
      <c r="AX58" s="80">
        <v>2299</v>
      </c>
      <c r="AY58" s="80">
        <v>2346</v>
      </c>
      <c r="AZ58" s="80">
        <v>2236</v>
      </c>
      <c r="BA58" s="80">
        <v>2363</v>
      </c>
      <c r="BB58" s="80">
        <v>2183</v>
      </c>
      <c r="BC58" s="80">
        <v>2115</v>
      </c>
      <c r="BD58" s="80">
        <v>2095</v>
      </c>
      <c r="BE58" s="80">
        <v>2268</v>
      </c>
      <c r="BF58" s="80">
        <v>2207</v>
      </c>
      <c r="BG58" s="80">
        <v>2351</v>
      </c>
      <c r="BH58" s="80">
        <v>2403</v>
      </c>
      <c r="BI58" s="80">
        <v>2512</v>
      </c>
      <c r="BJ58" s="80">
        <v>2599</v>
      </c>
      <c r="BK58" s="80">
        <v>2626</v>
      </c>
      <c r="BL58" s="80">
        <v>2814</v>
      </c>
      <c r="BM58" s="80">
        <v>2903</v>
      </c>
      <c r="BN58" s="80">
        <v>2711</v>
      </c>
      <c r="BO58" s="80">
        <v>2623</v>
      </c>
      <c r="BP58" s="80">
        <v>2681</v>
      </c>
      <c r="BQ58" s="80">
        <v>2660</v>
      </c>
      <c r="BR58" s="80">
        <v>2623</v>
      </c>
      <c r="BS58" s="80">
        <v>2615</v>
      </c>
      <c r="BT58" s="80">
        <v>2496</v>
      </c>
      <c r="BU58" s="80">
        <v>2338</v>
      </c>
      <c r="BV58" s="80">
        <v>2386</v>
      </c>
      <c r="BW58" s="80">
        <v>2315</v>
      </c>
      <c r="BX58" s="80">
        <v>2256</v>
      </c>
      <c r="BY58" s="80">
        <v>2148</v>
      </c>
      <c r="BZ58" s="80">
        <v>2021</v>
      </c>
      <c r="CA58" s="80">
        <v>2034</v>
      </c>
      <c r="CB58" s="80">
        <v>2073</v>
      </c>
      <c r="CC58" s="80">
        <v>1983</v>
      </c>
      <c r="CD58" s="80">
        <v>1923</v>
      </c>
      <c r="CE58" s="80">
        <v>1985</v>
      </c>
      <c r="CF58" s="80">
        <v>2130</v>
      </c>
      <c r="CG58" s="80">
        <v>2243</v>
      </c>
      <c r="CH58" s="80">
        <v>2334</v>
      </c>
      <c r="CI58" s="80">
        <v>1738</v>
      </c>
      <c r="CJ58" s="80">
        <v>1584</v>
      </c>
      <c r="CK58" s="80">
        <v>1514</v>
      </c>
      <c r="CL58" s="80">
        <v>1387</v>
      </c>
      <c r="CM58" s="80">
        <v>1178</v>
      </c>
      <c r="CN58" s="80">
        <v>1150</v>
      </c>
      <c r="CO58" s="80">
        <v>998</v>
      </c>
      <c r="CP58" s="80">
        <v>877</v>
      </c>
      <c r="CQ58" s="80">
        <v>876</v>
      </c>
      <c r="CR58" s="80">
        <v>795</v>
      </c>
      <c r="CS58" s="80">
        <v>693</v>
      </c>
      <c r="CT58" s="80">
        <v>613</v>
      </c>
      <c r="CU58" s="80">
        <v>526</v>
      </c>
      <c r="CV58" s="80">
        <v>410</v>
      </c>
      <c r="CW58" s="80">
        <v>354</v>
      </c>
      <c r="CX58" s="80">
        <v>335</v>
      </c>
      <c r="CY58" s="80">
        <v>1088</v>
      </c>
      <c r="CZ58" s="81">
        <v>2146</v>
      </c>
      <c r="DA58" s="81">
        <v>2161</v>
      </c>
      <c r="DB58" s="81">
        <v>2166</v>
      </c>
      <c r="DC58" s="81">
        <v>2227</v>
      </c>
      <c r="DD58" s="81">
        <v>2392</v>
      </c>
      <c r="DE58" s="81">
        <v>2387</v>
      </c>
      <c r="DF58" s="81">
        <v>2448</v>
      </c>
      <c r="DG58" s="81">
        <v>2473</v>
      </c>
      <c r="DH58" s="81">
        <v>2477</v>
      </c>
      <c r="DI58" s="81">
        <v>2389</v>
      </c>
      <c r="DJ58" s="81">
        <v>2509</v>
      </c>
      <c r="DK58" s="81">
        <v>2513</v>
      </c>
      <c r="DL58" s="81">
        <v>2499</v>
      </c>
      <c r="DM58" s="81">
        <v>2351</v>
      </c>
      <c r="DN58" s="81">
        <v>2381</v>
      </c>
      <c r="DO58" s="81">
        <v>2237</v>
      </c>
      <c r="DP58" s="81">
        <v>2144</v>
      </c>
      <c r="DQ58" s="81">
        <v>2049</v>
      </c>
      <c r="DR58" s="81">
        <v>2033</v>
      </c>
      <c r="DS58" s="81">
        <v>1683</v>
      </c>
      <c r="DT58" s="81">
        <v>1564</v>
      </c>
      <c r="DU58" s="81">
        <v>1676</v>
      </c>
      <c r="DV58" s="81">
        <v>2000</v>
      </c>
      <c r="DW58" s="81">
        <v>2023</v>
      </c>
      <c r="DX58" s="81">
        <v>2141</v>
      </c>
      <c r="DY58" s="81">
        <v>2104</v>
      </c>
      <c r="DZ58" s="81">
        <v>2189</v>
      </c>
      <c r="EA58" s="81">
        <v>2154</v>
      </c>
      <c r="EB58" s="81">
        <v>2422</v>
      </c>
      <c r="EC58" s="81">
        <v>2504</v>
      </c>
      <c r="ED58" s="81">
        <v>2423</v>
      </c>
      <c r="EE58" s="81">
        <v>2522</v>
      </c>
      <c r="EF58" s="81">
        <v>2669</v>
      </c>
      <c r="EG58" s="81">
        <v>2524</v>
      </c>
      <c r="EH58" s="81">
        <v>2584</v>
      </c>
      <c r="EI58" s="81">
        <v>2481</v>
      </c>
      <c r="EJ58" s="81">
        <v>2419</v>
      </c>
      <c r="EK58" s="81">
        <v>2445</v>
      </c>
      <c r="EL58" s="81">
        <v>2515</v>
      </c>
      <c r="EM58" s="81">
        <v>2470</v>
      </c>
      <c r="EN58" s="81">
        <v>2398</v>
      </c>
      <c r="EO58" s="81">
        <v>2319</v>
      </c>
      <c r="EP58" s="81">
        <v>2185</v>
      </c>
      <c r="EQ58" s="81">
        <v>2120</v>
      </c>
      <c r="ER58" s="81">
        <v>2349</v>
      </c>
      <c r="ES58" s="81">
        <v>2318</v>
      </c>
      <c r="ET58" s="81">
        <v>2309</v>
      </c>
      <c r="EU58" s="81">
        <v>2502</v>
      </c>
      <c r="EV58" s="81">
        <v>2559</v>
      </c>
      <c r="EW58" s="81">
        <v>2798</v>
      </c>
      <c r="EX58" s="81">
        <v>2793</v>
      </c>
      <c r="EY58" s="81">
        <v>2853</v>
      </c>
      <c r="EZ58" s="81">
        <v>2780</v>
      </c>
      <c r="FA58" s="81">
        <v>2764</v>
      </c>
      <c r="FB58" s="81">
        <v>2651</v>
      </c>
      <c r="FC58" s="81">
        <v>2729</v>
      </c>
      <c r="FD58" s="81">
        <v>2718</v>
      </c>
      <c r="FE58" s="81">
        <v>2793</v>
      </c>
      <c r="FF58" s="81">
        <v>2692</v>
      </c>
      <c r="FG58" s="81">
        <v>2610</v>
      </c>
      <c r="FH58" s="81">
        <v>2497</v>
      </c>
      <c r="FI58" s="81">
        <v>2328</v>
      </c>
      <c r="FJ58" s="81">
        <v>2403</v>
      </c>
      <c r="FK58" s="81">
        <v>2358</v>
      </c>
      <c r="FL58" s="81">
        <v>2207</v>
      </c>
      <c r="FM58" s="81">
        <v>2178</v>
      </c>
      <c r="FN58" s="81">
        <v>2090</v>
      </c>
      <c r="FO58" s="81">
        <v>2070</v>
      </c>
      <c r="FP58" s="81">
        <v>1942</v>
      </c>
      <c r="FQ58" s="81">
        <v>2060</v>
      </c>
      <c r="FR58" s="81">
        <v>2102</v>
      </c>
      <c r="FS58" s="81">
        <v>2251</v>
      </c>
      <c r="FT58" s="81">
        <v>2341</v>
      </c>
      <c r="FU58" s="81">
        <v>2459</v>
      </c>
      <c r="FV58" s="81">
        <v>1762</v>
      </c>
      <c r="FW58" s="81">
        <v>1802</v>
      </c>
      <c r="FX58" s="81">
        <v>1747</v>
      </c>
      <c r="FY58" s="81">
        <v>1487</v>
      </c>
      <c r="FZ58" s="81">
        <v>1342</v>
      </c>
      <c r="GA58" s="81">
        <v>1234</v>
      </c>
      <c r="GB58" s="81">
        <v>1134</v>
      </c>
      <c r="GC58" s="81">
        <v>1136</v>
      </c>
      <c r="GD58" s="81">
        <v>1031</v>
      </c>
      <c r="GE58" s="81">
        <v>988</v>
      </c>
      <c r="GF58" s="81">
        <v>957</v>
      </c>
      <c r="GG58" s="81">
        <v>795</v>
      </c>
      <c r="GH58" s="81">
        <v>772</v>
      </c>
      <c r="GI58" s="81">
        <v>669</v>
      </c>
      <c r="GJ58" s="81">
        <v>634</v>
      </c>
      <c r="GK58" s="81">
        <v>540</v>
      </c>
      <c r="GL58" s="82">
        <v>2272</v>
      </c>
    </row>
    <row r="59" spans="1:194" s="1" customFormat="1" hidden="1" x14ac:dyDescent="0.2">
      <c r="A59" s="83" t="s">
        <v>220</v>
      </c>
      <c r="B59" s="262" t="s">
        <v>269</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0">
        <v>1651</v>
      </c>
      <c r="N59" s="80">
        <v>1659</v>
      </c>
      <c r="O59" s="80">
        <v>1849</v>
      </c>
      <c r="P59" s="80">
        <v>1841</v>
      </c>
      <c r="Q59" s="80">
        <v>1919</v>
      </c>
      <c r="R59" s="80">
        <v>2038</v>
      </c>
      <c r="S59" s="80">
        <v>1946</v>
      </c>
      <c r="T59" s="80">
        <v>2068</v>
      </c>
      <c r="U59" s="80">
        <v>2062</v>
      </c>
      <c r="V59" s="80">
        <v>2126</v>
      </c>
      <c r="W59" s="80">
        <v>2011</v>
      </c>
      <c r="X59" s="80">
        <v>2123</v>
      </c>
      <c r="Y59" s="80">
        <v>2184</v>
      </c>
      <c r="Z59" s="80">
        <v>2090</v>
      </c>
      <c r="AA59" s="80">
        <v>2192</v>
      </c>
      <c r="AB59" s="80">
        <v>2107</v>
      </c>
      <c r="AC59" s="80">
        <v>2120</v>
      </c>
      <c r="AD59" s="80">
        <v>1976</v>
      </c>
      <c r="AE59" s="80">
        <v>1896</v>
      </c>
      <c r="AF59" s="80">
        <v>1897</v>
      </c>
      <c r="AG59" s="80">
        <v>1494</v>
      </c>
      <c r="AH59" s="80">
        <v>1494</v>
      </c>
      <c r="AI59" s="80">
        <v>1714</v>
      </c>
      <c r="AJ59" s="80">
        <v>1801</v>
      </c>
      <c r="AK59" s="80">
        <v>2096</v>
      </c>
      <c r="AL59" s="80">
        <v>2179</v>
      </c>
      <c r="AM59" s="80">
        <v>2038</v>
      </c>
      <c r="AN59" s="80">
        <v>1950</v>
      </c>
      <c r="AO59" s="80">
        <v>1651</v>
      </c>
      <c r="AP59" s="80">
        <v>1697</v>
      </c>
      <c r="AQ59" s="80">
        <v>1723</v>
      </c>
      <c r="AR59" s="80">
        <v>1803</v>
      </c>
      <c r="AS59" s="80">
        <v>1901</v>
      </c>
      <c r="AT59" s="80">
        <v>1814</v>
      </c>
      <c r="AU59" s="80">
        <v>1849</v>
      </c>
      <c r="AV59" s="80">
        <v>1986</v>
      </c>
      <c r="AW59" s="80">
        <v>1839</v>
      </c>
      <c r="AX59" s="80">
        <v>1833</v>
      </c>
      <c r="AY59" s="80">
        <v>1887</v>
      </c>
      <c r="AZ59" s="80">
        <v>2073</v>
      </c>
      <c r="BA59" s="80">
        <v>2056</v>
      </c>
      <c r="BB59" s="80">
        <v>1949</v>
      </c>
      <c r="BC59" s="80">
        <v>1902</v>
      </c>
      <c r="BD59" s="80">
        <v>1851</v>
      </c>
      <c r="BE59" s="80">
        <v>1989</v>
      </c>
      <c r="BF59" s="80">
        <v>2070</v>
      </c>
      <c r="BG59" s="80">
        <v>2100</v>
      </c>
      <c r="BH59" s="80">
        <v>2193</v>
      </c>
      <c r="BI59" s="80">
        <v>2345</v>
      </c>
      <c r="BJ59" s="80">
        <v>2569</v>
      </c>
      <c r="BK59" s="80">
        <v>2296</v>
      </c>
      <c r="BL59" s="80">
        <v>2629</v>
      </c>
      <c r="BM59" s="80">
        <v>2561</v>
      </c>
      <c r="BN59" s="80">
        <v>2541</v>
      </c>
      <c r="BO59" s="80">
        <v>2525</v>
      </c>
      <c r="BP59" s="80">
        <v>2658</v>
      </c>
      <c r="BQ59" s="80">
        <v>2572</v>
      </c>
      <c r="BR59" s="80">
        <v>2533</v>
      </c>
      <c r="BS59" s="80">
        <v>2416</v>
      </c>
      <c r="BT59" s="80">
        <v>2466</v>
      </c>
      <c r="BU59" s="80">
        <v>2267</v>
      </c>
      <c r="BV59" s="80">
        <v>2174</v>
      </c>
      <c r="BW59" s="80">
        <v>2124</v>
      </c>
      <c r="BX59" s="80">
        <v>2008</v>
      </c>
      <c r="BY59" s="80">
        <v>2035</v>
      </c>
      <c r="BZ59" s="80">
        <v>1880</v>
      </c>
      <c r="CA59" s="80">
        <v>1834</v>
      </c>
      <c r="CB59" s="80">
        <v>1983</v>
      </c>
      <c r="CC59" s="80">
        <v>1900</v>
      </c>
      <c r="CD59" s="80">
        <v>1946</v>
      </c>
      <c r="CE59" s="80">
        <v>1879</v>
      </c>
      <c r="CF59" s="80">
        <v>1985</v>
      </c>
      <c r="CG59" s="80">
        <v>1980</v>
      </c>
      <c r="CH59" s="80">
        <v>2237</v>
      </c>
      <c r="CI59" s="80">
        <v>1665</v>
      </c>
      <c r="CJ59" s="80">
        <v>1601</v>
      </c>
      <c r="CK59" s="80">
        <v>1583</v>
      </c>
      <c r="CL59" s="80">
        <v>1464</v>
      </c>
      <c r="CM59" s="80">
        <v>1192</v>
      </c>
      <c r="CN59" s="80">
        <v>1043</v>
      </c>
      <c r="CO59" s="80">
        <v>1060</v>
      </c>
      <c r="CP59" s="80">
        <v>1070</v>
      </c>
      <c r="CQ59" s="80">
        <v>978</v>
      </c>
      <c r="CR59" s="80">
        <v>875</v>
      </c>
      <c r="CS59" s="80">
        <v>772</v>
      </c>
      <c r="CT59" s="80">
        <v>710</v>
      </c>
      <c r="CU59" s="80">
        <v>644</v>
      </c>
      <c r="CV59" s="80">
        <v>544</v>
      </c>
      <c r="CW59" s="80">
        <v>432</v>
      </c>
      <c r="CX59" s="80">
        <v>377</v>
      </c>
      <c r="CY59" s="80">
        <v>1148</v>
      </c>
      <c r="CZ59" s="81">
        <v>1451</v>
      </c>
      <c r="DA59" s="81">
        <v>1590</v>
      </c>
      <c r="DB59" s="81">
        <v>1650</v>
      </c>
      <c r="DC59" s="81">
        <v>1666</v>
      </c>
      <c r="DD59" s="81">
        <v>1883</v>
      </c>
      <c r="DE59" s="81">
        <v>1769</v>
      </c>
      <c r="DF59" s="81">
        <v>1838</v>
      </c>
      <c r="DG59" s="81">
        <v>1909</v>
      </c>
      <c r="DH59" s="81">
        <v>2009</v>
      </c>
      <c r="DI59" s="81">
        <v>2004</v>
      </c>
      <c r="DJ59" s="81">
        <v>2123</v>
      </c>
      <c r="DK59" s="81">
        <v>1892</v>
      </c>
      <c r="DL59" s="81">
        <v>2012</v>
      </c>
      <c r="DM59" s="81">
        <v>2072</v>
      </c>
      <c r="DN59" s="81">
        <v>2059</v>
      </c>
      <c r="DO59" s="81">
        <v>1950</v>
      </c>
      <c r="DP59" s="81">
        <v>1980</v>
      </c>
      <c r="DQ59" s="81">
        <v>1917</v>
      </c>
      <c r="DR59" s="81">
        <v>1793</v>
      </c>
      <c r="DS59" s="81">
        <v>1740</v>
      </c>
      <c r="DT59" s="81">
        <v>1211</v>
      </c>
      <c r="DU59" s="81">
        <v>1311</v>
      </c>
      <c r="DV59" s="81">
        <v>1424</v>
      </c>
      <c r="DW59" s="81">
        <v>1625</v>
      </c>
      <c r="DX59" s="81">
        <v>1744</v>
      </c>
      <c r="DY59" s="81">
        <v>1798</v>
      </c>
      <c r="DZ59" s="81">
        <v>1901</v>
      </c>
      <c r="EA59" s="81">
        <v>1750</v>
      </c>
      <c r="EB59" s="81">
        <v>1720</v>
      </c>
      <c r="EC59" s="81">
        <v>1871</v>
      </c>
      <c r="ED59" s="81">
        <v>1920</v>
      </c>
      <c r="EE59" s="81">
        <v>1964</v>
      </c>
      <c r="EF59" s="81">
        <v>2124</v>
      </c>
      <c r="EG59" s="81">
        <v>1933</v>
      </c>
      <c r="EH59" s="81">
        <v>2073</v>
      </c>
      <c r="EI59" s="81">
        <v>2058</v>
      </c>
      <c r="EJ59" s="81">
        <v>2103</v>
      </c>
      <c r="EK59" s="81">
        <v>2114</v>
      </c>
      <c r="EL59" s="81">
        <v>2106</v>
      </c>
      <c r="EM59" s="81">
        <v>2122</v>
      </c>
      <c r="EN59" s="81">
        <v>2205</v>
      </c>
      <c r="EO59" s="81">
        <v>2087</v>
      </c>
      <c r="EP59" s="81">
        <v>1976</v>
      </c>
      <c r="EQ59" s="81">
        <v>1974</v>
      </c>
      <c r="ER59" s="81">
        <v>1980</v>
      </c>
      <c r="ES59" s="81">
        <v>2146</v>
      </c>
      <c r="ET59" s="81">
        <v>2237</v>
      </c>
      <c r="EU59" s="81">
        <v>2330</v>
      </c>
      <c r="EV59" s="81">
        <v>2407</v>
      </c>
      <c r="EW59" s="81">
        <v>2559</v>
      </c>
      <c r="EX59" s="81">
        <v>2554</v>
      </c>
      <c r="EY59" s="81">
        <v>2648</v>
      </c>
      <c r="EZ59" s="81">
        <v>2678</v>
      </c>
      <c r="FA59" s="81">
        <v>2614</v>
      </c>
      <c r="FB59" s="81">
        <v>2732</v>
      </c>
      <c r="FC59" s="81">
        <v>2718</v>
      </c>
      <c r="FD59" s="81">
        <v>2662</v>
      </c>
      <c r="FE59" s="81">
        <v>2609</v>
      </c>
      <c r="FF59" s="81">
        <v>2505</v>
      </c>
      <c r="FG59" s="81">
        <v>2398</v>
      </c>
      <c r="FH59" s="81">
        <v>2225</v>
      </c>
      <c r="FI59" s="81">
        <v>2256</v>
      </c>
      <c r="FJ59" s="81">
        <v>2172</v>
      </c>
      <c r="FK59" s="81">
        <v>2106</v>
      </c>
      <c r="FL59" s="81">
        <v>2016</v>
      </c>
      <c r="FM59" s="81">
        <v>1906</v>
      </c>
      <c r="FN59" s="81">
        <v>1973</v>
      </c>
      <c r="FO59" s="81">
        <v>2011</v>
      </c>
      <c r="FP59" s="81">
        <v>1935</v>
      </c>
      <c r="FQ59" s="81">
        <v>1919</v>
      </c>
      <c r="FR59" s="81">
        <v>2069</v>
      </c>
      <c r="FS59" s="81">
        <v>2153</v>
      </c>
      <c r="FT59" s="81">
        <v>2240</v>
      </c>
      <c r="FU59" s="81">
        <v>2368</v>
      </c>
      <c r="FV59" s="81">
        <v>1778</v>
      </c>
      <c r="FW59" s="81">
        <v>1791</v>
      </c>
      <c r="FX59" s="81">
        <v>1840</v>
      </c>
      <c r="FY59" s="81">
        <v>1676</v>
      </c>
      <c r="FZ59" s="81">
        <v>1346</v>
      </c>
      <c r="GA59" s="81">
        <v>1232</v>
      </c>
      <c r="GB59" s="81">
        <v>1208</v>
      </c>
      <c r="GC59" s="81">
        <v>1246</v>
      </c>
      <c r="GD59" s="81">
        <v>1231</v>
      </c>
      <c r="GE59" s="81">
        <v>1120</v>
      </c>
      <c r="GF59" s="81">
        <v>1043</v>
      </c>
      <c r="GG59" s="81">
        <v>952</v>
      </c>
      <c r="GH59" s="81">
        <v>857</v>
      </c>
      <c r="GI59" s="81">
        <v>756</v>
      </c>
      <c r="GJ59" s="81">
        <v>707</v>
      </c>
      <c r="GK59" s="81">
        <v>613</v>
      </c>
      <c r="GL59" s="82">
        <v>2725</v>
      </c>
    </row>
    <row r="60" spans="1:194" s="1" customFormat="1" hidden="1" x14ac:dyDescent="0.2">
      <c r="A60" s="83" t="s">
        <v>220</v>
      </c>
      <c r="B60" s="262" t="s">
        <v>270</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0">
        <v>1376</v>
      </c>
      <c r="N60" s="80">
        <v>1373</v>
      </c>
      <c r="O60" s="80">
        <v>1505</v>
      </c>
      <c r="P60" s="80">
        <v>1575</v>
      </c>
      <c r="Q60" s="80">
        <v>1634</v>
      </c>
      <c r="R60" s="80">
        <v>1708</v>
      </c>
      <c r="S60" s="80">
        <v>1696</v>
      </c>
      <c r="T60" s="80">
        <v>1747</v>
      </c>
      <c r="U60" s="80">
        <v>1926</v>
      </c>
      <c r="V60" s="80">
        <v>1830</v>
      </c>
      <c r="W60" s="80">
        <v>1743</v>
      </c>
      <c r="X60" s="80">
        <v>1746</v>
      </c>
      <c r="Y60" s="80">
        <v>1912</v>
      </c>
      <c r="Z60" s="80">
        <v>1840</v>
      </c>
      <c r="AA60" s="80">
        <v>1736</v>
      </c>
      <c r="AB60" s="80">
        <v>1715</v>
      </c>
      <c r="AC60" s="80">
        <v>1718</v>
      </c>
      <c r="AD60" s="80">
        <v>1739</v>
      </c>
      <c r="AE60" s="80">
        <v>1661</v>
      </c>
      <c r="AF60" s="80">
        <v>1312</v>
      </c>
      <c r="AG60" s="80">
        <v>1351</v>
      </c>
      <c r="AH60" s="80">
        <v>1406</v>
      </c>
      <c r="AI60" s="80">
        <v>1351</v>
      </c>
      <c r="AJ60" s="80">
        <v>1505</v>
      </c>
      <c r="AK60" s="80">
        <v>1537</v>
      </c>
      <c r="AL60" s="80">
        <v>1543</v>
      </c>
      <c r="AM60" s="80">
        <v>1590</v>
      </c>
      <c r="AN60" s="80">
        <v>1561</v>
      </c>
      <c r="AO60" s="80">
        <v>1557</v>
      </c>
      <c r="AP60" s="80">
        <v>1333</v>
      </c>
      <c r="AQ60" s="80">
        <v>1385</v>
      </c>
      <c r="AR60" s="80">
        <v>1519</v>
      </c>
      <c r="AS60" s="80">
        <v>1474</v>
      </c>
      <c r="AT60" s="80">
        <v>1496</v>
      </c>
      <c r="AU60" s="80">
        <v>1497</v>
      </c>
      <c r="AV60" s="80">
        <v>1379</v>
      </c>
      <c r="AW60" s="80">
        <v>1584</v>
      </c>
      <c r="AX60" s="80">
        <v>1508</v>
      </c>
      <c r="AY60" s="80">
        <v>1630</v>
      </c>
      <c r="AZ60" s="80">
        <v>1565</v>
      </c>
      <c r="BA60" s="80">
        <v>1619</v>
      </c>
      <c r="BB60" s="80">
        <v>1706</v>
      </c>
      <c r="BC60" s="80">
        <v>1625</v>
      </c>
      <c r="BD60" s="80">
        <v>1579</v>
      </c>
      <c r="BE60" s="80">
        <v>1703</v>
      </c>
      <c r="BF60" s="80">
        <v>1814</v>
      </c>
      <c r="BG60" s="80">
        <v>1883</v>
      </c>
      <c r="BH60" s="80">
        <v>1991</v>
      </c>
      <c r="BI60" s="80">
        <v>2203</v>
      </c>
      <c r="BJ60" s="80">
        <v>2333</v>
      </c>
      <c r="BK60" s="80">
        <v>2242</v>
      </c>
      <c r="BL60" s="80">
        <v>2309</v>
      </c>
      <c r="BM60" s="80">
        <v>2297</v>
      </c>
      <c r="BN60" s="80">
        <v>2407</v>
      </c>
      <c r="BO60" s="80">
        <v>2496</v>
      </c>
      <c r="BP60" s="80">
        <v>2520</v>
      </c>
      <c r="BQ60" s="80">
        <v>2572</v>
      </c>
      <c r="BR60" s="80">
        <v>2585</v>
      </c>
      <c r="BS60" s="80">
        <v>2548</v>
      </c>
      <c r="BT60" s="80">
        <v>2420</v>
      </c>
      <c r="BU60" s="80">
        <v>2365</v>
      </c>
      <c r="BV60" s="80">
        <v>2264</v>
      </c>
      <c r="BW60" s="80">
        <v>2352</v>
      </c>
      <c r="BX60" s="80">
        <v>2282</v>
      </c>
      <c r="BY60" s="80">
        <v>2198</v>
      </c>
      <c r="BZ60" s="80">
        <v>2126</v>
      </c>
      <c r="CA60" s="80">
        <v>2166</v>
      </c>
      <c r="CB60" s="80">
        <v>2085</v>
      </c>
      <c r="CC60" s="80">
        <v>2101</v>
      </c>
      <c r="CD60" s="80">
        <v>2198</v>
      </c>
      <c r="CE60" s="80">
        <v>2287</v>
      </c>
      <c r="CF60" s="80">
        <v>2295</v>
      </c>
      <c r="CG60" s="80">
        <v>2332</v>
      </c>
      <c r="CH60" s="80">
        <v>2762</v>
      </c>
      <c r="CI60" s="80">
        <v>1975</v>
      </c>
      <c r="CJ60" s="80">
        <v>1805</v>
      </c>
      <c r="CK60" s="80">
        <v>1687</v>
      </c>
      <c r="CL60" s="80">
        <v>1550</v>
      </c>
      <c r="CM60" s="80">
        <v>1315</v>
      </c>
      <c r="CN60" s="80">
        <v>1168</v>
      </c>
      <c r="CO60" s="80">
        <v>1193</v>
      </c>
      <c r="CP60" s="80">
        <v>1217</v>
      </c>
      <c r="CQ60" s="80">
        <v>1122</v>
      </c>
      <c r="CR60" s="80">
        <v>973</v>
      </c>
      <c r="CS60" s="80">
        <v>853</v>
      </c>
      <c r="CT60" s="80">
        <v>744</v>
      </c>
      <c r="CU60" s="80">
        <v>657</v>
      </c>
      <c r="CV60" s="80">
        <v>585</v>
      </c>
      <c r="CW60" s="80">
        <v>489</v>
      </c>
      <c r="CX60" s="80">
        <v>393</v>
      </c>
      <c r="CY60" s="80">
        <v>1083</v>
      </c>
      <c r="CZ60" s="81">
        <v>1139</v>
      </c>
      <c r="DA60" s="81">
        <v>1226</v>
      </c>
      <c r="DB60" s="81">
        <v>1347</v>
      </c>
      <c r="DC60" s="81">
        <v>1431</v>
      </c>
      <c r="DD60" s="81">
        <v>1505</v>
      </c>
      <c r="DE60" s="81">
        <v>1536</v>
      </c>
      <c r="DF60" s="81">
        <v>1575</v>
      </c>
      <c r="DG60" s="81">
        <v>1622</v>
      </c>
      <c r="DH60" s="81">
        <v>1707</v>
      </c>
      <c r="DI60" s="81">
        <v>1757</v>
      </c>
      <c r="DJ60" s="81">
        <v>1752</v>
      </c>
      <c r="DK60" s="81">
        <v>1738</v>
      </c>
      <c r="DL60" s="81">
        <v>1799</v>
      </c>
      <c r="DM60" s="81">
        <v>1684</v>
      </c>
      <c r="DN60" s="81">
        <v>1643</v>
      </c>
      <c r="DO60" s="81">
        <v>1734</v>
      </c>
      <c r="DP60" s="81">
        <v>1697</v>
      </c>
      <c r="DQ60" s="81">
        <v>1612</v>
      </c>
      <c r="DR60" s="81">
        <v>1547</v>
      </c>
      <c r="DS60" s="81">
        <v>1073</v>
      </c>
      <c r="DT60" s="81">
        <v>999</v>
      </c>
      <c r="DU60" s="81">
        <v>1158</v>
      </c>
      <c r="DV60" s="81">
        <v>1215</v>
      </c>
      <c r="DW60" s="81">
        <v>1250</v>
      </c>
      <c r="DX60" s="81">
        <v>1318</v>
      </c>
      <c r="DY60" s="81">
        <v>1340</v>
      </c>
      <c r="DZ60" s="81">
        <v>1306</v>
      </c>
      <c r="EA60" s="81">
        <v>1408</v>
      </c>
      <c r="EB60" s="81">
        <v>1470</v>
      </c>
      <c r="EC60" s="81">
        <v>1512</v>
      </c>
      <c r="ED60" s="81">
        <v>1405</v>
      </c>
      <c r="EE60" s="81">
        <v>1598</v>
      </c>
      <c r="EF60" s="81">
        <v>1683</v>
      </c>
      <c r="EG60" s="81">
        <v>1612</v>
      </c>
      <c r="EH60" s="81">
        <v>1657</v>
      </c>
      <c r="EI60" s="81">
        <v>1702</v>
      </c>
      <c r="EJ60" s="81">
        <v>1676</v>
      </c>
      <c r="EK60" s="81">
        <v>1688</v>
      </c>
      <c r="EL60" s="81">
        <v>1596</v>
      </c>
      <c r="EM60" s="81">
        <v>1822</v>
      </c>
      <c r="EN60" s="81">
        <v>1785</v>
      </c>
      <c r="EO60" s="81">
        <v>1881</v>
      </c>
      <c r="EP60" s="81">
        <v>1702</v>
      </c>
      <c r="EQ60" s="81">
        <v>1531</v>
      </c>
      <c r="ER60" s="81">
        <v>1834</v>
      </c>
      <c r="ES60" s="81">
        <v>1966</v>
      </c>
      <c r="ET60" s="81">
        <v>1974</v>
      </c>
      <c r="EU60" s="81">
        <v>2239</v>
      </c>
      <c r="EV60" s="81">
        <v>2327</v>
      </c>
      <c r="EW60" s="81">
        <v>2350</v>
      </c>
      <c r="EX60" s="81">
        <v>2323</v>
      </c>
      <c r="EY60" s="81">
        <v>2591</v>
      </c>
      <c r="EZ60" s="81">
        <v>2538</v>
      </c>
      <c r="FA60" s="81">
        <v>2419</v>
      </c>
      <c r="FB60" s="81">
        <v>2638</v>
      </c>
      <c r="FC60" s="81">
        <v>2552</v>
      </c>
      <c r="FD60" s="81">
        <v>2658</v>
      </c>
      <c r="FE60" s="81">
        <v>2692</v>
      </c>
      <c r="FF60" s="81">
        <v>2534</v>
      </c>
      <c r="FG60" s="81">
        <v>2507</v>
      </c>
      <c r="FH60" s="81">
        <v>2375</v>
      </c>
      <c r="FI60" s="81">
        <v>2365</v>
      </c>
      <c r="FJ60" s="81">
        <v>2413</v>
      </c>
      <c r="FK60" s="81">
        <v>2318</v>
      </c>
      <c r="FL60" s="81">
        <v>2359</v>
      </c>
      <c r="FM60" s="81">
        <v>2263</v>
      </c>
      <c r="FN60" s="81">
        <v>2242</v>
      </c>
      <c r="FO60" s="81">
        <v>2275</v>
      </c>
      <c r="FP60" s="81">
        <v>2228</v>
      </c>
      <c r="FQ60" s="81">
        <v>2265</v>
      </c>
      <c r="FR60" s="81">
        <v>2438</v>
      </c>
      <c r="FS60" s="81">
        <v>2372</v>
      </c>
      <c r="FT60" s="81">
        <v>2684</v>
      </c>
      <c r="FU60" s="81">
        <v>2893</v>
      </c>
      <c r="FV60" s="81">
        <v>2131</v>
      </c>
      <c r="FW60" s="81">
        <v>1958</v>
      </c>
      <c r="FX60" s="81">
        <v>1882</v>
      </c>
      <c r="FY60" s="81">
        <v>1816</v>
      </c>
      <c r="FZ60" s="81">
        <v>1543</v>
      </c>
      <c r="GA60" s="81">
        <v>1426</v>
      </c>
      <c r="GB60" s="81">
        <v>1486</v>
      </c>
      <c r="GC60" s="81">
        <v>1373</v>
      </c>
      <c r="GD60" s="81">
        <v>1337</v>
      </c>
      <c r="GE60" s="81">
        <v>1331</v>
      </c>
      <c r="GF60" s="81">
        <v>1137</v>
      </c>
      <c r="GG60" s="81">
        <v>1048</v>
      </c>
      <c r="GH60" s="81">
        <v>916</v>
      </c>
      <c r="GI60" s="81">
        <v>799</v>
      </c>
      <c r="GJ60" s="81">
        <v>720</v>
      </c>
      <c r="GK60" s="81">
        <v>641</v>
      </c>
      <c r="GL60" s="82">
        <v>2402</v>
      </c>
    </row>
    <row r="61" spans="1:194" s="1" customFormat="1" hidden="1" x14ac:dyDescent="0.2">
      <c r="A61" s="83" t="s">
        <v>220</v>
      </c>
      <c r="B61" s="262" t="s">
        <v>271</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0">
        <v>783</v>
      </c>
      <c r="N61" s="80">
        <v>758</v>
      </c>
      <c r="O61" s="80">
        <v>779</v>
      </c>
      <c r="P61" s="80">
        <v>837</v>
      </c>
      <c r="Q61" s="80">
        <v>843</v>
      </c>
      <c r="R61" s="80">
        <v>815</v>
      </c>
      <c r="S61" s="80">
        <v>858</v>
      </c>
      <c r="T61" s="80">
        <v>845</v>
      </c>
      <c r="U61" s="80">
        <v>879</v>
      </c>
      <c r="V61" s="80">
        <v>868</v>
      </c>
      <c r="W61" s="80">
        <v>822</v>
      </c>
      <c r="X61" s="80">
        <v>860</v>
      </c>
      <c r="Y61" s="80">
        <v>804</v>
      </c>
      <c r="Z61" s="80">
        <v>745</v>
      </c>
      <c r="AA61" s="80">
        <v>793</v>
      </c>
      <c r="AB61" s="80">
        <v>779</v>
      </c>
      <c r="AC61" s="80">
        <v>810</v>
      </c>
      <c r="AD61" s="80">
        <v>761</v>
      </c>
      <c r="AE61" s="80">
        <v>775</v>
      </c>
      <c r="AF61" s="80">
        <v>612</v>
      </c>
      <c r="AG61" s="80">
        <v>593</v>
      </c>
      <c r="AH61" s="80">
        <v>635</v>
      </c>
      <c r="AI61" s="80">
        <v>703</v>
      </c>
      <c r="AJ61" s="80">
        <v>699</v>
      </c>
      <c r="AK61" s="80">
        <v>853</v>
      </c>
      <c r="AL61" s="80">
        <v>883</v>
      </c>
      <c r="AM61" s="80">
        <v>838</v>
      </c>
      <c r="AN61" s="80">
        <v>825</v>
      </c>
      <c r="AO61" s="80">
        <v>819</v>
      </c>
      <c r="AP61" s="80">
        <v>913</v>
      </c>
      <c r="AQ61" s="80">
        <v>841</v>
      </c>
      <c r="AR61" s="80">
        <v>773</v>
      </c>
      <c r="AS61" s="80">
        <v>846</v>
      </c>
      <c r="AT61" s="80">
        <v>780</v>
      </c>
      <c r="AU61" s="80">
        <v>748</v>
      </c>
      <c r="AV61" s="80">
        <v>864</v>
      </c>
      <c r="AW61" s="80">
        <v>811</v>
      </c>
      <c r="AX61" s="80">
        <v>757</v>
      </c>
      <c r="AY61" s="80">
        <v>868</v>
      </c>
      <c r="AZ61" s="80">
        <v>899</v>
      </c>
      <c r="BA61" s="80">
        <v>970</v>
      </c>
      <c r="BB61" s="80">
        <v>840</v>
      </c>
      <c r="BC61" s="80">
        <v>745</v>
      </c>
      <c r="BD61" s="80">
        <v>677</v>
      </c>
      <c r="BE61" s="80">
        <v>737</v>
      </c>
      <c r="BF61" s="80">
        <v>776</v>
      </c>
      <c r="BG61" s="80">
        <v>816</v>
      </c>
      <c r="BH61" s="80">
        <v>905</v>
      </c>
      <c r="BI61" s="80">
        <v>948</v>
      </c>
      <c r="BJ61" s="80">
        <v>968</v>
      </c>
      <c r="BK61" s="80">
        <v>935</v>
      </c>
      <c r="BL61" s="80">
        <v>909</v>
      </c>
      <c r="BM61" s="80">
        <v>944</v>
      </c>
      <c r="BN61" s="80">
        <v>1015</v>
      </c>
      <c r="BO61" s="80">
        <v>966</v>
      </c>
      <c r="BP61" s="80">
        <v>991</v>
      </c>
      <c r="BQ61" s="80">
        <v>941</v>
      </c>
      <c r="BR61" s="80">
        <v>914</v>
      </c>
      <c r="BS61" s="80">
        <v>983</v>
      </c>
      <c r="BT61" s="80">
        <v>926</v>
      </c>
      <c r="BU61" s="80">
        <v>857</v>
      </c>
      <c r="BV61" s="80">
        <v>876</v>
      </c>
      <c r="BW61" s="80">
        <v>783</v>
      </c>
      <c r="BX61" s="80">
        <v>779</v>
      </c>
      <c r="BY61" s="80">
        <v>724</v>
      </c>
      <c r="BZ61" s="80">
        <v>749</v>
      </c>
      <c r="CA61" s="80">
        <v>662</v>
      </c>
      <c r="CB61" s="80">
        <v>703</v>
      </c>
      <c r="CC61" s="80">
        <v>624</v>
      </c>
      <c r="CD61" s="80">
        <v>734</v>
      </c>
      <c r="CE61" s="80">
        <v>659</v>
      </c>
      <c r="CF61" s="80">
        <v>693</v>
      </c>
      <c r="CG61" s="80">
        <v>722</v>
      </c>
      <c r="CH61" s="80">
        <v>710</v>
      </c>
      <c r="CI61" s="80">
        <v>556</v>
      </c>
      <c r="CJ61" s="80">
        <v>562</v>
      </c>
      <c r="CK61" s="80">
        <v>609</v>
      </c>
      <c r="CL61" s="80">
        <v>507</v>
      </c>
      <c r="CM61" s="80">
        <v>435</v>
      </c>
      <c r="CN61" s="80">
        <v>354</v>
      </c>
      <c r="CO61" s="80">
        <v>365</v>
      </c>
      <c r="CP61" s="80">
        <v>354</v>
      </c>
      <c r="CQ61" s="80">
        <v>304</v>
      </c>
      <c r="CR61" s="80">
        <v>312</v>
      </c>
      <c r="CS61" s="80">
        <v>250</v>
      </c>
      <c r="CT61" s="80">
        <v>223</v>
      </c>
      <c r="CU61" s="80">
        <v>182</v>
      </c>
      <c r="CV61" s="80">
        <v>164</v>
      </c>
      <c r="CW61" s="80">
        <v>124</v>
      </c>
      <c r="CX61" s="80">
        <v>102</v>
      </c>
      <c r="CY61" s="80">
        <v>348</v>
      </c>
      <c r="CZ61" s="81">
        <v>695</v>
      </c>
      <c r="DA61" s="81">
        <v>705</v>
      </c>
      <c r="DB61" s="81">
        <v>725</v>
      </c>
      <c r="DC61" s="81">
        <v>776</v>
      </c>
      <c r="DD61" s="81">
        <v>745</v>
      </c>
      <c r="DE61" s="81">
        <v>793</v>
      </c>
      <c r="DF61" s="81">
        <v>830</v>
      </c>
      <c r="DG61" s="81">
        <v>760</v>
      </c>
      <c r="DH61" s="81">
        <v>834</v>
      </c>
      <c r="DI61" s="81">
        <v>766</v>
      </c>
      <c r="DJ61" s="81">
        <v>827</v>
      </c>
      <c r="DK61" s="81">
        <v>752</v>
      </c>
      <c r="DL61" s="81">
        <v>834</v>
      </c>
      <c r="DM61" s="81">
        <v>786</v>
      </c>
      <c r="DN61" s="81">
        <v>749</v>
      </c>
      <c r="DO61" s="81">
        <v>745</v>
      </c>
      <c r="DP61" s="81">
        <v>745</v>
      </c>
      <c r="DQ61" s="81">
        <v>680</v>
      </c>
      <c r="DR61" s="81">
        <v>689</v>
      </c>
      <c r="DS61" s="81">
        <v>521</v>
      </c>
      <c r="DT61" s="81">
        <v>503</v>
      </c>
      <c r="DU61" s="81">
        <v>528</v>
      </c>
      <c r="DV61" s="81">
        <v>589</v>
      </c>
      <c r="DW61" s="81">
        <v>678</v>
      </c>
      <c r="DX61" s="81">
        <v>752</v>
      </c>
      <c r="DY61" s="81">
        <v>698</v>
      </c>
      <c r="DZ61" s="81">
        <v>804</v>
      </c>
      <c r="EA61" s="81">
        <v>758</v>
      </c>
      <c r="EB61" s="81">
        <v>772</v>
      </c>
      <c r="EC61" s="81">
        <v>749</v>
      </c>
      <c r="ED61" s="81">
        <v>788</v>
      </c>
      <c r="EE61" s="81">
        <v>769</v>
      </c>
      <c r="EF61" s="81">
        <v>784</v>
      </c>
      <c r="EG61" s="81">
        <v>813</v>
      </c>
      <c r="EH61" s="81">
        <v>781</v>
      </c>
      <c r="EI61" s="81">
        <v>821</v>
      </c>
      <c r="EJ61" s="81">
        <v>774</v>
      </c>
      <c r="EK61" s="81">
        <v>873</v>
      </c>
      <c r="EL61" s="81">
        <v>808</v>
      </c>
      <c r="EM61" s="81">
        <v>792</v>
      </c>
      <c r="EN61" s="81">
        <v>836</v>
      </c>
      <c r="EO61" s="81">
        <v>770</v>
      </c>
      <c r="EP61" s="81">
        <v>725</v>
      </c>
      <c r="EQ61" s="81">
        <v>722</v>
      </c>
      <c r="ER61" s="81">
        <v>761</v>
      </c>
      <c r="ES61" s="81">
        <v>763</v>
      </c>
      <c r="ET61" s="81">
        <v>788</v>
      </c>
      <c r="EU61" s="81">
        <v>859</v>
      </c>
      <c r="EV61" s="81">
        <v>906</v>
      </c>
      <c r="EW61" s="81">
        <v>949</v>
      </c>
      <c r="EX61" s="81">
        <v>910</v>
      </c>
      <c r="EY61" s="81">
        <v>993</v>
      </c>
      <c r="EZ61" s="81">
        <v>996</v>
      </c>
      <c r="FA61" s="81">
        <v>1016</v>
      </c>
      <c r="FB61" s="81">
        <v>1014</v>
      </c>
      <c r="FC61" s="81">
        <v>979</v>
      </c>
      <c r="FD61" s="81">
        <v>994</v>
      </c>
      <c r="FE61" s="81">
        <v>906</v>
      </c>
      <c r="FF61" s="81">
        <v>942</v>
      </c>
      <c r="FG61" s="81">
        <v>903</v>
      </c>
      <c r="FH61" s="81">
        <v>851</v>
      </c>
      <c r="FI61" s="81">
        <v>845</v>
      </c>
      <c r="FJ61" s="81">
        <v>786</v>
      </c>
      <c r="FK61" s="81">
        <v>780</v>
      </c>
      <c r="FL61" s="81">
        <v>695</v>
      </c>
      <c r="FM61" s="81">
        <v>707</v>
      </c>
      <c r="FN61" s="81">
        <v>735</v>
      </c>
      <c r="FO61" s="81">
        <v>711</v>
      </c>
      <c r="FP61" s="81">
        <v>634</v>
      </c>
      <c r="FQ61" s="81">
        <v>643</v>
      </c>
      <c r="FR61" s="81">
        <v>727</v>
      </c>
      <c r="FS61" s="81">
        <v>669</v>
      </c>
      <c r="FT61" s="81">
        <v>723</v>
      </c>
      <c r="FU61" s="81">
        <v>833</v>
      </c>
      <c r="FV61" s="81">
        <v>622</v>
      </c>
      <c r="FW61" s="81">
        <v>613</v>
      </c>
      <c r="FX61" s="81">
        <v>630</v>
      </c>
      <c r="FY61" s="81">
        <v>575</v>
      </c>
      <c r="FZ61" s="81">
        <v>508</v>
      </c>
      <c r="GA61" s="81">
        <v>445</v>
      </c>
      <c r="GB61" s="81">
        <v>476</v>
      </c>
      <c r="GC61" s="81">
        <v>420</v>
      </c>
      <c r="GD61" s="81">
        <v>372</v>
      </c>
      <c r="GE61" s="81">
        <v>389</v>
      </c>
      <c r="GF61" s="81">
        <v>349</v>
      </c>
      <c r="GG61" s="81">
        <v>295</v>
      </c>
      <c r="GH61" s="81">
        <v>280</v>
      </c>
      <c r="GI61" s="81">
        <v>255</v>
      </c>
      <c r="GJ61" s="81">
        <v>229</v>
      </c>
      <c r="GK61" s="81">
        <v>217</v>
      </c>
      <c r="GL61" s="82">
        <v>781</v>
      </c>
    </row>
    <row r="62" spans="1:194" s="1" customFormat="1" hidden="1" x14ac:dyDescent="0.2">
      <c r="A62" s="83" t="s">
        <v>220</v>
      </c>
      <c r="B62" s="262" t="s">
        <v>272</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0">
        <v>2400</v>
      </c>
      <c r="N62" s="80">
        <v>2504</v>
      </c>
      <c r="O62" s="80">
        <v>2749</v>
      </c>
      <c r="P62" s="80">
        <v>2872</v>
      </c>
      <c r="Q62" s="80">
        <v>2871</v>
      </c>
      <c r="R62" s="80">
        <v>2955</v>
      </c>
      <c r="S62" s="80">
        <v>2953</v>
      </c>
      <c r="T62" s="80">
        <v>3237</v>
      </c>
      <c r="U62" s="80">
        <v>3307</v>
      </c>
      <c r="V62" s="80">
        <v>3399</v>
      </c>
      <c r="W62" s="80">
        <v>3267</v>
      </c>
      <c r="X62" s="80">
        <v>3376</v>
      </c>
      <c r="Y62" s="80">
        <v>3330</v>
      </c>
      <c r="Z62" s="80">
        <v>3381</v>
      </c>
      <c r="AA62" s="80">
        <v>3208</v>
      </c>
      <c r="AB62" s="80">
        <v>3046</v>
      </c>
      <c r="AC62" s="80">
        <v>3146</v>
      </c>
      <c r="AD62" s="80">
        <v>3042</v>
      </c>
      <c r="AE62" s="80">
        <v>2916</v>
      </c>
      <c r="AF62" s="80">
        <v>2529</v>
      </c>
      <c r="AG62" s="80">
        <v>2412</v>
      </c>
      <c r="AH62" s="80">
        <v>2506</v>
      </c>
      <c r="AI62" s="80">
        <v>2718</v>
      </c>
      <c r="AJ62" s="80">
        <v>2714</v>
      </c>
      <c r="AK62" s="80">
        <v>2900</v>
      </c>
      <c r="AL62" s="80">
        <v>2761</v>
      </c>
      <c r="AM62" s="80">
        <v>2850</v>
      </c>
      <c r="AN62" s="80">
        <v>2659</v>
      </c>
      <c r="AO62" s="80">
        <v>2622</v>
      </c>
      <c r="AP62" s="80">
        <v>2825</v>
      </c>
      <c r="AQ62" s="80">
        <v>2515</v>
      </c>
      <c r="AR62" s="80">
        <v>2669</v>
      </c>
      <c r="AS62" s="80">
        <v>2784</v>
      </c>
      <c r="AT62" s="80">
        <v>2752</v>
      </c>
      <c r="AU62" s="80">
        <v>2664</v>
      </c>
      <c r="AV62" s="80">
        <v>2743</v>
      </c>
      <c r="AW62" s="80">
        <v>2700</v>
      </c>
      <c r="AX62" s="80">
        <v>3006</v>
      </c>
      <c r="AY62" s="80">
        <v>2983</v>
      </c>
      <c r="AZ62" s="80">
        <v>2956</v>
      </c>
      <c r="BA62" s="80">
        <v>2959</v>
      </c>
      <c r="BB62" s="80">
        <v>2960</v>
      </c>
      <c r="BC62" s="80">
        <v>2552</v>
      </c>
      <c r="BD62" s="80">
        <v>2671</v>
      </c>
      <c r="BE62" s="80">
        <v>2766</v>
      </c>
      <c r="BF62" s="80">
        <v>3057</v>
      </c>
      <c r="BG62" s="80">
        <v>3116</v>
      </c>
      <c r="BH62" s="80">
        <v>3399</v>
      </c>
      <c r="BI62" s="80">
        <v>3614</v>
      </c>
      <c r="BJ62" s="80">
        <v>3819</v>
      </c>
      <c r="BK62" s="80">
        <v>3674</v>
      </c>
      <c r="BL62" s="80">
        <v>3969</v>
      </c>
      <c r="BM62" s="80">
        <v>3979</v>
      </c>
      <c r="BN62" s="80">
        <v>4206</v>
      </c>
      <c r="BO62" s="80">
        <v>4128</v>
      </c>
      <c r="BP62" s="80">
        <v>4297</v>
      </c>
      <c r="BQ62" s="80">
        <v>4251</v>
      </c>
      <c r="BR62" s="80">
        <v>4165</v>
      </c>
      <c r="BS62" s="80">
        <v>4069</v>
      </c>
      <c r="BT62" s="80">
        <v>3929</v>
      </c>
      <c r="BU62" s="80">
        <v>3795</v>
      </c>
      <c r="BV62" s="80">
        <v>3760</v>
      </c>
      <c r="BW62" s="80">
        <v>3582</v>
      </c>
      <c r="BX62" s="80">
        <v>3504</v>
      </c>
      <c r="BY62" s="80">
        <v>3522</v>
      </c>
      <c r="BZ62" s="80">
        <v>3201</v>
      </c>
      <c r="CA62" s="80">
        <v>3432</v>
      </c>
      <c r="CB62" s="80">
        <v>3347</v>
      </c>
      <c r="CC62" s="80">
        <v>3327</v>
      </c>
      <c r="CD62" s="80">
        <v>3454</v>
      </c>
      <c r="CE62" s="80">
        <v>3504</v>
      </c>
      <c r="CF62" s="80">
        <v>3649</v>
      </c>
      <c r="CG62" s="80">
        <v>4027</v>
      </c>
      <c r="CH62" s="80">
        <v>4277</v>
      </c>
      <c r="CI62" s="80">
        <v>3346</v>
      </c>
      <c r="CJ62" s="80">
        <v>3071</v>
      </c>
      <c r="CK62" s="80">
        <v>3080</v>
      </c>
      <c r="CL62" s="80">
        <v>2704</v>
      </c>
      <c r="CM62" s="80">
        <v>2335</v>
      </c>
      <c r="CN62" s="80">
        <v>1951</v>
      </c>
      <c r="CO62" s="80">
        <v>1976</v>
      </c>
      <c r="CP62" s="80">
        <v>1908</v>
      </c>
      <c r="CQ62" s="80">
        <v>1865</v>
      </c>
      <c r="CR62" s="80">
        <v>1631</v>
      </c>
      <c r="CS62" s="80">
        <v>1540</v>
      </c>
      <c r="CT62" s="80">
        <v>1302</v>
      </c>
      <c r="CU62" s="80">
        <v>1152</v>
      </c>
      <c r="CV62" s="80">
        <v>1034</v>
      </c>
      <c r="CW62" s="80">
        <v>902</v>
      </c>
      <c r="CX62" s="80">
        <v>810</v>
      </c>
      <c r="CY62" s="80">
        <v>2993</v>
      </c>
      <c r="CZ62" s="81">
        <v>2234</v>
      </c>
      <c r="DA62" s="81">
        <v>2415</v>
      </c>
      <c r="DB62" s="81">
        <v>2472</v>
      </c>
      <c r="DC62" s="81">
        <v>2608</v>
      </c>
      <c r="DD62" s="81">
        <v>2809</v>
      </c>
      <c r="DE62" s="81">
        <v>2908</v>
      </c>
      <c r="DF62" s="81">
        <v>2863</v>
      </c>
      <c r="DG62" s="81">
        <v>2957</v>
      </c>
      <c r="DH62" s="81">
        <v>3095</v>
      </c>
      <c r="DI62" s="81">
        <v>3151</v>
      </c>
      <c r="DJ62" s="81">
        <v>3230</v>
      </c>
      <c r="DK62" s="81">
        <v>3023</v>
      </c>
      <c r="DL62" s="81">
        <v>3062</v>
      </c>
      <c r="DM62" s="81">
        <v>2942</v>
      </c>
      <c r="DN62" s="81">
        <v>3115</v>
      </c>
      <c r="DO62" s="81">
        <v>2924</v>
      </c>
      <c r="DP62" s="81">
        <v>2902</v>
      </c>
      <c r="DQ62" s="81">
        <v>2822</v>
      </c>
      <c r="DR62" s="81">
        <v>2687</v>
      </c>
      <c r="DS62" s="81">
        <v>2412</v>
      </c>
      <c r="DT62" s="81">
        <v>1939</v>
      </c>
      <c r="DU62" s="81">
        <v>2204</v>
      </c>
      <c r="DV62" s="81">
        <v>2530</v>
      </c>
      <c r="DW62" s="81">
        <v>2784</v>
      </c>
      <c r="DX62" s="81">
        <v>2596</v>
      </c>
      <c r="DY62" s="81">
        <v>2696</v>
      </c>
      <c r="DZ62" s="81">
        <v>2555</v>
      </c>
      <c r="EA62" s="81">
        <v>2468</v>
      </c>
      <c r="EB62" s="81">
        <v>2748</v>
      </c>
      <c r="EC62" s="81">
        <v>2843</v>
      </c>
      <c r="ED62" s="81">
        <v>2877</v>
      </c>
      <c r="EE62" s="81">
        <v>2802</v>
      </c>
      <c r="EF62" s="81">
        <v>2860</v>
      </c>
      <c r="EG62" s="81">
        <v>2942</v>
      </c>
      <c r="EH62" s="81">
        <v>2837</v>
      </c>
      <c r="EI62" s="81">
        <v>3048</v>
      </c>
      <c r="EJ62" s="81">
        <v>2912</v>
      </c>
      <c r="EK62" s="81">
        <v>3022</v>
      </c>
      <c r="EL62" s="81">
        <v>3232</v>
      </c>
      <c r="EM62" s="81">
        <v>3170</v>
      </c>
      <c r="EN62" s="81">
        <v>3261</v>
      </c>
      <c r="EO62" s="81">
        <v>3199</v>
      </c>
      <c r="EP62" s="81">
        <v>3048</v>
      </c>
      <c r="EQ62" s="81">
        <v>3018</v>
      </c>
      <c r="ER62" s="81">
        <v>3193</v>
      </c>
      <c r="ES62" s="81">
        <v>3245</v>
      </c>
      <c r="ET62" s="81">
        <v>3437</v>
      </c>
      <c r="EU62" s="81">
        <v>3603</v>
      </c>
      <c r="EV62" s="81">
        <v>3822</v>
      </c>
      <c r="EW62" s="81">
        <v>4085</v>
      </c>
      <c r="EX62" s="81">
        <v>4012</v>
      </c>
      <c r="EY62" s="81">
        <v>4034</v>
      </c>
      <c r="EZ62" s="81">
        <v>4167</v>
      </c>
      <c r="FA62" s="81">
        <v>4381</v>
      </c>
      <c r="FB62" s="81">
        <v>4426</v>
      </c>
      <c r="FC62" s="81">
        <v>4431</v>
      </c>
      <c r="FD62" s="81">
        <v>4417</v>
      </c>
      <c r="FE62" s="81">
        <v>4416</v>
      </c>
      <c r="FF62" s="81">
        <v>4164</v>
      </c>
      <c r="FG62" s="81">
        <v>4077</v>
      </c>
      <c r="FH62" s="81">
        <v>3954</v>
      </c>
      <c r="FI62" s="81">
        <v>4058</v>
      </c>
      <c r="FJ62" s="81">
        <v>3935</v>
      </c>
      <c r="FK62" s="81">
        <v>3886</v>
      </c>
      <c r="FL62" s="81">
        <v>3829</v>
      </c>
      <c r="FM62" s="81">
        <v>3792</v>
      </c>
      <c r="FN62" s="81">
        <v>3807</v>
      </c>
      <c r="FO62" s="81">
        <v>3796</v>
      </c>
      <c r="FP62" s="81">
        <v>3677</v>
      </c>
      <c r="FQ62" s="81">
        <v>3723</v>
      </c>
      <c r="FR62" s="81">
        <v>3922</v>
      </c>
      <c r="FS62" s="81">
        <v>4024</v>
      </c>
      <c r="FT62" s="81">
        <v>4419</v>
      </c>
      <c r="FU62" s="81">
        <v>5095</v>
      </c>
      <c r="FV62" s="81">
        <v>3657</v>
      </c>
      <c r="FW62" s="81">
        <v>3461</v>
      </c>
      <c r="FX62" s="81">
        <v>3362</v>
      </c>
      <c r="FY62" s="81">
        <v>3130</v>
      </c>
      <c r="FZ62" s="81">
        <v>2811</v>
      </c>
      <c r="GA62" s="81">
        <v>2283</v>
      </c>
      <c r="GB62" s="81">
        <v>2400</v>
      </c>
      <c r="GC62" s="81">
        <v>2441</v>
      </c>
      <c r="GD62" s="81">
        <v>2296</v>
      </c>
      <c r="GE62" s="81">
        <v>2172</v>
      </c>
      <c r="GF62" s="81">
        <v>1951</v>
      </c>
      <c r="GG62" s="81">
        <v>1886</v>
      </c>
      <c r="GH62" s="81">
        <v>1644</v>
      </c>
      <c r="GI62" s="81">
        <v>1505</v>
      </c>
      <c r="GJ62" s="81">
        <v>1438</v>
      </c>
      <c r="GK62" s="81">
        <v>1355</v>
      </c>
      <c r="GL62" s="82">
        <v>6223</v>
      </c>
    </row>
    <row r="63" spans="1:194" s="1" customFormat="1" hidden="1" x14ac:dyDescent="0.2">
      <c r="A63" s="83" t="s">
        <v>220</v>
      </c>
      <c r="B63" s="262" t="s">
        <v>273</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0">
        <v>4313</v>
      </c>
      <c r="N63" s="80">
        <v>4528</v>
      </c>
      <c r="O63" s="80">
        <v>4753</v>
      </c>
      <c r="P63" s="80">
        <v>4856</v>
      </c>
      <c r="Q63" s="80">
        <v>5136</v>
      </c>
      <c r="R63" s="80">
        <v>5232</v>
      </c>
      <c r="S63" s="80">
        <v>5152</v>
      </c>
      <c r="T63" s="80">
        <v>5183</v>
      </c>
      <c r="U63" s="80">
        <v>5389</v>
      </c>
      <c r="V63" s="80">
        <v>5413</v>
      </c>
      <c r="W63" s="80">
        <v>5294</v>
      </c>
      <c r="X63" s="80">
        <v>5262</v>
      </c>
      <c r="Y63" s="80">
        <v>5237</v>
      </c>
      <c r="Z63" s="80">
        <v>5258</v>
      </c>
      <c r="AA63" s="80">
        <v>5243</v>
      </c>
      <c r="AB63" s="80">
        <v>5187</v>
      </c>
      <c r="AC63" s="80">
        <v>4843</v>
      </c>
      <c r="AD63" s="80">
        <v>4741</v>
      </c>
      <c r="AE63" s="80">
        <v>4498</v>
      </c>
      <c r="AF63" s="80">
        <v>3868</v>
      </c>
      <c r="AG63" s="80">
        <v>3685</v>
      </c>
      <c r="AH63" s="80">
        <v>3926</v>
      </c>
      <c r="AI63" s="80">
        <v>4066</v>
      </c>
      <c r="AJ63" s="80">
        <v>4324</v>
      </c>
      <c r="AK63" s="80">
        <v>4560</v>
      </c>
      <c r="AL63" s="80">
        <v>4328</v>
      </c>
      <c r="AM63" s="80">
        <v>4116</v>
      </c>
      <c r="AN63" s="80">
        <v>3959</v>
      </c>
      <c r="AO63" s="80">
        <v>4139</v>
      </c>
      <c r="AP63" s="80">
        <v>4261</v>
      </c>
      <c r="AQ63" s="80">
        <v>4351</v>
      </c>
      <c r="AR63" s="80">
        <v>4521</v>
      </c>
      <c r="AS63" s="80">
        <v>4846</v>
      </c>
      <c r="AT63" s="80">
        <v>4889</v>
      </c>
      <c r="AU63" s="80">
        <v>4856</v>
      </c>
      <c r="AV63" s="80">
        <v>4783</v>
      </c>
      <c r="AW63" s="80">
        <v>4922</v>
      </c>
      <c r="AX63" s="80">
        <v>5314</v>
      </c>
      <c r="AY63" s="80">
        <v>5296</v>
      </c>
      <c r="AZ63" s="80">
        <v>5485</v>
      </c>
      <c r="BA63" s="80">
        <v>5835</v>
      </c>
      <c r="BB63" s="80">
        <v>5444</v>
      </c>
      <c r="BC63" s="80">
        <v>5290</v>
      </c>
      <c r="BD63" s="80">
        <v>5157</v>
      </c>
      <c r="BE63" s="80">
        <v>5459</v>
      </c>
      <c r="BF63" s="80">
        <v>5416</v>
      </c>
      <c r="BG63" s="80">
        <v>5532</v>
      </c>
      <c r="BH63" s="80">
        <v>5589</v>
      </c>
      <c r="BI63" s="80">
        <v>5562</v>
      </c>
      <c r="BJ63" s="80">
        <v>5616</v>
      </c>
      <c r="BK63" s="80">
        <v>5394</v>
      </c>
      <c r="BL63" s="80">
        <v>5418</v>
      </c>
      <c r="BM63" s="80">
        <v>5411</v>
      </c>
      <c r="BN63" s="80">
        <v>5435</v>
      </c>
      <c r="BO63" s="80">
        <v>5295</v>
      </c>
      <c r="BP63" s="80">
        <v>5432</v>
      </c>
      <c r="BQ63" s="80">
        <v>4997</v>
      </c>
      <c r="BR63" s="80">
        <v>5018</v>
      </c>
      <c r="BS63" s="80">
        <v>4948</v>
      </c>
      <c r="BT63" s="80">
        <v>4612</v>
      </c>
      <c r="BU63" s="80">
        <v>4165</v>
      </c>
      <c r="BV63" s="80">
        <v>4023</v>
      </c>
      <c r="BW63" s="80">
        <v>3959</v>
      </c>
      <c r="BX63" s="80">
        <v>3644</v>
      </c>
      <c r="BY63" s="80">
        <v>3553</v>
      </c>
      <c r="BZ63" s="80">
        <v>3452</v>
      </c>
      <c r="CA63" s="80">
        <v>3226</v>
      </c>
      <c r="CB63" s="80">
        <v>3060</v>
      </c>
      <c r="CC63" s="80">
        <v>2935</v>
      </c>
      <c r="CD63" s="80">
        <v>3046</v>
      </c>
      <c r="CE63" s="80">
        <v>2880</v>
      </c>
      <c r="CF63" s="80">
        <v>3011</v>
      </c>
      <c r="CG63" s="80">
        <v>3137</v>
      </c>
      <c r="CH63" s="80">
        <v>3386</v>
      </c>
      <c r="CI63" s="80">
        <v>2538</v>
      </c>
      <c r="CJ63" s="80">
        <v>2435</v>
      </c>
      <c r="CK63" s="80">
        <v>2505</v>
      </c>
      <c r="CL63" s="80">
        <v>2256</v>
      </c>
      <c r="CM63" s="80">
        <v>1877</v>
      </c>
      <c r="CN63" s="80">
        <v>1663</v>
      </c>
      <c r="CO63" s="80">
        <v>1738</v>
      </c>
      <c r="CP63" s="80">
        <v>1651</v>
      </c>
      <c r="CQ63" s="80">
        <v>1505</v>
      </c>
      <c r="CR63" s="80">
        <v>1457</v>
      </c>
      <c r="CS63" s="80">
        <v>1279</v>
      </c>
      <c r="CT63" s="80">
        <v>1073</v>
      </c>
      <c r="CU63" s="80">
        <v>1005</v>
      </c>
      <c r="CV63" s="80">
        <v>822</v>
      </c>
      <c r="CW63" s="80">
        <v>732</v>
      </c>
      <c r="CX63" s="80">
        <v>639</v>
      </c>
      <c r="CY63" s="80">
        <v>2105</v>
      </c>
      <c r="CZ63" s="81">
        <v>4165</v>
      </c>
      <c r="DA63" s="81">
        <v>4322</v>
      </c>
      <c r="DB63" s="81">
        <v>4565</v>
      </c>
      <c r="DC63" s="81">
        <v>4595</v>
      </c>
      <c r="DD63" s="81">
        <v>4853</v>
      </c>
      <c r="DE63" s="81">
        <v>4724</v>
      </c>
      <c r="DF63" s="81">
        <v>4837</v>
      </c>
      <c r="DG63" s="81">
        <v>4834</v>
      </c>
      <c r="DH63" s="81">
        <v>5175</v>
      </c>
      <c r="DI63" s="81">
        <v>5056</v>
      </c>
      <c r="DJ63" s="81">
        <v>5255</v>
      </c>
      <c r="DK63" s="81">
        <v>5027</v>
      </c>
      <c r="DL63" s="81">
        <v>4993</v>
      </c>
      <c r="DM63" s="81">
        <v>4989</v>
      </c>
      <c r="DN63" s="81">
        <v>4902</v>
      </c>
      <c r="DO63" s="81">
        <v>4501</v>
      </c>
      <c r="DP63" s="81">
        <v>4533</v>
      </c>
      <c r="DQ63" s="81">
        <v>4268</v>
      </c>
      <c r="DR63" s="81">
        <v>4067</v>
      </c>
      <c r="DS63" s="81">
        <v>3602</v>
      </c>
      <c r="DT63" s="81">
        <v>3315</v>
      </c>
      <c r="DU63" s="81">
        <v>3471</v>
      </c>
      <c r="DV63" s="81">
        <v>3649</v>
      </c>
      <c r="DW63" s="81">
        <v>4100</v>
      </c>
      <c r="DX63" s="81">
        <v>4006</v>
      </c>
      <c r="DY63" s="81">
        <v>4009</v>
      </c>
      <c r="DZ63" s="81">
        <v>4110</v>
      </c>
      <c r="EA63" s="81">
        <v>3871</v>
      </c>
      <c r="EB63" s="81">
        <v>4029</v>
      </c>
      <c r="EC63" s="81">
        <v>4307</v>
      </c>
      <c r="ED63" s="81">
        <v>4442</v>
      </c>
      <c r="EE63" s="81">
        <v>4607</v>
      </c>
      <c r="EF63" s="81">
        <v>4847</v>
      </c>
      <c r="EG63" s="81">
        <v>5057</v>
      </c>
      <c r="EH63" s="81">
        <v>5168</v>
      </c>
      <c r="EI63" s="81">
        <v>5345</v>
      </c>
      <c r="EJ63" s="81">
        <v>5266</v>
      </c>
      <c r="EK63" s="81">
        <v>5584</v>
      </c>
      <c r="EL63" s="81">
        <v>5670</v>
      </c>
      <c r="EM63" s="81">
        <v>5906</v>
      </c>
      <c r="EN63" s="81">
        <v>5832</v>
      </c>
      <c r="EO63" s="81">
        <v>5642</v>
      </c>
      <c r="EP63" s="81">
        <v>5457</v>
      </c>
      <c r="EQ63" s="81">
        <v>5259</v>
      </c>
      <c r="ER63" s="81">
        <v>5233</v>
      </c>
      <c r="ES63" s="81">
        <v>5364</v>
      </c>
      <c r="ET63" s="81">
        <v>5230</v>
      </c>
      <c r="EU63" s="81">
        <v>5458</v>
      </c>
      <c r="EV63" s="81">
        <v>5497</v>
      </c>
      <c r="EW63" s="81">
        <v>5604</v>
      </c>
      <c r="EX63" s="81">
        <v>5285</v>
      </c>
      <c r="EY63" s="81">
        <v>5409</v>
      </c>
      <c r="EZ63" s="81">
        <v>5364</v>
      </c>
      <c r="FA63" s="81">
        <v>5237</v>
      </c>
      <c r="FB63" s="81">
        <v>5197</v>
      </c>
      <c r="FC63" s="81">
        <v>5315</v>
      </c>
      <c r="FD63" s="81">
        <v>5010</v>
      </c>
      <c r="FE63" s="81">
        <v>4842</v>
      </c>
      <c r="FF63" s="81">
        <v>4591</v>
      </c>
      <c r="FG63" s="81">
        <v>4494</v>
      </c>
      <c r="FH63" s="81">
        <v>4296</v>
      </c>
      <c r="FI63" s="81">
        <v>4051</v>
      </c>
      <c r="FJ63" s="81">
        <v>3926</v>
      </c>
      <c r="FK63" s="81">
        <v>3657</v>
      </c>
      <c r="FL63" s="81">
        <v>3545</v>
      </c>
      <c r="FM63" s="81">
        <v>3444</v>
      </c>
      <c r="FN63" s="81">
        <v>3352</v>
      </c>
      <c r="FO63" s="81">
        <v>3307</v>
      </c>
      <c r="FP63" s="81">
        <v>3246</v>
      </c>
      <c r="FQ63" s="81">
        <v>3145</v>
      </c>
      <c r="FR63" s="81">
        <v>3156</v>
      </c>
      <c r="FS63" s="81">
        <v>3314</v>
      </c>
      <c r="FT63" s="81">
        <v>3497</v>
      </c>
      <c r="FU63" s="81">
        <v>3805</v>
      </c>
      <c r="FV63" s="81">
        <v>2945</v>
      </c>
      <c r="FW63" s="81">
        <v>2890</v>
      </c>
      <c r="FX63" s="81">
        <v>2751</v>
      </c>
      <c r="FY63" s="81">
        <v>2592</v>
      </c>
      <c r="FZ63" s="81">
        <v>2277</v>
      </c>
      <c r="GA63" s="81">
        <v>2027</v>
      </c>
      <c r="GB63" s="81">
        <v>2080</v>
      </c>
      <c r="GC63" s="81">
        <v>2043</v>
      </c>
      <c r="GD63" s="81">
        <v>1978</v>
      </c>
      <c r="GE63" s="81">
        <v>1775</v>
      </c>
      <c r="GF63" s="81">
        <v>1716</v>
      </c>
      <c r="GG63" s="81">
        <v>1622</v>
      </c>
      <c r="GH63" s="81">
        <v>1451</v>
      </c>
      <c r="GI63" s="81">
        <v>1297</v>
      </c>
      <c r="GJ63" s="81">
        <v>1096</v>
      </c>
      <c r="GK63" s="81">
        <v>1018</v>
      </c>
      <c r="GL63" s="82">
        <v>4468</v>
      </c>
    </row>
    <row r="64" spans="1:194" s="1" customFormat="1" hidden="1" x14ac:dyDescent="0.2">
      <c r="A64" s="83" t="s">
        <v>220</v>
      </c>
      <c r="B64" s="262" t="s">
        <v>274</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0">
        <v>750</v>
      </c>
      <c r="N64" s="80">
        <v>803</v>
      </c>
      <c r="O64" s="80">
        <v>813</v>
      </c>
      <c r="P64" s="80">
        <v>894</v>
      </c>
      <c r="Q64" s="80">
        <v>922</v>
      </c>
      <c r="R64" s="80">
        <v>1004</v>
      </c>
      <c r="S64" s="80">
        <v>973</v>
      </c>
      <c r="T64" s="80">
        <v>978</v>
      </c>
      <c r="U64" s="80">
        <v>1023</v>
      </c>
      <c r="V64" s="80">
        <v>1077</v>
      </c>
      <c r="W64" s="80">
        <v>1094</v>
      </c>
      <c r="X64" s="80">
        <v>1037</v>
      </c>
      <c r="Y64" s="80">
        <v>1122</v>
      </c>
      <c r="Z64" s="80">
        <v>1081</v>
      </c>
      <c r="AA64" s="80">
        <v>1049</v>
      </c>
      <c r="AB64" s="80">
        <v>1106</v>
      </c>
      <c r="AC64" s="80">
        <v>1010</v>
      </c>
      <c r="AD64" s="80">
        <v>1051</v>
      </c>
      <c r="AE64" s="80">
        <v>948</v>
      </c>
      <c r="AF64" s="80">
        <v>830</v>
      </c>
      <c r="AG64" s="80">
        <v>763</v>
      </c>
      <c r="AH64" s="80">
        <v>812</v>
      </c>
      <c r="AI64" s="80">
        <v>852</v>
      </c>
      <c r="AJ64" s="80">
        <v>969</v>
      </c>
      <c r="AK64" s="80">
        <v>887</v>
      </c>
      <c r="AL64" s="80">
        <v>909</v>
      </c>
      <c r="AM64" s="80">
        <v>1026</v>
      </c>
      <c r="AN64" s="80">
        <v>950</v>
      </c>
      <c r="AO64" s="80">
        <v>1007</v>
      </c>
      <c r="AP64" s="80">
        <v>980</v>
      </c>
      <c r="AQ64" s="80">
        <v>936</v>
      </c>
      <c r="AR64" s="80">
        <v>912</v>
      </c>
      <c r="AS64" s="80">
        <v>991</v>
      </c>
      <c r="AT64" s="80">
        <v>947</v>
      </c>
      <c r="AU64" s="80">
        <v>855</v>
      </c>
      <c r="AV64" s="80">
        <v>1021</v>
      </c>
      <c r="AW64" s="80">
        <v>967</v>
      </c>
      <c r="AX64" s="80">
        <v>950</v>
      </c>
      <c r="AY64" s="80">
        <v>984</v>
      </c>
      <c r="AZ64" s="80">
        <v>996</v>
      </c>
      <c r="BA64" s="80">
        <v>1088</v>
      </c>
      <c r="BB64" s="80">
        <v>1000</v>
      </c>
      <c r="BC64" s="80">
        <v>925</v>
      </c>
      <c r="BD64" s="80">
        <v>821</v>
      </c>
      <c r="BE64" s="80">
        <v>914</v>
      </c>
      <c r="BF64" s="80">
        <v>960</v>
      </c>
      <c r="BG64" s="80">
        <v>1065</v>
      </c>
      <c r="BH64" s="80">
        <v>1088</v>
      </c>
      <c r="BI64" s="80">
        <v>1244</v>
      </c>
      <c r="BJ64" s="80">
        <v>1263</v>
      </c>
      <c r="BK64" s="80">
        <v>1289</v>
      </c>
      <c r="BL64" s="80">
        <v>1418</v>
      </c>
      <c r="BM64" s="80">
        <v>1404</v>
      </c>
      <c r="BN64" s="80">
        <v>1549</v>
      </c>
      <c r="BO64" s="80">
        <v>1442</v>
      </c>
      <c r="BP64" s="80">
        <v>1480</v>
      </c>
      <c r="BQ64" s="80">
        <v>1572</v>
      </c>
      <c r="BR64" s="80">
        <v>1484</v>
      </c>
      <c r="BS64" s="80">
        <v>1516</v>
      </c>
      <c r="BT64" s="80">
        <v>1477</v>
      </c>
      <c r="BU64" s="80">
        <v>1513</v>
      </c>
      <c r="BV64" s="80">
        <v>1357</v>
      </c>
      <c r="BW64" s="80">
        <v>1316</v>
      </c>
      <c r="BX64" s="80">
        <v>1417</v>
      </c>
      <c r="BY64" s="80">
        <v>1317</v>
      </c>
      <c r="BZ64" s="80">
        <v>1338</v>
      </c>
      <c r="CA64" s="80">
        <v>1375</v>
      </c>
      <c r="CB64" s="80">
        <v>1326</v>
      </c>
      <c r="CC64" s="80">
        <v>1267</v>
      </c>
      <c r="CD64" s="80">
        <v>1341</v>
      </c>
      <c r="CE64" s="80">
        <v>1343</v>
      </c>
      <c r="CF64" s="80">
        <v>1410</v>
      </c>
      <c r="CG64" s="80">
        <v>1506</v>
      </c>
      <c r="CH64" s="80">
        <v>1636</v>
      </c>
      <c r="CI64" s="80">
        <v>1248</v>
      </c>
      <c r="CJ64" s="80">
        <v>1200</v>
      </c>
      <c r="CK64" s="80">
        <v>1192</v>
      </c>
      <c r="CL64" s="80">
        <v>1082</v>
      </c>
      <c r="CM64" s="80">
        <v>957</v>
      </c>
      <c r="CN64" s="80">
        <v>808</v>
      </c>
      <c r="CO64" s="80">
        <v>818</v>
      </c>
      <c r="CP64" s="80">
        <v>740</v>
      </c>
      <c r="CQ64" s="80">
        <v>671</v>
      </c>
      <c r="CR64" s="80">
        <v>665</v>
      </c>
      <c r="CS64" s="80">
        <v>586</v>
      </c>
      <c r="CT64" s="80">
        <v>497</v>
      </c>
      <c r="CU64" s="80">
        <v>475</v>
      </c>
      <c r="CV64" s="80">
        <v>324</v>
      </c>
      <c r="CW64" s="80">
        <v>325</v>
      </c>
      <c r="CX64" s="80">
        <v>267</v>
      </c>
      <c r="CY64" s="80">
        <v>834</v>
      </c>
      <c r="CZ64" s="81">
        <v>729</v>
      </c>
      <c r="DA64" s="81">
        <v>791</v>
      </c>
      <c r="DB64" s="81">
        <v>804</v>
      </c>
      <c r="DC64" s="81">
        <v>826</v>
      </c>
      <c r="DD64" s="81">
        <v>889</v>
      </c>
      <c r="DE64" s="81">
        <v>843</v>
      </c>
      <c r="DF64" s="81">
        <v>887</v>
      </c>
      <c r="DG64" s="81">
        <v>1006</v>
      </c>
      <c r="DH64" s="81">
        <v>936</v>
      </c>
      <c r="DI64" s="81">
        <v>1070</v>
      </c>
      <c r="DJ64" s="81">
        <v>1052</v>
      </c>
      <c r="DK64" s="81">
        <v>1009</v>
      </c>
      <c r="DL64" s="81">
        <v>1058</v>
      </c>
      <c r="DM64" s="81">
        <v>1085</v>
      </c>
      <c r="DN64" s="81">
        <v>1065</v>
      </c>
      <c r="DO64" s="81">
        <v>1065</v>
      </c>
      <c r="DP64" s="81">
        <v>991</v>
      </c>
      <c r="DQ64" s="81">
        <v>914</v>
      </c>
      <c r="DR64" s="81">
        <v>841</v>
      </c>
      <c r="DS64" s="81">
        <v>675</v>
      </c>
      <c r="DT64" s="81">
        <v>608</v>
      </c>
      <c r="DU64" s="81">
        <v>678</v>
      </c>
      <c r="DV64" s="81">
        <v>743</v>
      </c>
      <c r="DW64" s="81">
        <v>839</v>
      </c>
      <c r="DX64" s="81">
        <v>930</v>
      </c>
      <c r="DY64" s="81">
        <v>877</v>
      </c>
      <c r="DZ64" s="81">
        <v>918</v>
      </c>
      <c r="EA64" s="81">
        <v>911</v>
      </c>
      <c r="EB64" s="81">
        <v>1025</v>
      </c>
      <c r="EC64" s="81">
        <v>997</v>
      </c>
      <c r="ED64" s="81">
        <v>904</v>
      </c>
      <c r="EE64" s="81">
        <v>981</v>
      </c>
      <c r="EF64" s="81">
        <v>970</v>
      </c>
      <c r="EG64" s="81">
        <v>979</v>
      </c>
      <c r="EH64" s="81">
        <v>1072</v>
      </c>
      <c r="EI64" s="81">
        <v>1012</v>
      </c>
      <c r="EJ64" s="81">
        <v>937</v>
      </c>
      <c r="EK64" s="81">
        <v>1105</v>
      </c>
      <c r="EL64" s="81">
        <v>943</v>
      </c>
      <c r="EM64" s="81">
        <v>1106</v>
      </c>
      <c r="EN64" s="81">
        <v>1110</v>
      </c>
      <c r="EO64" s="81">
        <v>987</v>
      </c>
      <c r="EP64" s="81">
        <v>953</v>
      </c>
      <c r="EQ64" s="81">
        <v>917</v>
      </c>
      <c r="ER64" s="81">
        <v>1023</v>
      </c>
      <c r="ES64" s="81">
        <v>1025</v>
      </c>
      <c r="ET64" s="81">
        <v>1165</v>
      </c>
      <c r="EU64" s="81">
        <v>1193</v>
      </c>
      <c r="EV64" s="81">
        <v>1354</v>
      </c>
      <c r="EW64" s="81">
        <v>1437</v>
      </c>
      <c r="EX64" s="81">
        <v>1409</v>
      </c>
      <c r="EY64" s="81">
        <v>1401</v>
      </c>
      <c r="EZ64" s="81">
        <v>1477</v>
      </c>
      <c r="FA64" s="81">
        <v>1556</v>
      </c>
      <c r="FB64" s="81">
        <v>1611</v>
      </c>
      <c r="FC64" s="81">
        <v>1605</v>
      </c>
      <c r="FD64" s="81">
        <v>1501</v>
      </c>
      <c r="FE64" s="81">
        <v>1665</v>
      </c>
      <c r="FF64" s="81">
        <v>1639</v>
      </c>
      <c r="FG64" s="81">
        <v>1654</v>
      </c>
      <c r="FH64" s="81">
        <v>1611</v>
      </c>
      <c r="FI64" s="81">
        <v>1459</v>
      </c>
      <c r="FJ64" s="81">
        <v>1504</v>
      </c>
      <c r="FK64" s="81">
        <v>1456</v>
      </c>
      <c r="FL64" s="81">
        <v>1381</v>
      </c>
      <c r="FM64" s="81">
        <v>1332</v>
      </c>
      <c r="FN64" s="81">
        <v>1367</v>
      </c>
      <c r="FO64" s="81">
        <v>1443</v>
      </c>
      <c r="FP64" s="81">
        <v>1324</v>
      </c>
      <c r="FQ64" s="81">
        <v>1327</v>
      </c>
      <c r="FR64" s="81">
        <v>1443</v>
      </c>
      <c r="FS64" s="81">
        <v>1522</v>
      </c>
      <c r="FT64" s="81">
        <v>1611</v>
      </c>
      <c r="FU64" s="81">
        <v>1785</v>
      </c>
      <c r="FV64" s="81">
        <v>1321</v>
      </c>
      <c r="FW64" s="81">
        <v>1268</v>
      </c>
      <c r="FX64" s="81">
        <v>1222</v>
      </c>
      <c r="FY64" s="81">
        <v>1161</v>
      </c>
      <c r="FZ64" s="81">
        <v>1112</v>
      </c>
      <c r="GA64" s="81">
        <v>967</v>
      </c>
      <c r="GB64" s="81">
        <v>1016</v>
      </c>
      <c r="GC64" s="81">
        <v>980</v>
      </c>
      <c r="GD64" s="81">
        <v>848</v>
      </c>
      <c r="GE64" s="81">
        <v>803</v>
      </c>
      <c r="GF64" s="81">
        <v>769</v>
      </c>
      <c r="GG64" s="81">
        <v>693</v>
      </c>
      <c r="GH64" s="81">
        <v>629</v>
      </c>
      <c r="GI64" s="81">
        <v>546</v>
      </c>
      <c r="GJ64" s="81">
        <v>473</v>
      </c>
      <c r="GK64" s="81">
        <v>491</v>
      </c>
      <c r="GL64" s="82">
        <v>1860</v>
      </c>
    </row>
    <row r="65" spans="1:194" s="1" customFormat="1" hidden="1" x14ac:dyDescent="0.2">
      <c r="A65" s="83" t="s">
        <v>220</v>
      </c>
      <c r="B65" s="262" t="s">
        <v>275</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0">
        <v>3045</v>
      </c>
      <c r="N65" s="80">
        <v>3336</v>
      </c>
      <c r="O65" s="80">
        <v>3493</v>
      </c>
      <c r="P65" s="80">
        <v>3608</v>
      </c>
      <c r="Q65" s="80">
        <v>3726</v>
      </c>
      <c r="R65" s="80">
        <v>3722</v>
      </c>
      <c r="S65" s="80">
        <v>3754</v>
      </c>
      <c r="T65" s="80">
        <v>3788</v>
      </c>
      <c r="U65" s="80">
        <v>4068</v>
      </c>
      <c r="V65" s="80">
        <v>3923</v>
      </c>
      <c r="W65" s="80">
        <v>3758</v>
      </c>
      <c r="X65" s="80">
        <v>3850</v>
      </c>
      <c r="Y65" s="80">
        <v>3802</v>
      </c>
      <c r="Z65" s="80">
        <v>3812</v>
      </c>
      <c r="AA65" s="80">
        <v>3727</v>
      </c>
      <c r="AB65" s="80">
        <v>3508</v>
      </c>
      <c r="AC65" s="80">
        <v>3510</v>
      </c>
      <c r="AD65" s="80">
        <v>3607</v>
      </c>
      <c r="AE65" s="80">
        <v>3459</v>
      </c>
      <c r="AF65" s="80">
        <v>3277</v>
      </c>
      <c r="AG65" s="80">
        <v>3252</v>
      </c>
      <c r="AH65" s="80">
        <v>3461</v>
      </c>
      <c r="AI65" s="80">
        <v>3445</v>
      </c>
      <c r="AJ65" s="80">
        <v>3469</v>
      </c>
      <c r="AK65" s="80">
        <v>3468</v>
      </c>
      <c r="AL65" s="80">
        <v>3428</v>
      </c>
      <c r="AM65" s="80">
        <v>3436</v>
      </c>
      <c r="AN65" s="80">
        <v>3535</v>
      </c>
      <c r="AO65" s="80">
        <v>3348</v>
      </c>
      <c r="AP65" s="80">
        <v>3605</v>
      </c>
      <c r="AQ65" s="80">
        <v>3639</v>
      </c>
      <c r="AR65" s="80">
        <v>3849</v>
      </c>
      <c r="AS65" s="80">
        <v>3493</v>
      </c>
      <c r="AT65" s="80">
        <v>3429</v>
      </c>
      <c r="AU65" s="80">
        <v>3549</v>
      </c>
      <c r="AV65" s="80">
        <v>3685</v>
      </c>
      <c r="AW65" s="80">
        <v>3653</v>
      </c>
      <c r="AX65" s="80">
        <v>3763</v>
      </c>
      <c r="AY65" s="80">
        <v>3883</v>
      </c>
      <c r="AZ65" s="80">
        <v>3841</v>
      </c>
      <c r="BA65" s="80">
        <v>3999</v>
      </c>
      <c r="BB65" s="80">
        <v>3971</v>
      </c>
      <c r="BC65" s="80">
        <v>3560</v>
      </c>
      <c r="BD65" s="80">
        <v>3416</v>
      </c>
      <c r="BE65" s="80">
        <v>3728</v>
      </c>
      <c r="BF65" s="80">
        <v>3853</v>
      </c>
      <c r="BG65" s="80">
        <v>3988</v>
      </c>
      <c r="BH65" s="80">
        <v>4291</v>
      </c>
      <c r="BI65" s="80">
        <v>4504</v>
      </c>
      <c r="BJ65" s="80">
        <v>4577</v>
      </c>
      <c r="BK65" s="80">
        <v>4376</v>
      </c>
      <c r="BL65" s="80">
        <v>4768</v>
      </c>
      <c r="BM65" s="80">
        <v>4774</v>
      </c>
      <c r="BN65" s="80">
        <v>4955</v>
      </c>
      <c r="BO65" s="80">
        <v>4774</v>
      </c>
      <c r="BP65" s="80">
        <v>4652</v>
      </c>
      <c r="BQ65" s="80">
        <v>4690</v>
      </c>
      <c r="BR65" s="80">
        <v>4650</v>
      </c>
      <c r="BS65" s="80">
        <v>4544</v>
      </c>
      <c r="BT65" s="80">
        <v>4454</v>
      </c>
      <c r="BU65" s="80">
        <v>4219</v>
      </c>
      <c r="BV65" s="80">
        <v>4154</v>
      </c>
      <c r="BW65" s="80">
        <v>3938</v>
      </c>
      <c r="BX65" s="80">
        <v>3767</v>
      </c>
      <c r="BY65" s="80">
        <v>3755</v>
      </c>
      <c r="BZ65" s="80">
        <v>3658</v>
      </c>
      <c r="CA65" s="80">
        <v>3667</v>
      </c>
      <c r="CB65" s="80">
        <v>3551</v>
      </c>
      <c r="CC65" s="80">
        <v>3537</v>
      </c>
      <c r="CD65" s="80">
        <v>3340</v>
      </c>
      <c r="CE65" s="80">
        <v>3500</v>
      </c>
      <c r="CF65" s="80">
        <v>3625</v>
      </c>
      <c r="CG65" s="80">
        <v>3726</v>
      </c>
      <c r="CH65" s="80">
        <v>3966</v>
      </c>
      <c r="CI65" s="80">
        <v>2977</v>
      </c>
      <c r="CJ65" s="80">
        <v>2865</v>
      </c>
      <c r="CK65" s="80">
        <v>2854</v>
      </c>
      <c r="CL65" s="80">
        <v>2782</v>
      </c>
      <c r="CM65" s="80">
        <v>2345</v>
      </c>
      <c r="CN65" s="80">
        <v>2011</v>
      </c>
      <c r="CO65" s="80">
        <v>1966</v>
      </c>
      <c r="CP65" s="80">
        <v>1955</v>
      </c>
      <c r="CQ65" s="80">
        <v>1674</v>
      </c>
      <c r="CR65" s="80">
        <v>1662</v>
      </c>
      <c r="CS65" s="80">
        <v>1390</v>
      </c>
      <c r="CT65" s="80">
        <v>1264</v>
      </c>
      <c r="CU65" s="80">
        <v>1054</v>
      </c>
      <c r="CV65" s="80">
        <v>969</v>
      </c>
      <c r="CW65" s="80">
        <v>782</v>
      </c>
      <c r="CX65" s="80">
        <v>618</v>
      </c>
      <c r="CY65" s="80">
        <v>2076</v>
      </c>
      <c r="CZ65" s="81">
        <v>2945</v>
      </c>
      <c r="DA65" s="81">
        <v>3095</v>
      </c>
      <c r="DB65" s="81">
        <v>3368</v>
      </c>
      <c r="DC65" s="81">
        <v>3267</v>
      </c>
      <c r="DD65" s="81">
        <v>3522</v>
      </c>
      <c r="DE65" s="81">
        <v>3559</v>
      </c>
      <c r="DF65" s="81">
        <v>3674</v>
      </c>
      <c r="DG65" s="81">
        <v>3652</v>
      </c>
      <c r="DH65" s="81">
        <v>3737</v>
      </c>
      <c r="DI65" s="81">
        <v>3740</v>
      </c>
      <c r="DJ65" s="81">
        <v>3759</v>
      </c>
      <c r="DK65" s="81">
        <v>3636</v>
      </c>
      <c r="DL65" s="81">
        <v>3868</v>
      </c>
      <c r="DM65" s="81">
        <v>3534</v>
      </c>
      <c r="DN65" s="81">
        <v>3499</v>
      </c>
      <c r="DO65" s="81">
        <v>3412</v>
      </c>
      <c r="DP65" s="81">
        <v>3664</v>
      </c>
      <c r="DQ65" s="81">
        <v>3594</v>
      </c>
      <c r="DR65" s="81">
        <v>3427</v>
      </c>
      <c r="DS65" s="81">
        <v>3143</v>
      </c>
      <c r="DT65" s="81">
        <v>2970</v>
      </c>
      <c r="DU65" s="81">
        <v>3241</v>
      </c>
      <c r="DV65" s="81">
        <v>3166</v>
      </c>
      <c r="DW65" s="81">
        <v>3359</v>
      </c>
      <c r="DX65" s="81">
        <v>3426</v>
      </c>
      <c r="DY65" s="81">
        <v>3282</v>
      </c>
      <c r="DZ65" s="81">
        <v>3544</v>
      </c>
      <c r="EA65" s="81">
        <v>3202</v>
      </c>
      <c r="EB65" s="81">
        <v>3374</v>
      </c>
      <c r="EC65" s="81">
        <v>3669</v>
      </c>
      <c r="ED65" s="81">
        <v>3790</v>
      </c>
      <c r="EE65" s="81">
        <v>3871</v>
      </c>
      <c r="EF65" s="81">
        <v>4010</v>
      </c>
      <c r="EG65" s="81">
        <v>3837</v>
      </c>
      <c r="EH65" s="81">
        <v>3940</v>
      </c>
      <c r="EI65" s="81">
        <v>3823</v>
      </c>
      <c r="EJ65" s="81">
        <v>3901</v>
      </c>
      <c r="EK65" s="81">
        <v>3935</v>
      </c>
      <c r="EL65" s="81">
        <v>3870</v>
      </c>
      <c r="EM65" s="81">
        <v>4160</v>
      </c>
      <c r="EN65" s="81">
        <v>3898</v>
      </c>
      <c r="EO65" s="81">
        <v>3951</v>
      </c>
      <c r="EP65" s="81">
        <v>3657</v>
      </c>
      <c r="EQ65" s="81">
        <v>3488</v>
      </c>
      <c r="ER65" s="81">
        <v>3686</v>
      </c>
      <c r="ES65" s="81">
        <v>3876</v>
      </c>
      <c r="ET65" s="81">
        <v>4036</v>
      </c>
      <c r="EU65" s="81">
        <v>4216</v>
      </c>
      <c r="EV65" s="81">
        <v>4547</v>
      </c>
      <c r="EW65" s="81">
        <v>4592</v>
      </c>
      <c r="EX65" s="81">
        <v>4584</v>
      </c>
      <c r="EY65" s="81">
        <v>4650</v>
      </c>
      <c r="EZ65" s="81">
        <v>4690</v>
      </c>
      <c r="FA65" s="81">
        <v>4889</v>
      </c>
      <c r="FB65" s="81">
        <v>4892</v>
      </c>
      <c r="FC65" s="81">
        <v>4990</v>
      </c>
      <c r="FD65" s="81">
        <v>5016</v>
      </c>
      <c r="FE65" s="81">
        <v>4726</v>
      </c>
      <c r="FF65" s="81">
        <v>4770</v>
      </c>
      <c r="FG65" s="81">
        <v>4527</v>
      </c>
      <c r="FH65" s="81">
        <v>4483</v>
      </c>
      <c r="FI65" s="81">
        <v>4245</v>
      </c>
      <c r="FJ65" s="81">
        <v>4196</v>
      </c>
      <c r="FK65" s="81">
        <v>3993</v>
      </c>
      <c r="FL65" s="81">
        <v>3806</v>
      </c>
      <c r="FM65" s="81">
        <v>3818</v>
      </c>
      <c r="FN65" s="81">
        <v>3800</v>
      </c>
      <c r="FO65" s="81">
        <v>3873</v>
      </c>
      <c r="FP65" s="81">
        <v>3825</v>
      </c>
      <c r="FQ65" s="81">
        <v>3769</v>
      </c>
      <c r="FR65" s="81">
        <v>3869</v>
      </c>
      <c r="FS65" s="81">
        <v>3904</v>
      </c>
      <c r="FT65" s="81">
        <v>4100</v>
      </c>
      <c r="FU65" s="81">
        <v>4430</v>
      </c>
      <c r="FV65" s="81">
        <v>3388</v>
      </c>
      <c r="FW65" s="81">
        <v>3263</v>
      </c>
      <c r="FX65" s="81">
        <v>3372</v>
      </c>
      <c r="FY65" s="81">
        <v>2971</v>
      </c>
      <c r="FZ65" s="81">
        <v>2650</v>
      </c>
      <c r="GA65" s="81">
        <v>2291</v>
      </c>
      <c r="GB65" s="81">
        <v>2309</v>
      </c>
      <c r="GC65" s="81">
        <v>2330</v>
      </c>
      <c r="GD65" s="81">
        <v>2158</v>
      </c>
      <c r="GE65" s="81">
        <v>1965</v>
      </c>
      <c r="GF65" s="81">
        <v>1811</v>
      </c>
      <c r="GG65" s="81">
        <v>1745</v>
      </c>
      <c r="GH65" s="81">
        <v>1574</v>
      </c>
      <c r="GI65" s="81">
        <v>1410</v>
      </c>
      <c r="GJ65" s="81">
        <v>1312</v>
      </c>
      <c r="GK65" s="81">
        <v>1087</v>
      </c>
      <c r="GL65" s="82">
        <v>4582</v>
      </c>
    </row>
    <row r="66" spans="1:194" s="1" customFormat="1" hidden="1" x14ac:dyDescent="0.2">
      <c r="A66" s="83" t="s">
        <v>220</v>
      </c>
      <c r="B66" s="262" t="s">
        <v>276</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0">
        <v>1093</v>
      </c>
      <c r="N66" s="80">
        <v>1130</v>
      </c>
      <c r="O66" s="80">
        <v>1234</v>
      </c>
      <c r="P66" s="80">
        <v>1246</v>
      </c>
      <c r="Q66" s="80">
        <v>1372</v>
      </c>
      <c r="R66" s="80">
        <v>1333</v>
      </c>
      <c r="S66" s="80">
        <v>1267</v>
      </c>
      <c r="T66" s="80">
        <v>1222</v>
      </c>
      <c r="U66" s="80">
        <v>1295</v>
      </c>
      <c r="V66" s="80">
        <v>1421</v>
      </c>
      <c r="W66" s="80">
        <v>1344</v>
      </c>
      <c r="X66" s="80">
        <v>1276</v>
      </c>
      <c r="Y66" s="80">
        <v>1335</v>
      </c>
      <c r="Z66" s="80">
        <v>1328</v>
      </c>
      <c r="AA66" s="80">
        <v>1230</v>
      </c>
      <c r="AB66" s="80">
        <v>1200</v>
      </c>
      <c r="AC66" s="80">
        <v>1255</v>
      </c>
      <c r="AD66" s="80">
        <v>1124</v>
      </c>
      <c r="AE66" s="80">
        <v>1160</v>
      </c>
      <c r="AF66" s="80">
        <v>1284</v>
      </c>
      <c r="AG66" s="80">
        <v>1512</v>
      </c>
      <c r="AH66" s="80">
        <v>1649</v>
      </c>
      <c r="AI66" s="80">
        <v>1579</v>
      </c>
      <c r="AJ66" s="80">
        <v>1736</v>
      </c>
      <c r="AK66" s="80">
        <v>1616</v>
      </c>
      <c r="AL66" s="80">
        <v>1529</v>
      </c>
      <c r="AM66" s="80">
        <v>1545</v>
      </c>
      <c r="AN66" s="80">
        <v>1524</v>
      </c>
      <c r="AO66" s="80">
        <v>1514</v>
      </c>
      <c r="AP66" s="80">
        <v>1539</v>
      </c>
      <c r="AQ66" s="80">
        <v>1500</v>
      </c>
      <c r="AR66" s="80">
        <v>1393</v>
      </c>
      <c r="AS66" s="80">
        <v>1447</v>
      </c>
      <c r="AT66" s="80">
        <v>1255</v>
      </c>
      <c r="AU66" s="80">
        <v>1200</v>
      </c>
      <c r="AV66" s="80">
        <v>1297</v>
      </c>
      <c r="AW66" s="80">
        <v>1232</v>
      </c>
      <c r="AX66" s="80">
        <v>1295</v>
      </c>
      <c r="AY66" s="80">
        <v>1179</v>
      </c>
      <c r="AZ66" s="80">
        <v>1198</v>
      </c>
      <c r="BA66" s="80">
        <v>1257</v>
      </c>
      <c r="BB66" s="80">
        <v>1312</v>
      </c>
      <c r="BC66" s="80">
        <v>1125</v>
      </c>
      <c r="BD66" s="80">
        <v>1069</v>
      </c>
      <c r="BE66" s="80">
        <v>1148</v>
      </c>
      <c r="BF66" s="80">
        <v>1123</v>
      </c>
      <c r="BG66" s="80">
        <v>1233</v>
      </c>
      <c r="BH66" s="80">
        <v>1300</v>
      </c>
      <c r="BI66" s="80">
        <v>1396</v>
      </c>
      <c r="BJ66" s="80">
        <v>1337</v>
      </c>
      <c r="BK66" s="80">
        <v>1424</v>
      </c>
      <c r="BL66" s="80">
        <v>1304</v>
      </c>
      <c r="BM66" s="80">
        <v>1363</v>
      </c>
      <c r="BN66" s="80">
        <v>1426</v>
      </c>
      <c r="BO66" s="80">
        <v>1382</v>
      </c>
      <c r="BP66" s="80">
        <v>1432</v>
      </c>
      <c r="BQ66" s="80">
        <v>1485</v>
      </c>
      <c r="BR66" s="80">
        <v>1360</v>
      </c>
      <c r="BS66" s="80">
        <v>1410</v>
      </c>
      <c r="BT66" s="80">
        <v>1297</v>
      </c>
      <c r="BU66" s="80">
        <v>1190</v>
      </c>
      <c r="BV66" s="80">
        <v>1226</v>
      </c>
      <c r="BW66" s="80">
        <v>1177</v>
      </c>
      <c r="BX66" s="80">
        <v>1083</v>
      </c>
      <c r="BY66" s="80">
        <v>1165</v>
      </c>
      <c r="BZ66" s="80">
        <v>947</v>
      </c>
      <c r="CA66" s="80">
        <v>980</v>
      </c>
      <c r="CB66" s="80">
        <v>1018</v>
      </c>
      <c r="CC66" s="80">
        <v>897</v>
      </c>
      <c r="CD66" s="80">
        <v>933</v>
      </c>
      <c r="CE66" s="80">
        <v>924</v>
      </c>
      <c r="CF66" s="80">
        <v>989</v>
      </c>
      <c r="CG66" s="80">
        <v>967</v>
      </c>
      <c r="CH66" s="80">
        <v>1004</v>
      </c>
      <c r="CI66" s="80">
        <v>794</v>
      </c>
      <c r="CJ66" s="80">
        <v>685</v>
      </c>
      <c r="CK66" s="80">
        <v>728</v>
      </c>
      <c r="CL66" s="80">
        <v>620</v>
      </c>
      <c r="CM66" s="80">
        <v>567</v>
      </c>
      <c r="CN66" s="80">
        <v>528</v>
      </c>
      <c r="CO66" s="80">
        <v>537</v>
      </c>
      <c r="CP66" s="80">
        <v>478</v>
      </c>
      <c r="CQ66" s="80">
        <v>499</v>
      </c>
      <c r="CR66" s="80">
        <v>386</v>
      </c>
      <c r="CS66" s="80">
        <v>369</v>
      </c>
      <c r="CT66" s="80">
        <v>342</v>
      </c>
      <c r="CU66" s="80">
        <v>278</v>
      </c>
      <c r="CV66" s="80">
        <v>251</v>
      </c>
      <c r="CW66" s="80">
        <v>214</v>
      </c>
      <c r="CX66" s="80">
        <v>169</v>
      </c>
      <c r="CY66" s="80">
        <v>542</v>
      </c>
      <c r="CZ66" s="81">
        <v>1065</v>
      </c>
      <c r="DA66" s="81">
        <v>1183</v>
      </c>
      <c r="DB66" s="81">
        <v>1159</v>
      </c>
      <c r="DC66" s="81">
        <v>1228</v>
      </c>
      <c r="DD66" s="81">
        <v>1231</v>
      </c>
      <c r="DE66" s="81">
        <v>1266</v>
      </c>
      <c r="DF66" s="81">
        <v>1262</v>
      </c>
      <c r="DG66" s="81">
        <v>1311</v>
      </c>
      <c r="DH66" s="81">
        <v>1204</v>
      </c>
      <c r="DI66" s="81">
        <v>1247</v>
      </c>
      <c r="DJ66" s="81">
        <v>1273</v>
      </c>
      <c r="DK66" s="81">
        <v>1277</v>
      </c>
      <c r="DL66" s="81">
        <v>1191</v>
      </c>
      <c r="DM66" s="81">
        <v>1240</v>
      </c>
      <c r="DN66" s="81">
        <v>1215</v>
      </c>
      <c r="DO66" s="81">
        <v>1098</v>
      </c>
      <c r="DP66" s="81">
        <v>1118</v>
      </c>
      <c r="DQ66" s="81">
        <v>1071</v>
      </c>
      <c r="DR66" s="81">
        <v>1139</v>
      </c>
      <c r="DS66" s="81">
        <v>1397</v>
      </c>
      <c r="DT66" s="81">
        <v>1535</v>
      </c>
      <c r="DU66" s="81">
        <v>1622</v>
      </c>
      <c r="DV66" s="81">
        <v>1589</v>
      </c>
      <c r="DW66" s="81">
        <v>1648</v>
      </c>
      <c r="DX66" s="81">
        <v>1471</v>
      </c>
      <c r="DY66" s="81">
        <v>1288</v>
      </c>
      <c r="DZ66" s="81">
        <v>1333</v>
      </c>
      <c r="EA66" s="81">
        <v>1477</v>
      </c>
      <c r="EB66" s="81">
        <v>1441</v>
      </c>
      <c r="EC66" s="81">
        <v>1413</v>
      </c>
      <c r="ED66" s="81">
        <v>1349</v>
      </c>
      <c r="EE66" s="81">
        <v>1402</v>
      </c>
      <c r="EF66" s="81">
        <v>1325</v>
      </c>
      <c r="EG66" s="81">
        <v>1251</v>
      </c>
      <c r="EH66" s="81">
        <v>1206</v>
      </c>
      <c r="EI66" s="81">
        <v>1229</v>
      </c>
      <c r="EJ66" s="81">
        <v>1260</v>
      </c>
      <c r="EK66" s="81">
        <v>1239</v>
      </c>
      <c r="EL66" s="81">
        <v>1162</v>
      </c>
      <c r="EM66" s="81">
        <v>1230</v>
      </c>
      <c r="EN66" s="81">
        <v>1308</v>
      </c>
      <c r="EO66" s="81">
        <v>1152</v>
      </c>
      <c r="EP66" s="81">
        <v>1003</v>
      </c>
      <c r="EQ66" s="81">
        <v>1124</v>
      </c>
      <c r="ER66" s="81">
        <v>1176</v>
      </c>
      <c r="ES66" s="81">
        <v>1147</v>
      </c>
      <c r="ET66" s="81">
        <v>1151</v>
      </c>
      <c r="EU66" s="81">
        <v>1271</v>
      </c>
      <c r="EV66" s="81">
        <v>1311</v>
      </c>
      <c r="EW66" s="81">
        <v>1410</v>
      </c>
      <c r="EX66" s="81">
        <v>1322</v>
      </c>
      <c r="EY66" s="81">
        <v>1454</v>
      </c>
      <c r="EZ66" s="81">
        <v>1417</v>
      </c>
      <c r="FA66" s="81">
        <v>1353</v>
      </c>
      <c r="FB66" s="81">
        <v>1321</v>
      </c>
      <c r="FC66" s="81">
        <v>1389</v>
      </c>
      <c r="FD66" s="81">
        <v>1372</v>
      </c>
      <c r="FE66" s="81">
        <v>1383</v>
      </c>
      <c r="FF66" s="81">
        <v>1379</v>
      </c>
      <c r="FG66" s="81">
        <v>1295</v>
      </c>
      <c r="FH66" s="81">
        <v>1260</v>
      </c>
      <c r="FI66" s="81">
        <v>1140</v>
      </c>
      <c r="FJ66" s="81">
        <v>1141</v>
      </c>
      <c r="FK66" s="81">
        <v>1178</v>
      </c>
      <c r="FL66" s="81">
        <v>1052</v>
      </c>
      <c r="FM66" s="81">
        <v>1018</v>
      </c>
      <c r="FN66" s="81">
        <v>981</v>
      </c>
      <c r="FO66" s="81">
        <v>983</v>
      </c>
      <c r="FP66" s="81">
        <v>995</v>
      </c>
      <c r="FQ66" s="81">
        <v>986</v>
      </c>
      <c r="FR66" s="81">
        <v>1003</v>
      </c>
      <c r="FS66" s="81">
        <v>980</v>
      </c>
      <c r="FT66" s="81">
        <v>1015</v>
      </c>
      <c r="FU66" s="81">
        <v>1152</v>
      </c>
      <c r="FV66" s="81">
        <v>796</v>
      </c>
      <c r="FW66" s="81">
        <v>820</v>
      </c>
      <c r="FX66" s="81">
        <v>801</v>
      </c>
      <c r="FY66" s="81">
        <v>743</v>
      </c>
      <c r="FZ66" s="81">
        <v>649</v>
      </c>
      <c r="GA66" s="81">
        <v>581</v>
      </c>
      <c r="GB66" s="81">
        <v>632</v>
      </c>
      <c r="GC66" s="81">
        <v>628</v>
      </c>
      <c r="GD66" s="81">
        <v>570</v>
      </c>
      <c r="GE66" s="81">
        <v>506</v>
      </c>
      <c r="GF66" s="81">
        <v>496</v>
      </c>
      <c r="GG66" s="81">
        <v>491</v>
      </c>
      <c r="GH66" s="81">
        <v>377</v>
      </c>
      <c r="GI66" s="81">
        <v>333</v>
      </c>
      <c r="GJ66" s="81">
        <v>320</v>
      </c>
      <c r="GK66" s="81">
        <v>299</v>
      </c>
      <c r="GL66" s="82">
        <v>1029</v>
      </c>
    </row>
    <row r="67" spans="1:194" s="1" customFormat="1" hidden="1" x14ac:dyDescent="0.2">
      <c r="A67" s="83" t="s">
        <v>220</v>
      </c>
      <c r="B67" s="262" t="s">
        <v>277</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0">
        <v>702</v>
      </c>
      <c r="N67" s="80">
        <v>732</v>
      </c>
      <c r="O67" s="80">
        <v>793</v>
      </c>
      <c r="P67" s="80">
        <v>790</v>
      </c>
      <c r="Q67" s="80">
        <v>799</v>
      </c>
      <c r="R67" s="80">
        <v>837</v>
      </c>
      <c r="S67" s="80">
        <v>843</v>
      </c>
      <c r="T67" s="80">
        <v>857</v>
      </c>
      <c r="U67" s="80">
        <v>915</v>
      </c>
      <c r="V67" s="80">
        <v>893</v>
      </c>
      <c r="W67" s="80">
        <v>864</v>
      </c>
      <c r="X67" s="80">
        <v>855</v>
      </c>
      <c r="Y67" s="80">
        <v>888</v>
      </c>
      <c r="Z67" s="80">
        <v>851</v>
      </c>
      <c r="AA67" s="80">
        <v>882</v>
      </c>
      <c r="AB67" s="80">
        <v>796</v>
      </c>
      <c r="AC67" s="80">
        <v>770</v>
      </c>
      <c r="AD67" s="80">
        <v>713</v>
      </c>
      <c r="AE67" s="80">
        <v>699</v>
      </c>
      <c r="AF67" s="80">
        <v>625</v>
      </c>
      <c r="AG67" s="80">
        <v>669</v>
      </c>
      <c r="AH67" s="80">
        <v>687</v>
      </c>
      <c r="AI67" s="80">
        <v>690</v>
      </c>
      <c r="AJ67" s="80">
        <v>710</v>
      </c>
      <c r="AK67" s="80">
        <v>776</v>
      </c>
      <c r="AL67" s="80">
        <v>776</v>
      </c>
      <c r="AM67" s="80">
        <v>808</v>
      </c>
      <c r="AN67" s="80">
        <v>759</v>
      </c>
      <c r="AO67" s="80">
        <v>806</v>
      </c>
      <c r="AP67" s="80">
        <v>838</v>
      </c>
      <c r="AQ67" s="80">
        <v>752</v>
      </c>
      <c r="AR67" s="80">
        <v>788</v>
      </c>
      <c r="AS67" s="80">
        <v>820</v>
      </c>
      <c r="AT67" s="80">
        <v>841</v>
      </c>
      <c r="AU67" s="80">
        <v>795</v>
      </c>
      <c r="AV67" s="80">
        <v>772</v>
      </c>
      <c r="AW67" s="80">
        <v>842</v>
      </c>
      <c r="AX67" s="80">
        <v>796</v>
      </c>
      <c r="AY67" s="80">
        <v>867</v>
      </c>
      <c r="AZ67" s="80">
        <v>749</v>
      </c>
      <c r="BA67" s="80">
        <v>747</v>
      </c>
      <c r="BB67" s="80">
        <v>832</v>
      </c>
      <c r="BC67" s="80">
        <v>649</v>
      </c>
      <c r="BD67" s="80">
        <v>750</v>
      </c>
      <c r="BE67" s="80">
        <v>757</v>
      </c>
      <c r="BF67" s="80">
        <v>712</v>
      </c>
      <c r="BG67" s="80">
        <v>708</v>
      </c>
      <c r="BH67" s="80">
        <v>807</v>
      </c>
      <c r="BI67" s="80">
        <v>895</v>
      </c>
      <c r="BJ67" s="80">
        <v>922</v>
      </c>
      <c r="BK67" s="80">
        <v>884</v>
      </c>
      <c r="BL67" s="80">
        <v>912</v>
      </c>
      <c r="BM67" s="80">
        <v>830</v>
      </c>
      <c r="BN67" s="80">
        <v>892</v>
      </c>
      <c r="BO67" s="80">
        <v>879</v>
      </c>
      <c r="BP67" s="80">
        <v>929</v>
      </c>
      <c r="BQ67" s="80">
        <v>850</v>
      </c>
      <c r="BR67" s="80">
        <v>846</v>
      </c>
      <c r="BS67" s="80">
        <v>934</v>
      </c>
      <c r="BT67" s="80">
        <v>849</v>
      </c>
      <c r="BU67" s="80">
        <v>787</v>
      </c>
      <c r="BV67" s="80">
        <v>834</v>
      </c>
      <c r="BW67" s="80">
        <v>780</v>
      </c>
      <c r="BX67" s="80">
        <v>730</v>
      </c>
      <c r="BY67" s="80">
        <v>772</v>
      </c>
      <c r="BZ67" s="80">
        <v>684</v>
      </c>
      <c r="CA67" s="80">
        <v>741</v>
      </c>
      <c r="CB67" s="80">
        <v>670</v>
      </c>
      <c r="CC67" s="80">
        <v>715</v>
      </c>
      <c r="CD67" s="80">
        <v>763</v>
      </c>
      <c r="CE67" s="80">
        <v>678</v>
      </c>
      <c r="CF67" s="80">
        <v>724</v>
      </c>
      <c r="CG67" s="80">
        <v>728</v>
      </c>
      <c r="CH67" s="80">
        <v>764</v>
      </c>
      <c r="CI67" s="80">
        <v>539</v>
      </c>
      <c r="CJ67" s="80">
        <v>437</v>
      </c>
      <c r="CK67" s="80">
        <v>477</v>
      </c>
      <c r="CL67" s="80">
        <v>387</v>
      </c>
      <c r="CM67" s="80">
        <v>378</v>
      </c>
      <c r="CN67" s="80">
        <v>316</v>
      </c>
      <c r="CO67" s="80">
        <v>297</v>
      </c>
      <c r="CP67" s="80">
        <v>269</v>
      </c>
      <c r="CQ67" s="80">
        <v>266</v>
      </c>
      <c r="CR67" s="80">
        <v>245</v>
      </c>
      <c r="CS67" s="80">
        <v>172</v>
      </c>
      <c r="CT67" s="80">
        <v>206</v>
      </c>
      <c r="CU67" s="80">
        <v>122</v>
      </c>
      <c r="CV67" s="80">
        <v>124</v>
      </c>
      <c r="CW67" s="80">
        <v>108</v>
      </c>
      <c r="CX67" s="80">
        <v>88</v>
      </c>
      <c r="CY67" s="80">
        <v>265</v>
      </c>
      <c r="CZ67" s="81">
        <v>642</v>
      </c>
      <c r="DA67" s="81">
        <v>686</v>
      </c>
      <c r="DB67" s="81">
        <v>708</v>
      </c>
      <c r="DC67" s="81">
        <v>741</v>
      </c>
      <c r="DD67" s="81">
        <v>781</v>
      </c>
      <c r="DE67" s="81">
        <v>803</v>
      </c>
      <c r="DF67" s="81">
        <v>775</v>
      </c>
      <c r="DG67" s="81">
        <v>856</v>
      </c>
      <c r="DH67" s="81">
        <v>788</v>
      </c>
      <c r="DI67" s="81">
        <v>820</v>
      </c>
      <c r="DJ67" s="81">
        <v>932</v>
      </c>
      <c r="DK67" s="81">
        <v>850</v>
      </c>
      <c r="DL67" s="81">
        <v>861</v>
      </c>
      <c r="DM67" s="81">
        <v>813</v>
      </c>
      <c r="DN67" s="81">
        <v>829</v>
      </c>
      <c r="DO67" s="81">
        <v>772</v>
      </c>
      <c r="DP67" s="81">
        <v>716</v>
      </c>
      <c r="DQ67" s="81">
        <v>692</v>
      </c>
      <c r="DR67" s="81">
        <v>720</v>
      </c>
      <c r="DS67" s="81">
        <v>611</v>
      </c>
      <c r="DT67" s="81">
        <v>557</v>
      </c>
      <c r="DU67" s="81">
        <v>593</v>
      </c>
      <c r="DV67" s="81">
        <v>625</v>
      </c>
      <c r="DW67" s="81">
        <v>740</v>
      </c>
      <c r="DX67" s="81">
        <v>789</v>
      </c>
      <c r="DY67" s="81">
        <v>760</v>
      </c>
      <c r="DZ67" s="81">
        <v>863</v>
      </c>
      <c r="EA67" s="81">
        <v>832</v>
      </c>
      <c r="EB67" s="81">
        <v>885</v>
      </c>
      <c r="EC67" s="81">
        <v>854</v>
      </c>
      <c r="ED67" s="81">
        <v>825</v>
      </c>
      <c r="EE67" s="81">
        <v>850</v>
      </c>
      <c r="EF67" s="81">
        <v>880</v>
      </c>
      <c r="EG67" s="81">
        <v>969</v>
      </c>
      <c r="EH67" s="81">
        <v>863</v>
      </c>
      <c r="EI67" s="81">
        <v>867</v>
      </c>
      <c r="EJ67" s="81">
        <v>933</v>
      </c>
      <c r="EK67" s="81">
        <v>855</v>
      </c>
      <c r="EL67" s="81">
        <v>824</v>
      </c>
      <c r="EM67" s="81">
        <v>880</v>
      </c>
      <c r="EN67" s="81">
        <v>868</v>
      </c>
      <c r="EO67" s="81">
        <v>818</v>
      </c>
      <c r="EP67" s="81">
        <v>745</v>
      </c>
      <c r="EQ67" s="81">
        <v>734</v>
      </c>
      <c r="ER67" s="81">
        <v>802</v>
      </c>
      <c r="ES67" s="81">
        <v>818</v>
      </c>
      <c r="ET67" s="81">
        <v>815</v>
      </c>
      <c r="EU67" s="81">
        <v>935</v>
      </c>
      <c r="EV67" s="81">
        <v>948</v>
      </c>
      <c r="EW67" s="81">
        <v>988</v>
      </c>
      <c r="EX67" s="81">
        <v>876</v>
      </c>
      <c r="EY67" s="81">
        <v>848</v>
      </c>
      <c r="EZ67" s="81">
        <v>901</v>
      </c>
      <c r="FA67" s="81">
        <v>956</v>
      </c>
      <c r="FB67" s="81">
        <v>869</v>
      </c>
      <c r="FC67" s="81">
        <v>941</v>
      </c>
      <c r="FD67" s="81">
        <v>884</v>
      </c>
      <c r="FE67" s="81">
        <v>937</v>
      </c>
      <c r="FF67" s="81">
        <v>998</v>
      </c>
      <c r="FG67" s="81">
        <v>915</v>
      </c>
      <c r="FH67" s="81">
        <v>857</v>
      </c>
      <c r="FI67" s="81">
        <v>894</v>
      </c>
      <c r="FJ67" s="81">
        <v>875</v>
      </c>
      <c r="FK67" s="81">
        <v>796</v>
      </c>
      <c r="FL67" s="81">
        <v>864</v>
      </c>
      <c r="FM67" s="81">
        <v>821</v>
      </c>
      <c r="FN67" s="81">
        <v>769</v>
      </c>
      <c r="FO67" s="81">
        <v>763</v>
      </c>
      <c r="FP67" s="81">
        <v>755</v>
      </c>
      <c r="FQ67" s="81">
        <v>772</v>
      </c>
      <c r="FR67" s="81">
        <v>756</v>
      </c>
      <c r="FS67" s="81">
        <v>738</v>
      </c>
      <c r="FT67" s="81">
        <v>764</v>
      </c>
      <c r="FU67" s="81">
        <v>818</v>
      </c>
      <c r="FV67" s="81">
        <v>536</v>
      </c>
      <c r="FW67" s="81">
        <v>466</v>
      </c>
      <c r="FX67" s="81">
        <v>503</v>
      </c>
      <c r="FY67" s="81">
        <v>470</v>
      </c>
      <c r="FZ67" s="81">
        <v>436</v>
      </c>
      <c r="GA67" s="81">
        <v>352</v>
      </c>
      <c r="GB67" s="81">
        <v>370</v>
      </c>
      <c r="GC67" s="81">
        <v>358</v>
      </c>
      <c r="GD67" s="81">
        <v>320</v>
      </c>
      <c r="GE67" s="81">
        <v>291</v>
      </c>
      <c r="GF67" s="81">
        <v>298</v>
      </c>
      <c r="GG67" s="81">
        <v>285</v>
      </c>
      <c r="GH67" s="81">
        <v>259</v>
      </c>
      <c r="GI67" s="81">
        <v>222</v>
      </c>
      <c r="GJ67" s="81">
        <v>164</v>
      </c>
      <c r="GK67" s="81">
        <v>129</v>
      </c>
      <c r="GL67" s="82">
        <v>527</v>
      </c>
    </row>
    <row r="68" spans="1:194" s="1" customFormat="1" hidden="1" x14ac:dyDescent="0.2">
      <c r="A68" s="83" t="s">
        <v>220</v>
      </c>
      <c r="B68" s="262" t="s">
        <v>278</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0">
        <v>7845</v>
      </c>
      <c r="N68" s="80">
        <v>8139</v>
      </c>
      <c r="O68" s="80">
        <v>8410</v>
      </c>
      <c r="P68" s="80">
        <v>8862</v>
      </c>
      <c r="Q68" s="80">
        <v>9213</v>
      </c>
      <c r="R68" s="80">
        <v>9390</v>
      </c>
      <c r="S68" s="80">
        <v>9514</v>
      </c>
      <c r="T68" s="80">
        <v>9843</v>
      </c>
      <c r="U68" s="80">
        <v>10118</v>
      </c>
      <c r="V68" s="80">
        <v>10158</v>
      </c>
      <c r="W68" s="80">
        <v>9860</v>
      </c>
      <c r="X68" s="80">
        <v>9778</v>
      </c>
      <c r="Y68" s="80">
        <v>9769</v>
      </c>
      <c r="Z68" s="80">
        <v>9634</v>
      </c>
      <c r="AA68" s="80">
        <v>9542</v>
      </c>
      <c r="AB68" s="80">
        <v>9105</v>
      </c>
      <c r="AC68" s="80">
        <v>9009</v>
      </c>
      <c r="AD68" s="80">
        <v>8801</v>
      </c>
      <c r="AE68" s="80">
        <v>8849</v>
      </c>
      <c r="AF68" s="80">
        <v>9482</v>
      </c>
      <c r="AG68" s="80">
        <v>9886</v>
      </c>
      <c r="AH68" s="80">
        <v>10499</v>
      </c>
      <c r="AI68" s="80">
        <v>10092</v>
      </c>
      <c r="AJ68" s="80">
        <v>10513</v>
      </c>
      <c r="AK68" s="80">
        <v>10169</v>
      </c>
      <c r="AL68" s="80">
        <v>9887</v>
      </c>
      <c r="AM68" s="80">
        <v>9971</v>
      </c>
      <c r="AN68" s="80">
        <v>9727</v>
      </c>
      <c r="AO68" s="80">
        <v>9819</v>
      </c>
      <c r="AP68" s="80">
        <v>9845</v>
      </c>
      <c r="AQ68" s="80">
        <v>9900</v>
      </c>
      <c r="AR68" s="80">
        <v>9375</v>
      </c>
      <c r="AS68" s="80">
        <v>9531</v>
      </c>
      <c r="AT68" s="80">
        <v>9084</v>
      </c>
      <c r="AU68" s="80">
        <v>8970</v>
      </c>
      <c r="AV68" s="80">
        <v>9078</v>
      </c>
      <c r="AW68" s="80">
        <v>8757</v>
      </c>
      <c r="AX68" s="80">
        <v>9334</v>
      </c>
      <c r="AY68" s="80">
        <v>8990</v>
      </c>
      <c r="AZ68" s="80">
        <v>9348</v>
      </c>
      <c r="BA68" s="80">
        <v>9528</v>
      </c>
      <c r="BB68" s="80">
        <v>9196</v>
      </c>
      <c r="BC68" s="80">
        <v>8704</v>
      </c>
      <c r="BD68" s="80">
        <v>8726</v>
      </c>
      <c r="BE68" s="80">
        <v>8985</v>
      </c>
      <c r="BF68" s="80">
        <v>9554</v>
      </c>
      <c r="BG68" s="80">
        <v>9536</v>
      </c>
      <c r="BH68" s="80">
        <v>10374</v>
      </c>
      <c r="BI68" s="80">
        <v>10332</v>
      </c>
      <c r="BJ68" s="80">
        <v>10901</v>
      </c>
      <c r="BK68" s="80">
        <v>10600</v>
      </c>
      <c r="BL68" s="80">
        <v>10905</v>
      </c>
      <c r="BM68" s="80">
        <v>10740</v>
      </c>
      <c r="BN68" s="80">
        <v>11229</v>
      </c>
      <c r="BO68" s="80">
        <v>11417</v>
      </c>
      <c r="BP68" s="80">
        <v>11638</v>
      </c>
      <c r="BQ68" s="80">
        <v>11561</v>
      </c>
      <c r="BR68" s="80">
        <v>11423</v>
      </c>
      <c r="BS68" s="80">
        <v>10990</v>
      </c>
      <c r="BT68" s="80">
        <v>10801</v>
      </c>
      <c r="BU68" s="80">
        <v>10340</v>
      </c>
      <c r="BV68" s="80">
        <v>10244</v>
      </c>
      <c r="BW68" s="80">
        <v>9997</v>
      </c>
      <c r="BX68" s="80">
        <v>9619</v>
      </c>
      <c r="BY68" s="80">
        <v>9349</v>
      </c>
      <c r="BZ68" s="80">
        <v>8728</v>
      </c>
      <c r="CA68" s="80">
        <v>8657</v>
      </c>
      <c r="CB68" s="80">
        <v>8532</v>
      </c>
      <c r="CC68" s="80">
        <v>8208</v>
      </c>
      <c r="CD68" s="80">
        <v>8281</v>
      </c>
      <c r="CE68" s="80">
        <v>8470</v>
      </c>
      <c r="CF68" s="80">
        <v>8897</v>
      </c>
      <c r="CG68" s="80">
        <v>9300</v>
      </c>
      <c r="CH68" s="80">
        <v>10435</v>
      </c>
      <c r="CI68" s="80">
        <v>7960</v>
      </c>
      <c r="CJ68" s="80">
        <v>7666</v>
      </c>
      <c r="CK68" s="80">
        <v>7290</v>
      </c>
      <c r="CL68" s="80">
        <v>6516</v>
      </c>
      <c r="CM68" s="80">
        <v>5653</v>
      </c>
      <c r="CN68" s="80">
        <v>4806</v>
      </c>
      <c r="CO68" s="80">
        <v>5016</v>
      </c>
      <c r="CP68" s="80">
        <v>4657</v>
      </c>
      <c r="CQ68" s="80">
        <v>4302</v>
      </c>
      <c r="CR68" s="80">
        <v>3974</v>
      </c>
      <c r="CS68" s="80">
        <v>3705</v>
      </c>
      <c r="CT68" s="80">
        <v>3214</v>
      </c>
      <c r="CU68" s="80">
        <v>2884</v>
      </c>
      <c r="CV68" s="80">
        <v>2499</v>
      </c>
      <c r="CW68" s="80">
        <v>2213</v>
      </c>
      <c r="CX68" s="80">
        <v>1897</v>
      </c>
      <c r="CY68" s="80">
        <v>6438</v>
      </c>
      <c r="CZ68" s="81">
        <v>7430</v>
      </c>
      <c r="DA68" s="81">
        <v>7741</v>
      </c>
      <c r="DB68" s="81">
        <v>7939</v>
      </c>
      <c r="DC68" s="81">
        <v>8503</v>
      </c>
      <c r="DD68" s="81">
        <v>8813</v>
      </c>
      <c r="DE68" s="81">
        <v>8860</v>
      </c>
      <c r="DF68" s="81">
        <v>9072</v>
      </c>
      <c r="DG68" s="81">
        <v>9212</v>
      </c>
      <c r="DH68" s="81">
        <v>9595</v>
      </c>
      <c r="DI68" s="81">
        <v>9551</v>
      </c>
      <c r="DJ68" s="81">
        <v>9465</v>
      </c>
      <c r="DK68" s="81">
        <v>9199</v>
      </c>
      <c r="DL68" s="81">
        <v>9403</v>
      </c>
      <c r="DM68" s="81">
        <v>9059</v>
      </c>
      <c r="DN68" s="81">
        <v>8776</v>
      </c>
      <c r="DO68" s="81">
        <v>8428</v>
      </c>
      <c r="DP68" s="81">
        <v>8427</v>
      </c>
      <c r="DQ68" s="81">
        <v>8240</v>
      </c>
      <c r="DR68" s="81">
        <v>8313</v>
      </c>
      <c r="DS68" s="81">
        <v>8909</v>
      </c>
      <c r="DT68" s="81">
        <v>8933</v>
      </c>
      <c r="DU68" s="81">
        <v>9498</v>
      </c>
      <c r="DV68" s="81">
        <v>9053</v>
      </c>
      <c r="DW68" s="81">
        <v>9301</v>
      </c>
      <c r="DX68" s="81">
        <v>9268</v>
      </c>
      <c r="DY68" s="81">
        <v>9066</v>
      </c>
      <c r="DZ68" s="81">
        <v>9151</v>
      </c>
      <c r="EA68" s="81">
        <v>9448</v>
      </c>
      <c r="EB68" s="81">
        <v>9344</v>
      </c>
      <c r="EC68" s="81">
        <v>9501</v>
      </c>
      <c r="ED68" s="81">
        <v>9720</v>
      </c>
      <c r="EE68" s="81">
        <v>9538</v>
      </c>
      <c r="EF68" s="81">
        <v>9630</v>
      </c>
      <c r="EG68" s="81">
        <v>9533</v>
      </c>
      <c r="EH68" s="81">
        <v>9503</v>
      </c>
      <c r="EI68" s="81">
        <v>9666</v>
      </c>
      <c r="EJ68" s="81">
        <v>9488</v>
      </c>
      <c r="EK68" s="81">
        <v>9615</v>
      </c>
      <c r="EL68" s="81">
        <v>9820</v>
      </c>
      <c r="EM68" s="81">
        <v>9944</v>
      </c>
      <c r="EN68" s="81">
        <v>9989</v>
      </c>
      <c r="EO68" s="81">
        <v>9723</v>
      </c>
      <c r="EP68" s="81">
        <v>9281</v>
      </c>
      <c r="EQ68" s="81">
        <v>9124</v>
      </c>
      <c r="ER68" s="81">
        <v>9309</v>
      </c>
      <c r="ES68" s="81">
        <v>10014</v>
      </c>
      <c r="ET68" s="81">
        <v>10101</v>
      </c>
      <c r="EU68" s="81">
        <v>10682</v>
      </c>
      <c r="EV68" s="81">
        <v>10884</v>
      </c>
      <c r="EW68" s="81">
        <v>11615</v>
      </c>
      <c r="EX68" s="81">
        <v>10930</v>
      </c>
      <c r="EY68" s="81">
        <v>11489</v>
      </c>
      <c r="EZ68" s="81">
        <v>11748</v>
      </c>
      <c r="FA68" s="81">
        <v>11772</v>
      </c>
      <c r="FB68" s="81">
        <v>11800</v>
      </c>
      <c r="FC68" s="81">
        <v>12252</v>
      </c>
      <c r="FD68" s="81">
        <v>11927</v>
      </c>
      <c r="FE68" s="81">
        <v>12010</v>
      </c>
      <c r="FF68" s="81">
        <v>11346</v>
      </c>
      <c r="FG68" s="81">
        <v>11095</v>
      </c>
      <c r="FH68" s="81">
        <v>10564</v>
      </c>
      <c r="FI68" s="81">
        <v>10507</v>
      </c>
      <c r="FJ68" s="81">
        <v>10207</v>
      </c>
      <c r="FK68" s="81">
        <v>9887</v>
      </c>
      <c r="FL68" s="81">
        <v>9311</v>
      </c>
      <c r="FM68" s="81">
        <v>9161</v>
      </c>
      <c r="FN68" s="81">
        <v>9259</v>
      </c>
      <c r="FO68" s="81">
        <v>9200</v>
      </c>
      <c r="FP68" s="81">
        <v>9000</v>
      </c>
      <c r="FQ68" s="81">
        <v>9046</v>
      </c>
      <c r="FR68" s="81">
        <v>9422</v>
      </c>
      <c r="FS68" s="81">
        <v>9759</v>
      </c>
      <c r="FT68" s="81">
        <v>10273</v>
      </c>
      <c r="FU68" s="81">
        <v>11395</v>
      </c>
      <c r="FV68" s="81">
        <v>8835</v>
      </c>
      <c r="FW68" s="81">
        <v>8384</v>
      </c>
      <c r="FX68" s="81">
        <v>8150</v>
      </c>
      <c r="FY68" s="81">
        <v>7601</v>
      </c>
      <c r="FZ68" s="81">
        <v>6654</v>
      </c>
      <c r="GA68" s="81">
        <v>5699</v>
      </c>
      <c r="GB68" s="81">
        <v>5976</v>
      </c>
      <c r="GC68" s="81">
        <v>5802</v>
      </c>
      <c r="GD68" s="81">
        <v>5637</v>
      </c>
      <c r="GE68" s="81">
        <v>5112</v>
      </c>
      <c r="GF68" s="81">
        <v>4751</v>
      </c>
      <c r="GG68" s="81">
        <v>4377</v>
      </c>
      <c r="GH68" s="81">
        <v>3875</v>
      </c>
      <c r="GI68" s="81">
        <v>3711</v>
      </c>
      <c r="GJ68" s="81">
        <v>3377</v>
      </c>
      <c r="GK68" s="81">
        <v>3077</v>
      </c>
      <c r="GL68" s="82">
        <v>12743</v>
      </c>
    </row>
    <row r="69" spans="1:194" s="1" customFormat="1" hidden="1" x14ac:dyDescent="0.2">
      <c r="A69" s="83" t="s">
        <v>220</v>
      </c>
      <c r="B69" s="262" t="s">
        <v>279</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0">
        <v>3586</v>
      </c>
      <c r="N69" s="80">
        <v>3824</v>
      </c>
      <c r="O69" s="80">
        <v>4052</v>
      </c>
      <c r="P69" s="80">
        <v>4265</v>
      </c>
      <c r="Q69" s="80">
        <v>4399</v>
      </c>
      <c r="R69" s="80">
        <v>4458</v>
      </c>
      <c r="S69" s="80">
        <v>4499</v>
      </c>
      <c r="T69" s="80">
        <v>4763</v>
      </c>
      <c r="U69" s="80">
        <v>4819</v>
      </c>
      <c r="V69" s="80">
        <v>4733</v>
      </c>
      <c r="W69" s="80">
        <v>4693</v>
      </c>
      <c r="X69" s="80">
        <v>4645</v>
      </c>
      <c r="Y69" s="80">
        <v>4792</v>
      </c>
      <c r="Z69" s="80">
        <v>4647</v>
      </c>
      <c r="AA69" s="80">
        <v>4365</v>
      </c>
      <c r="AB69" s="80">
        <v>4503</v>
      </c>
      <c r="AC69" s="80">
        <v>4431</v>
      </c>
      <c r="AD69" s="80">
        <v>4179</v>
      </c>
      <c r="AE69" s="80">
        <v>4041</v>
      </c>
      <c r="AF69" s="80">
        <v>3450</v>
      </c>
      <c r="AG69" s="80">
        <v>3420</v>
      </c>
      <c r="AH69" s="80">
        <v>3545</v>
      </c>
      <c r="AI69" s="80">
        <v>3987</v>
      </c>
      <c r="AJ69" s="80">
        <v>4271</v>
      </c>
      <c r="AK69" s="80">
        <v>4449</v>
      </c>
      <c r="AL69" s="80">
        <v>4271</v>
      </c>
      <c r="AM69" s="80">
        <v>4482</v>
      </c>
      <c r="AN69" s="80">
        <v>4453</v>
      </c>
      <c r="AO69" s="80">
        <v>4462</v>
      </c>
      <c r="AP69" s="80">
        <v>4773</v>
      </c>
      <c r="AQ69" s="80">
        <v>4712</v>
      </c>
      <c r="AR69" s="80">
        <v>4557</v>
      </c>
      <c r="AS69" s="80">
        <v>4481</v>
      </c>
      <c r="AT69" s="80">
        <v>4454</v>
      </c>
      <c r="AU69" s="80">
        <v>4536</v>
      </c>
      <c r="AV69" s="80">
        <v>4428</v>
      </c>
      <c r="AW69" s="80">
        <v>4332</v>
      </c>
      <c r="AX69" s="80">
        <v>4404</v>
      </c>
      <c r="AY69" s="80">
        <v>4465</v>
      </c>
      <c r="AZ69" s="80">
        <v>4539</v>
      </c>
      <c r="BA69" s="80">
        <v>4550</v>
      </c>
      <c r="BB69" s="80">
        <v>4453</v>
      </c>
      <c r="BC69" s="80">
        <v>4233</v>
      </c>
      <c r="BD69" s="80">
        <v>4243</v>
      </c>
      <c r="BE69" s="80">
        <v>4374</v>
      </c>
      <c r="BF69" s="80">
        <v>4490</v>
      </c>
      <c r="BG69" s="80">
        <v>4714</v>
      </c>
      <c r="BH69" s="80">
        <v>4913</v>
      </c>
      <c r="BI69" s="80">
        <v>5293</v>
      </c>
      <c r="BJ69" s="80">
        <v>5436</v>
      </c>
      <c r="BK69" s="80">
        <v>5344</v>
      </c>
      <c r="BL69" s="80">
        <v>5571</v>
      </c>
      <c r="BM69" s="80">
        <v>5566</v>
      </c>
      <c r="BN69" s="80">
        <v>5929</v>
      </c>
      <c r="BO69" s="80">
        <v>5933</v>
      </c>
      <c r="BP69" s="80">
        <v>5951</v>
      </c>
      <c r="BQ69" s="80">
        <v>5866</v>
      </c>
      <c r="BR69" s="80">
        <v>5821</v>
      </c>
      <c r="BS69" s="80">
        <v>5661</v>
      </c>
      <c r="BT69" s="80">
        <v>5432</v>
      </c>
      <c r="BU69" s="80">
        <v>5242</v>
      </c>
      <c r="BV69" s="80">
        <v>5159</v>
      </c>
      <c r="BW69" s="80">
        <v>5096</v>
      </c>
      <c r="BX69" s="80">
        <v>4744</v>
      </c>
      <c r="BY69" s="80">
        <v>4764</v>
      </c>
      <c r="BZ69" s="80">
        <v>4649</v>
      </c>
      <c r="CA69" s="80">
        <v>4835</v>
      </c>
      <c r="CB69" s="80">
        <v>4784</v>
      </c>
      <c r="CC69" s="80">
        <v>4681</v>
      </c>
      <c r="CD69" s="80">
        <v>4683</v>
      </c>
      <c r="CE69" s="80">
        <v>4851</v>
      </c>
      <c r="CF69" s="80">
        <v>5122</v>
      </c>
      <c r="CG69" s="80">
        <v>5132</v>
      </c>
      <c r="CH69" s="80">
        <v>5381</v>
      </c>
      <c r="CI69" s="80">
        <v>4189</v>
      </c>
      <c r="CJ69" s="80">
        <v>4016</v>
      </c>
      <c r="CK69" s="80">
        <v>4135</v>
      </c>
      <c r="CL69" s="80">
        <v>3526</v>
      </c>
      <c r="CM69" s="80">
        <v>3179</v>
      </c>
      <c r="CN69" s="80">
        <v>2638</v>
      </c>
      <c r="CO69" s="80">
        <v>2613</v>
      </c>
      <c r="CP69" s="80">
        <v>2582</v>
      </c>
      <c r="CQ69" s="80">
        <v>2280</v>
      </c>
      <c r="CR69" s="80">
        <v>2189</v>
      </c>
      <c r="CS69" s="80">
        <v>1863</v>
      </c>
      <c r="CT69" s="80">
        <v>1731</v>
      </c>
      <c r="CU69" s="80">
        <v>1450</v>
      </c>
      <c r="CV69" s="80">
        <v>1190</v>
      </c>
      <c r="CW69" s="80">
        <v>1122</v>
      </c>
      <c r="CX69" s="80">
        <v>857</v>
      </c>
      <c r="CY69" s="80">
        <v>2964</v>
      </c>
      <c r="CZ69" s="81">
        <v>3415</v>
      </c>
      <c r="DA69" s="81">
        <v>3748</v>
      </c>
      <c r="DB69" s="81">
        <v>3944</v>
      </c>
      <c r="DC69" s="81">
        <v>4022</v>
      </c>
      <c r="DD69" s="81">
        <v>4178</v>
      </c>
      <c r="DE69" s="81">
        <v>4162</v>
      </c>
      <c r="DF69" s="81">
        <v>4279</v>
      </c>
      <c r="DG69" s="81">
        <v>4528</v>
      </c>
      <c r="DH69" s="81">
        <v>4620</v>
      </c>
      <c r="DI69" s="81">
        <v>4585</v>
      </c>
      <c r="DJ69" s="81">
        <v>4389</v>
      </c>
      <c r="DK69" s="81">
        <v>4470</v>
      </c>
      <c r="DL69" s="81">
        <v>4352</v>
      </c>
      <c r="DM69" s="81">
        <v>4394</v>
      </c>
      <c r="DN69" s="81">
        <v>4338</v>
      </c>
      <c r="DO69" s="81">
        <v>4248</v>
      </c>
      <c r="DP69" s="81">
        <v>4136</v>
      </c>
      <c r="DQ69" s="81">
        <v>3921</v>
      </c>
      <c r="DR69" s="81">
        <v>3961</v>
      </c>
      <c r="DS69" s="81">
        <v>3263</v>
      </c>
      <c r="DT69" s="81">
        <v>3172</v>
      </c>
      <c r="DU69" s="81">
        <v>3464</v>
      </c>
      <c r="DV69" s="81">
        <v>3806</v>
      </c>
      <c r="DW69" s="81">
        <v>4000</v>
      </c>
      <c r="DX69" s="81">
        <v>4084</v>
      </c>
      <c r="DY69" s="81">
        <v>4175</v>
      </c>
      <c r="DZ69" s="81">
        <v>4131</v>
      </c>
      <c r="EA69" s="81">
        <v>4161</v>
      </c>
      <c r="EB69" s="81">
        <v>4487</v>
      </c>
      <c r="EC69" s="81">
        <v>4619</v>
      </c>
      <c r="ED69" s="81">
        <v>4625</v>
      </c>
      <c r="EE69" s="81">
        <v>4635</v>
      </c>
      <c r="EF69" s="81">
        <v>4489</v>
      </c>
      <c r="EG69" s="81">
        <v>4541</v>
      </c>
      <c r="EH69" s="81">
        <v>4528</v>
      </c>
      <c r="EI69" s="81">
        <v>4544</v>
      </c>
      <c r="EJ69" s="81">
        <v>4655</v>
      </c>
      <c r="EK69" s="81">
        <v>4778</v>
      </c>
      <c r="EL69" s="81">
        <v>4591</v>
      </c>
      <c r="EM69" s="81">
        <v>4745</v>
      </c>
      <c r="EN69" s="81">
        <v>4981</v>
      </c>
      <c r="EO69" s="81">
        <v>4754</v>
      </c>
      <c r="EP69" s="81">
        <v>4164</v>
      </c>
      <c r="EQ69" s="81">
        <v>4401</v>
      </c>
      <c r="ER69" s="81">
        <v>4459</v>
      </c>
      <c r="ES69" s="81">
        <v>4681</v>
      </c>
      <c r="ET69" s="81">
        <v>4847</v>
      </c>
      <c r="EU69" s="81">
        <v>5076</v>
      </c>
      <c r="EV69" s="81">
        <v>5585</v>
      </c>
      <c r="EW69" s="81">
        <v>5769</v>
      </c>
      <c r="EX69" s="81">
        <v>5621</v>
      </c>
      <c r="EY69" s="81">
        <v>5896</v>
      </c>
      <c r="EZ69" s="81">
        <v>6006</v>
      </c>
      <c r="FA69" s="81">
        <v>6047</v>
      </c>
      <c r="FB69" s="81">
        <v>6103</v>
      </c>
      <c r="FC69" s="81">
        <v>6161</v>
      </c>
      <c r="FD69" s="81">
        <v>5988</v>
      </c>
      <c r="FE69" s="81">
        <v>5864</v>
      </c>
      <c r="FF69" s="81">
        <v>5775</v>
      </c>
      <c r="FG69" s="81">
        <v>5445</v>
      </c>
      <c r="FH69" s="81">
        <v>5285</v>
      </c>
      <c r="FI69" s="81">
        <v>5247</v>
      </c>
      <c r="FJ69" s="81">
        <v>5278</v>
      </c>
      <c r="FK69" s="81">
        <v>5132</v>
      </c>
      <c r="FL69" s="81">
        <v>5097</v>
      </c>
      <c r="FM69" s="81">
        <v>4966</v>
      </c>
      <c r="FN69" s="81">
        <v>5210</v>
      </c>
      <c r="FO69" s="81">
        <v>5181</v>
      </c>
      <c r="FP69" s="81">
        <v>4810</v>
      </c>
      <c r="FQ69" s="81">
        <v>4983</v>
      </c>
      <c r="FR69" s="81">
        <v>4933</v>
      </c>
      <c r="FS69" s="81">
        <v>5271</v>
      </c>
      <c r="FT69" s="81">
        <v>5229</v>
      </c>
      <c r="FU69" s="81">
        <v>5690</v>
      </c>
      <c r="FV69" s="81">
        <v>4546</v>
      </c>
      <c r="FW69" s="81">
        <v>4479</v>
      </c>
      <c r="FX69" s="81">
        <v>4473</v>
      </c>
      <c r="FY69" s="81">
        <v>3915</v>
      </c>
      <c r="FZ69" s="81">
        <v>3419</v>
      </c>
      <c r="GA69" s="81">
        <v>3068</v>
      </c>
      <c r="GB69" s="81">
        <v>3020</v>
      </c>
      <c r="GC69" s="81">
        <v>2950</v>
      </c>
      <c r="GD69" s="81">
        <v>2767</v>
      </c>
      <c r="GE69" s="81">
        <v>2681</v>
      </c>
      <c r="GF69" s="81">
        <v>2251</v>
      </c>
      <c r="GG69" s="81">
        <v>2108</v>
      </c>
      <c r="GH69" s="81">
        <v>1991</v>
      </c>
      <c r="GI69" s="81">
        <v>1786</v>
      </c>
      <c r="GJ69" s="81">
        <v>1628</v>
      </c>
      <c r="GK69" s="81">
        <v>1473</v>
      </c>
      <c r="GL69" s="82">
        <v>6427</v>
      </c>
    </row>
    <row r="70" spans="1:194" s="1" customFormat="1" hidden="1" x14ac:dyDescent="0.2">
      <c r="A70" s="83" t="s">
        <v>220</v>
      </c>
      <c r="B70" s="262" t="s">
        <v>280</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0">
        <v>3601</v>
      </c>
      <c r="N70" s="80">
        <v>3760</v>
      </c>
      <c r="O70" s="80">
        <v>3903</v>
      </c>
      <c r="P70" s="80">
        <v>4065</v>
      </c>
      <c r="Q70" s="80">
        <v>4096</v>
      </c>
      <c r="R70" s="80">
        <v>4111</v>
      </c>
      <c r="S70" s="80">
        <v>4174</v>
      </c>
      <c r="T70" s="80">
        <v>4138</v>
      </c>
      <c r="U70" s="80">
        <v>4305</v>
      </c>
      <c r="V70" s="80">
        <v>4494</v>
      </c>
      <c r="W70" s="80">
        <v>4413</v>
      </c>
      <c r="X70" s="80">
        <v>4485</v>
      </c>
      <c r="Y70" s="80">
        <v>4373</v>
      </c>
      <c r="Z70" s="80">
        <v>4186</v>
      </c>
      <c r="AA70" s="80">
        <v>3988</v>
      </c>
      <c r="AB70" s="80">
        <v>3892</v>
      </c>
      <c r="AC70" s="80">
        <v>3786</v>
      </c>
      <c r="AD70" s="80">
        <v>3673</v>
      </c>
      <c r="AE70" s="80">
        <v>3387</v>
      </c>
      <c r="AF70" s="80">
        <v>2461</v>
      </c>
      <c r="AG70" s="80">
        <v>2229</v>
      </c>
      <c r="AH70" s="80">
        <v>2324</v>
      </c>
      <c r="AI70" s="80">
        <v>2870</v>
      </c>
      <c r="AJ70" s="80">
        <v>3213</v>
      </c>
      <c r="AK70" s="80">
        <v>3328</v>
      </c>
      <c r="AL70" s="80">
        <v>3336</v>
      </c>
      <c r="AM70" s="80">
        <v>3346</v>
      </c>
      <c r="AN70" s="80">
        <v>3091</v>
      </c>
      <c r="AO70" s="80">
        <v>3172</v>
      </c>
      <c r="AP70" s="80">
        <v>3304</v>
      </c>
      <c r="AQ70" s="80">
        <v>3437</v>
      </c>
      <c r="AR70" s="80">
        <v>3588</v>
      </c>
      <c r="AS70" s="80">
        <v>3833</v>
      </c>
      <c r="AT70" s="80">
        <v>3616</v>
      </c>
      <c r="AU70" s="80">
        <v>3797</v>
      </c>
      <c r="AV70" s="80">
        <v>3689</v>
      </c>
      <c r="AW70" s="80">
        <v>3834</v>
      </c>
      <c r="AX70" s="80">
        <v>4067</v>
      </c>
      <c r="AY70" s="80">
        <v>4341</v>
      </c>
      <c r="AZ70" s="80">
        <v>4103</v>
      </c>
      <c r="BA70" s="80">
        <v>4450</v>
      </c>
      <c r="BB70" s="80">
        <v>4304</v>
      </c>
      <c r="BC70" s="80">
        <v>4215</v>
      </c>
      <c r="BD70" s="80">
        <v>4441</v>
      </c>
      <c r="BE70" s="80">
        <v>4280</v>
      </c>
      <c r="BF70" s="80">
        <v>4376</v>
      </c>
      <c r="BG70" s="80">
        <v>4302</v>
      </c>
      <c r="BH70" s="80">
        <v>4211</v>
      </c>
      <c r="BI70" s="80">
        <v>4309</v>
      </c>
      <c r="BJ70" s="80">
        <v>4355</v>
      </c>
      <c r="BK70" s="80">
        <v>4174</v>
      </c>
      <c r="BL70" s="80">
        <v>4203</v>
      </c>
      <c r="BM70" s="80">
        <v>4256</v>
      </c>
      <c r="BN70" s="80">
        <v>4079</v>
      </c>
      <c r="BO70" s="80">
        <v>4334</v>
      </c>
      <c r="BP70" s="80">
        <v>4177</v>
      </c>
      <c r="BQ70" s="80">
        <v>4052</v>
      </c>
      <c r="BR70" s="80">
        <v>4104</v>
      </c>
      <c r="BS70" s="80">
        <v>3837</v>
      </c>
      <c r="BT70" s="80">
        <v>3662</v>
      </c>
      <c r="BU70" s="80">
        <v>3340</v>
      </c>
      <c r="BV70" s="80">
        <v>3384</v>
      </c>
      <c r="BW70" s="80">
        <v>3101</v>
      </c>
      <c r="BX70" s="80">
        <v>3083</v>
      </c>
      <c r="BY70" s="80">
        <v>2870</v>
      </c>
      <c r="BZ70" s="80">
        <v>2736</v>
      </c>
      <c r="CA70" s="80">
        <v>2732</v>
      </c>
      <c r="CB70" s="80">
        <v>2559</v>
      </c>
      <c r="CC70" s="80">
        <v>2482</v>
      </c>
      <c r="CD70" s="80">
        <v>2399</v>
      </c>
      <c r="CE70" s="80">
        <v>2367</v>
      </c>
      <c r="CF70" s="80">
        <v>2391</v>
      </c>
      <c r="CG70" s="80">
        <v>2502</v>
      </c>
      <c r="CH70" s="80">
        <v>2691</v>
      </c>
      <c r="CI70" s="80">
        <v>2180</v>
      </c>
      <c r="CJ70" s="80">
        <v>2083</v>
      </c>
      <c r="CK70" s="80">
        <v>2101</v>
      </c>
      <c r="CL70" s="80">
        <v>1785</v>
      </c>
      <c r="CM70" s="80">
        <v>1436</v>
      </c>
      <c r="CN70" s="80">
        <v>1223</v>
      </c>
      <c r="CO70" s="80">
        <v>1403</v>
      </c>
      <c r="CP70" s="80">
        <v>1422</v>
      </c>
      <c r="CQ70" s="80">
        <v>1192</v>
      </c>
      <c r="CR70" s="80">
        <v>1255</v>
      </c>
      <c r="CS70" s="80">
        <v>1081</v>
      </c>
      <c r="CT70" s="80">
        <v>976</v>
      </c>
      <c r="CU70" s="80">
        <v>918</v>
      </c>
      <c r="CV70" s="80">
        <v>796</v>
      </c>
      <c r="CW70" s="80">
        <v>701</v>
      </c>
      <c r="CX70" s="80">
        <v>583</v>
      </c>
      <c r="CY70" s="80">
        <v>1963</v>
      </c>
      <c r="CZ70" s="81">
        <v>3420</v>
      </c>
      <c r="DA70" s="81">
        <v>3497</v>
      </c>
      <c r="DB70" s="81">
        <v>3624</v>
      </c>
      <c r="DC70" s="81">
        <v>3758</v>
      </c>
      <c r="DD70" s="81">
        <v>4027</v>
      </c>
      <c r="DE70" s="81">
        <v>3944</v>
      </c>
      <c r="DF70" s="81">
        <v>4020</v>
      </c>
      <c r="DG70" s="81">
        <v>4021</v>
      </c>
      <c r="DH70" s="81">
        <v>4172</v>
      </c>
      <c r="DI70" s="81">
        <v>4332</v>
      </c>
      <c r="DJ70" s="81">
        <v>4285</v>
      </c>
      <c r="DK70" s="81">
        <v>4137</v>
      </c>
      <c r="DL70" s="81">
        <v>4242</v>
      </c>
      <c r="DM70" s="81">
        <v>3859</v>
      </c>
      <c r="DN70" s="81">
        <v>3877</v>
      </c>
      <c r="DO70" s="81">
        <v>3512</v>
      </c>
      <c r="DP70" s="81">
        <v>3668</v>
      </c>
      <c r="DQ70" s="81">
        <v>3449</v>
      </c>
      <c r="DR70" s="81">
        <v>3185</v>
      </c>
      <c r="DS70" s="81">
        <v>1953</v>
      </c>
      <c r="DT70" s="81">
        <v>1817</v>
      </c>
      <c r="DU70" s="81">
        <v>2221</v>
      </c>
      <c r="DV70" s="81">
        <v>2680</v>
      </c>
      <c r="DW70" s="81">
        <v>3347</v>
      </c>
      <c r="DX70" s="81">
        <v>3311</v>
      </c>
      <c r="DY70" s="81">
        <v>3296</v>
      </c>
      <c r="DZ70" s="81">
        <v>3347</v>
      </c>
      <c r="EA70" s="81">
        <v>3348</v>
      </c>
      <c r="EB70" s="81">
        <v>3417</v>
      </c>
      <c r="EC70" s="81">
        <v>3647</v>
      </c>
      <c r="ED70" s="81">
        <v>3634</v>
      </c>
      <c r="EE70" s="81">
        <v>3891</v>
      </c>
      <c r="EF70" s="81">
        <v>4252</v>
      </c>
      <c r="EG70" s="81">
        <v>4123</v>
      </c>
      <c r="EH70" s="81">
        <v>4081</v>
      </c>
      <c r="EI70" s="81">
        <v>4222</v>
      </c>
      <c r="EJ70" s="81">
        <v>4329</v>
      </c>
      <c r="EK70" s="81">
        <v>4697</v>
      </c>
      <c r="EL70" s="81">
        <v>4938</v>
      </c>
      <c r="EM70" s="81">
        <v>4814</v>
      </c>
      <c r="EN70" s="81">
        <v>4777</v>
      </c>
      <c r="EO70" s="81">
        <v>4651</v>
      </c>
      <c r="EP70" s="81">
        <v>4492</v>
      </c>
      <c r="EQ70" s="81">
        <v>4235</v>
      </c>
      <c r="ER70" s="81">
        <v>4453</v>
      </c>
      <c r="ES70" s="81">
        <v>4373</v>
      </c>
      <c r="ET70" s="81">
        <v>4424</v>
      </c>
      <c r="EU70" s="81">
        <v>4354</v>
      </c>
      <c r="EV70" s="81">
        <v>4538</v>
      </c>
      <c r="EW70" s="81">
        <v>4489</v>
      </c>
      <c r="EX70" s="81">
        <v>4185</v>
      </c>
      <c r="EY70" s="81">
        <v>4205</v>
      </c>
      <c r="EZ70" s="81">
        <v>4404</v>
      </c>
      <c r="FA70" s="81">
        <v>4342</v>
      </c>
      <c r="FB70" s="81">
        <v>4298</v>
      </c>
      <c r="FC70" s="81">
        <v>4278</v>
      </c>
      <c r="FD70" s="81">
        <v>4080</v>
      </c>
      <c r="FE70" s="81">
        <v>4056</v>
      </c>
      <c r="FF70" s="81">
        <v>3850</v>
      </c>
      <c r="FG70" s="81">
        <v>3770</v>
      </c>
      <c r="FH70" s="81">
        <v>3473</v>
      </c>
      <c r="FI70" s="81">
        <v>3403</v>
      </c>
      <c r="FJ70" s="81">
        <v>3323</v>
      </c>
      <c r="FK70" s="81">
        <v>3039</v>
      </c>
      <c r="FL70" s="81">
        <v>3038</v>
      </c>
      <c r="FM70" s="81">
        <v>2915</v>
      </c>
      <c r="FN70" s="81">
        <v>2895</v>
      </c>
      <c r="FO70" s="81">
        <v>2664</v>
      </c>
      <c r="FP70" s="81">
        <v>2556</v>
      </c>
      <c r="FQ70" s="81">
        <v>2718</v>
      </c>
      <c r="FR70" s="81">
        <v>2744</v>
      </c>
      <c r="FS70" s="81">
        <v>2800</v>
      </c>
      <c r="FT70" s="81">
        <v>2892</v>
      </c>
      <c r="FU70" s="81">
        <v>3263</v>
      </c>
      <c r="FV70" s="81">
        <v>2474</v>
      </c>
      <c r="FW70" s="81">
        <v>2313</v>
      </c>
      <c r="FX70" s="81">
        <v>2241</v>
      </c>
      <c r="FY70" s="81">
        <v>2242</v>
      </c>
      <c r="FZ70" s="81">
        <v>1849</v>
      </c>
      <c r="GA70" s="81">
        <v>1657</v>
      </c>
      <c r="GB70" s="81">
        <v>1725</v>
      </c>
      <c r="GC70" s="81">
        <v>1730</v>
      </c>
      <c r="GD70" s="81">
        <v>1711</v>
      </c>
      <c r="GE70" s="81">
        <v>1642</v>
      </c>
      <c r="GF70" s="81">
        <v>1435</v>
      </c>
      <c r="GG70" s="81">
        <v>1305</v>
      </c>
      <c r="GH70" s="81">
        <v>1253</v>
      </c>
      <c r="GI70" s="81">
        <v>1162</v>
      </c>
      <c r="GJ70" s="81">
        <v>1096</v>
      </c>
      <c r="GK70" s="81">
        <v>941</v>
      </c>
      <c r="GL70" s="82">
        <v>4022</v>
      </c>
    </row>
    <row r="71" spans="1:194" s="1" customFormat="1" hidden="1" x14ac:dyDescent="0.2">
      <c r="A71" s="83" t="s">
        <v>220</v>
      </c>
      <c r="B71" s="262" t="s">
        <v>281</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0">
        <v>1403</v>
      </c>
      <c r="N71" s="80">
        <v>1554</v>
      </c>
      <c r="O71" s="80">
        <v>1499</v>
      </c>
      <c r="P71" s="80">
        <v>1636</v>
      </c>
      <c r="Q71" s="80">
        <v>1620</v>
      </c>
      <c r="R71" s="80">
        <v>1600</v>
      </c>
      <c r="S71" s="80">
        <v>1572</v>
      </c>
      <c r="T71" s="80">
        <v>1635</v>
      </c>
      <c r="U71" s="80">
        <v>1629</v>
      </c>
      <c r="V71" s="80">
        <v>1606</v>
      </c>
      <c r="W71" s="80">
        <v>1585</v>
      </c>
      <c r="X71" s="80">
        <v>1450</v>
      </c>
      <c r="Y71" s="80">
        <v>1610</v>
      </c>
      <c r="Z71" s="80">
        <v>1580</v>
      </c>
      <c r="AA71" s="80">
        <v>1539</v>
      </c>
      <c r="AB71" s="80">
        <v>1423</v>
      </c>
      <c r="AC71" s="80">
        <v>1398</v>
      </c>
      <c r="AD71" s="80">
        <v>1311</v>
      </c>
      <c r="AE71" s="80">
        <v>1364</v>
      </c>
      <c r="AF71" s="80">
        <v>1225</v>
      </c>
      <c r="AG71" s="80">
        <v>1176</v>
      </c>
      <c r="AH71" s="80">
        <v>1321</v>
      </c>
      <c r="AI71" s="80">
        <v>1351</v>
      </c>
      <c r="AJ71" s="80">
        <v>1407</v>
      </c>
      <c r="AK71" s="80">
        <v>1470</v>
      </c>
      <c r="AL71" s="80">
        <v>1575</v>
      </c>
      <c r="AM71" s="80">
        <v>1483</v>
      </c>
      <c r="AN71" s="80">
        <v>1653</v>
      </c>
      <c r="AO71" s="80">
        <v>1508</v>
      </c>
      <c r="AP71" s="80">
        <v>1614</v>
      </c>
      <c r="AQ71" s="80">
        <v>1643</v>
      </c>
      <c r="AR71" s="80">
        <v>1567</v>
      </c>
      <c r="AS71" s="80">
        <v>1599</v>
      </c>
      <c r="AT71" s="80">
        <v>1507</v>
      </c>
      <c r="AU71" s="80">
        <v>1491</v>
      </c>
      <c r="AV71" s="80">
        <v>1478</v>
      </c>
      <c r="AW71" s="80">
        <v>1386</v>
      </c>
      <c r="AX71" s="80">
        <v>1428</v>
      </c>
      <c r="AY71" s="80">
        <v>1497</v>
      </c>
      <c r="AZ71" s="80">
        <v>1405</v>
      </c>
      <c r="BA71" s="80">
        <v>1449</v>
      </c>
      <c r="BB71" s="80">
        <v>1322</v>
      </c>
      <c r="BC71" s="80">
        <v>1288</v>
      </c>
      <c r="BD71" s="80">
        <v>1179</v>
      </c>
      <c r="BE71" s="80">
        <v>1177</v>
      </c>
      <c r="BF71" s="80">
        <v>1295</v>
      </c>
      <c r="BG71" s="80">
        <v>1311</v>
      </c>
      <c r="BH71" s="80">
        <v>1400</v>
      </c>
      <c r="BI71" s="80">
        <v>1470</v>
      </c>
      <c r="BJ71" s="80">
        <v>1505</v>
      </c>
      <c r="BK71" s="80">
        <v>1455</v>
      </c>
      <c r="BL71" s="80">
        <v>1488</v>
      </c>
      <c r="BM71" s="80">
        <v>1538</v>
      </c>
      <c r="BN71" s="80">
        <v>1499</v>
      </c>
      <c r="BO71" s="80">
        <v>1470</v>
      </c>
      <c r="BP71" s="80">
        <v>1461</v>
      </c>
      <c r="BQ71" s="80">
        <v>1441</v>
      </c>
      <c r="BR71" s="80">
        <v>1342</v>
      </c>
      <c r="BS71" s="80">
        <v>1395</v>
      </c>
      <c r="BT71" s="80">
        <v>1296</v>
      </c>
      <c r="BU71" s="80">
        <v>1294</v>
      </c>
      <c r="BV71" s="80">
        <v>1231</v>
      </c>
      <c r="BW71" s="80">
        <v>1259</v>
      </c>
      <c r="BX71" s="80">
        <v>1130</v>
      </c>
      <c r="BY71" s="80">
        <v>1127</v>
      </c>
      <c r="BZ71" s="80">
        <v>1047</v>
      </c>
      <c r="CA71" s="80">
        <v>1107</v>
      </c>
      <c r="CB71" s="80">
        <v>1100</v>
      </c>
      <c r="CC71" s="80">
        <v>1039</v>
      </c>
      <c r="CD71" s="80">
        <v>967</v>
      </c>
      <c r="CE71" s="80">
        <v>1023</v>
      </c>
      <c r="CF71" s="80">
        <v>967</v>
      </c>
      <c r="CG71" s="80">
        <v>1032</v>
      </c>
      <c r="CH71" s="80">
        <v>1115</v>
      </c>
      <c r="CI71" s="80">
        <v>755</v>
      </c>
      <c r="CJ71" s="80">
        <v>775</v>
      </c>
      <c r="CK71" s="80">
        <v>718</v>
      </c>
      <c r="CL71" s="80">
        <v>641</v>
      </c>
      <c r="CM71" s="80">
        <v>584</v>
      </c>
      <c r="CN71" s="80">
        <v>451</v>
      </c>
      <c r="CO71" s="80">
        <v>505</v>
      </c>
      <c r="CP71" s="80">
        <v>465</v>
      </c>
      <c r="CQ71" s="80">
        <v>447</v>
      </c>
      <c r="CR71" s="80">
        <v>390</v>
      </c>
      <c r="CS71" s="80">
        <v>314</v>
      </c>
      <c r="CT71" s="80">
        <v>291</v>
      </c>
      <c r="CU71" s="80">
        <v>211</v>
      </c>
      <c r="CV71" s="80">
        <v>223</v>
      </c>
      <c r="CW71" s="80">
        <v>171</v>
      </c>
      <c r="CX71" s="80">
        <v>161</v>
      </c>
      <c r="CY71" s="80">
        <v>572</v>
      </c>
      <c r="CZ71" s="81">
        <v>1437</v>
      </c>
      <c r="DA71" s="81">
        <v>1398</v>
      </c>
      <c r="DB71" s="81">
        <v>1447</v>
      </c>
      <c r="DC71" s="81">
        <v>1500</v>
      </c>
      <c r="DD71" s="81">
        <v>1484</v>
      </c>
      <c r="DE71" s="81">
        <v>1557</v>
      </c>
      <c r="DF71" s="81">
        <v>1523</v>
      </c>
      <c r="DG71" s="81">
        <v>1566</v>
      </c>
      <c r="DH71" s="81">
        <v>1552</v>
      </c>
      <c r="DI71" s="81">
        <v>1567</v>
      </c>
      <c r="DJ71" s="81">
        <v>1475</v>
      </c>
      <c r="DK71" s="81">
        <v>1540</v>
      </c>
      <c r="DL71" s="81">
        <v>1435</v>
      </c>
      <c r="DM71" s="81">
        <v>1394</v>
      </c>
      <c r="DN71" s="81">
        <v>1403</v>
      </c>
      <c r="DO71" s="81">
        <v>1340</v>
      </c>
      <c r="DP71" s="81">
        <v>1345</v>
      </c>
      <c r="DQ71" s="81">
        <v>1233</v>
      </c>
      <c r="DR71" s="81">
        <v>1160</v>
      </c>
      <c r="DS71" s="81">
        <v>1019</v>
      </c>
      <c r="DT71" s="81">
        <v>936</v>
      </c>
      <c r="DU71" s="81">
        <v>1101</v>
      </c>
      <c r="DV71" s="81">
        <v>1200</v>
      </c>
      <c r="DW71" s="81">
        <v>1349</v>
      </c>
      <c r="DX71" s="81">
        <v>1391</v>
      </c>
      <c r="DY71" s="81">
        <v>1367</v>
      </c>
      <c r="DZ71" s="81">
        <v>1404</v>
      </c>
      <c r="EA71" s="81">
        <v>1369</v>
      </c>
      <c r="EB71" s="81">
        <v>1504</v>
      </c>
      <c r="EC71" s="81">
        <v>1654</v>
      </c>
      <c r="ED71" s="81">
        <v>1667</v>
      </c>
      <c r="EE71" s="81">
        <v>1474</v>
      </c>
      <c r="EF71" s="81">
        <v>1666</v>
      </c>
      <c r="EG71" s="81">
        <v>1713</v>
      </c>
      <c r="EH71" s="81">
        <v>1627</v>
      </c>
      <c r="EI71" s="81">
        <v>1559</v>
      </c>
      <c r="EJ71" s="81">
        <v>1462</v>
      </c>
      <c r="EK71" s="81">
        <v>1547</v>
      </c>
      <c r="EL71" s="81">
        <v>1469</v>
      </c>
      <c r="EM71" s="81">
        <v>1609</v>
      </c>
      <c r="EN71" s="81">
        <v>1570</v>
      </c>
      <c r="EO71" s="81">
        <v>1407</v>
      </c>
      <c r="EP71" s="81">
        <v>1322</v>
      </c>
      <c r="EQ71" s="81">
        <v>1326</v>
      </c>
      <c r="ER71" s="81">
        <v>1343</v>
      </c>
      <c r="ES71" s="81">
        <v>1418</v>
      </c>
      <c r="ET71" s="81">
        <v>1339</v>
      </c>
      <c r="EU71" s="81">
        <v>1386</v>
      </c>
      <c r="EV71" s="81">
        <v>1515</v>
      </c>
      <c r="EW71" s="81">
        <v>1537</v>
      </c>
      <c r="EX71" s="81">
        <v>1527</v>
      </c>
      <c r="EY71" s="81">
        <v>1568</v>
      </c>
      <c r="EZ71" s="81">
        <v>1555</v>
      </c>
      <c r="FA71" s="81">
        <v>1614</v>
      </c>
      <c r="FB71" s="81">
        <v>1536</v>
      </c>
      <c r="FC71" s="81">
        <v>1447</v>
      </c>
      <c r="FD71" s="81">
        <v>1455</v>
      </c>
      <c r="FE71" s="81">
        <v>1504</v>
      </c>
      <c r="FF71" s="81">
        <v>1452</v>
      </c>
      <c r="FG71" s="81">
        <v>1417</v>
      </c>
      <c r="FH71" s="81">
        <v>1369</v>
      </c>
      <c r="FI71" s="81">
        <v>1334</v>
      </c>
      <c r="FJ71" s="81">
        <v>1282</v>
      </c>
      <c r="FK71" s="81">
        <v>1255</v>
      </c>
      <c r="FL71" s="81">
        <v>1191</v>
      </c>
      <c r="FM71" s="81">
        <v>1144</v>
      </c>
      <c r="FN71" s="81">
        <v>1115</v>
      </c>
      <c r="FO71" s="81">
        <v>1093</v>
      </c>
      <c r="FP71" s="81">
        <v>1039</v>
      </c>
      <c r="FQ71" s="81">
        <v>1049</v>
      </c>
      <c r="FR71" s="81">
        <v>1052</v>
      </c>
      <c r="FS71" s="81">
        <v>1053</v>
      </c>
      <c r="FT71" s="81">
        <v>1065</v>
      </c>
      <c r="FU71" s="81">
        <v>1198</v>
      </c>
      <c r="FV71" s="81">
        <v>851</v>
      </c>
      <c r="FW71" s="81">
        <v>846</v>
      </c>
      <c r="FX71" s="81">
        <v>742</v>
      </c>
      <c r="FY71" s="81">
        <v>764</v>
      </c>
      <c r="FZ71" s="81">
        <v>711</v>
      </c>
      <c r="GA71" s="81">
        <v>646</v>
      </c>
      <c r="GB71" s="81">
        <v>631</v>
      </c>
      <c r="GC71" s="81">
        <v>573</v>
      </c>
      <c r="GD71" s="81">
        <v>511</v>
      </c>
      <c r="GE71" s="81">
        <v>483</v>
      </c>
      <c r="GF71" s="81">
        <v>461</v>
      </c>
      <c r="GG71" s="81">
        <v>437</v>
      </c>
      <c r="GH71" s="81">
        <v>364</v>
      </c>
      <c r="GI71" s="81">
        <v>358</v>
      </c>
      <c r="GJ71" s="81">
        <v>326</v>
      </c>
      <c r="GK71" s="81">
        <v>265</v>
      </c>
      <c r="GL71" s="82">
        <v>1079</v>
      </c>
    </row>
    <row r="72" spans="1:194" s="1" customFormat="1" hidden="1" x14ac:dyDescent="0.2">
      <c r="A72" s="83" t="s">
        <v>220</v>
      </c>
      <c r="B72" s="262" t="s">
        <v>282</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0">
        <v>1613</v>
      </c>
      <c r="N72" s="80">
        <v>1655</v>
      </c>
      <c r="O72" s="80">
        <v>1647</v>
      </c>
      <c r="P72" s="80">
        <v>1839</v>
      </c>
      <c r="Q72" s="80">
        <v>1823</v>
      </c>
      <c r="R72" s="80">
        <v>1677</v>
      </c>
      <c r="S72" s="80">
        <v>1726</v>
      </c>
      <c r="T72" s="80">
        <v>1807</v>
      </c>
      <c r="U72" s="80">
        <v>1827</v>
      </c>
      <c r="V72" s="80">
        <v>1758</v>
      </c>
      <c r="W72" s="80">
        <v>1606</v>
      </c>
      <c r="X72" s="80">
        <v>1727</v>
      </c>
      <c r="Y72" s="80">
        <v>1684</v>
      </c>
      <c r="Z72" s="80">
        <v>1619</v>
      </c>
      <c r="AA72" s="80">
        <v>1521</v>
      </c>
      <c r="AB72" s="80">
        <v>1402</v>
      </c>
      <c r="AC72" s="80">
        <v>1460</v>
      </c>
      <c r="AD72" s="80">
        <v>1283</v>
      </c>
      <c r="AE72" s="80">
        <v>1473</v>
      </c>
      <c r="AF72" s="80">
        <v>1758</v>
      </c>
      <c r="AG72" s="80">
        <v>1933</v>
      </c>
      <c r="AH72" s="80">
        <v>2145</v>
      </c>
      <c r="AI72" s="80">
        <v>2291</v>
      </c>
      <c r="AJ72" s="80">
        <v>2143</v>
      </c>
      <c r="AK72" s="80">
        <v>1929</v>
      </c>
      <c r="AL72" s="80">
        <v>1749</v>
      </c>
      <c r="AM72" s="80">
        <v>2130</v>
      </c>
      <c r="AN72" s="80">
        <v>2120</v>
      </c>
      <c r="AO72" s="80">
        <v>2182</v>
      </c>
      <c r="AP72" s="80">
        <v>2641</v>
      </c>
      <c r="AQ72" s="80">
        <v>2389</v>
      </c>
      <c r="AR72" s="80">
        <v>2248</v>
      </c>
      <c r="AS72" s="80">
        <v>2115</v>
      </c>
      <c r="AT72" s="80">
        <v>1968</v>
      </c>
      <c r="AU72" s="80">
        <v>2022</v>
      </c>
      <c r="AV72" s="80">
        <v>2004</v>
      </c>
      <c r="AW72" s="80">
        <v>1741</v>
      </c>
      <c r="AX72" s="80">
        <v>1676</v>
      </c>
      <c r="AY72" s="80">
        <v>1692</v>
      </c>
      <c r="AZ72" s="80">
        <v>1679</v>
      </c>
      <c r="BA72" s="80">
        <v>1630</v>
      </c>
      <c r="BB72" s="80">
        <v>1577</v>
      </c>
      <c r="BC72" s="80">
        <v>1360</v>
      </c>
      <c r="BD72" s="80">
        <v>1487</v>
      </c>
      <c r="BE72" s="80">
        <v>1490</v>
      </c>
      <c r="BF72" s="80">
        <v>1464</v>
      </c>
      <c r="BG72" s="80">
        <v>1483</v>
      </c>
      <c r="BH72" s="80">
        <v>1637</v>
      </c>
      <c r="BI72" s="80">
        <v>1666</v>
      </c>
      <c r="BJ72" s="80">
        <v>1622</v>
      </c>
      <c r="BK72" s="80">
        <v>1545</v>
      </c>
      <c r="BL72" s="80">
        <v>1555</v>
      </c>
      <c r="BM72" s="80">
        <v>1597</v>
      </c>
      <c r="BN72" s="80">
        <v>1725</v>
      </c>
      <c r="BO72" s="80">
        <v>1659</v>
      </c>
      <c r="BP72" s="80">
        <v>1680</v>
      </c>
      <c r="BQ72" s="80">
        <v>1609</v>
      </c>
      <c r="BR72" s="80">
        <v>1646</v>
      </c>
      <c r="BS72" s="80">
        <v>1610</v>
      </c>
      <c r="BT72" s="80">
        <v>1583</v>
      </c>
      <c r="BU72" s="80">
        <v>1461</v>
      </c>
      <c r="BV72" s="80">
        <v>1415</v>
      </c>
      <c r="BW72" s="80">
        <v>1369</v>
      </c>
      <c r="BX72" s="80">
        <v>1337</v>
      </c>
      <c r="BY72" s="80">
        <v>1253</v>
      </c>
      <c r="BZ72" s="80">
        <v>1184</v>
      </c>
      <c r="CA72" s="80">
        <v>1192</v>
      </c>
      <c r="CB72" s="80">
        <v>1192</v>
      </c>
      <c r="CC72" s="80">
        <v>1100</v>
      </c>
      <c r="CD72" s="80">
        <v>1113</v>
      </c>
      <c r="CE72" s="80">
        <v>1016</v>
      </c>
      <c r="CF72" s="80">
        <v>1061</v>
      </c>
      <c r="CG72" s="80">
        <v>1209</v>
      </c>
      <c r="CH72" s="80">
        <v>1189</v>
      </c>
      <c r="CI72" s="80">
        <v>853</v>
      </c>
      <c r="CJ72" s="80">
        <v>771</v>
      </c>
      <c r="CK72" s="80">
        <v>700</v>
      </c>
      <c r="CL72" s="80">
        <v>667</v>
      </c>
      <c r="CM72" s="80">
        <v>538</v>
      </c>
      <c r="CN72" s="80">
        <v>476</v>
      </c>
      <c r="CO72" s="80">
        <v>527</v>
      </c>
      <c r="CP72" s="80">
        <v>526</v>
      </c>
      <c r="CQ72" s="80">
        <v>477</v>
      </c>
      <c r="CR72" s="80">
        <v>465</v>
      </c>
      <c r="CS72" s="80">
        <v>378</v>
      </c>
      <c r="CT72" s="80">
        <v>335</v>
      </c>
      <c r="CU72" s="80">
        <v>294</v>
      </c>
      <c r="CV72" s="80">
        <v>226</v>
      </c>
      <c r="CW72" s="80">
        <v>189</v>
      </c>
      <c r="CX72" s="80">
        <v>171</v>
      </c>
      <c r="CY72" s="80">
        <v>480</v>
      </c>
      <c r="CZ72" s="81">
        <v>1547</v>
      </c>
      <c r="DA72" s="81">
        <v>1571</v>
      </c>
      <c r="DB72" s="81">
        <v>1625</v>
      </c>
      <c r="DC72" s="81">
        <v>1614</v>
      </c>
      <c r="DD72" s="81">
        <v>1641</v>
      </c>
      <c r="DE72" s="81">
        <v>1676</v>
      </c>
      <c r="DF72" s="81">
        <v>1697</v>
      </c>
      <c r="DG72" s="81">
        <v>1717</v>
      </c>
      <c r="DH72" s="81">
        <v>1724</v>
      </c>
      <c r="DI72" s="81">
        <v>1561</v>
      </c>
      <c r="DJ72" s="81">
        <v>1654</v>
      </c>
      <c r="DK72" s="81">
        <v>1545</v>
      </c>
      <c r="DL72" s="81">
        <v>1521</v>
      </c>
      <c r="DM72" s="81">
        <v>1438</v>
      </c>
      <c r="DN72" s="81">
        <v>1491</v>
      </c>
      <c r="DO72" s="81">
        <v>1281</v>
      </c>
      <c r="DP72" s="81">
        <v>1369</v>
      </c>
      <c r="DQ72" s="81">
        <v>1239</v>
      </c>
      <c r="DR72" s="81">
        <v>1348</v>
      </c>
      <c r="DS72" s="81">
        <v>1673</v>
      </c>
      <c r="DT72" s="81">
        <v>1687</v>
      </c>
      <c r="DU72" s="81">
        <v>1916</v>
      </c>
      <c r="DV72" s="81">
        <v>2015</v>
      </c>
      <c r="DW72" s="81">
        <v>2074</v>
      </c>
      <c r="DX72" s="81">
        <v>2002</v>
      </c>
      <c r="DY72" s="81">
        <v>1851</v>
      </c>
      <c r="DZ72" s="81">
        <v>1977</v>
      </c>
      <c r="EA72" s="81">
        <v>2048</v>
      </c>
      <c r="EB72" s="81">
        <v>2173</v>
      </c>
      <c r="EC72" s="81">
        <v>2391</v>
      </c>
      <c r="ED72" s="81">
        <v>2148</v>
      </c>
      <c r="EE72" s="81">
        <v>1987</v>
      </c>
      <c r="EF72" s="81">
        <v>2103</v>
      </c>
      <c r="EG72" s="81">
        <v>1926</v>
      </c>
      <c r="EH72" s="81">
        <v>1901</v>
      </c>
      <c r="EI72" s="81">
        <v>1908</v>
      </c>
      <c r="EJ72" s="81">
        <v>1707</v>
      </c>
      <c r="EK72" s="81">
        <v>1717</v>
      </c>
      <c r="EL72" s="81">
        <v>1684</v>
      </c>
      <c r="EM72" s="81">
        <v>1627</v>
      </c>
      <c r="EN72" s="81">
        <v>1561</v>
      </c>
      <c r="EO72" s="81">
        <v>1390</v>
      </c>
      <c r="EP72" s="81">
        <v>1315</v>
      </c>
      <c r="EQ72" s="81">
        <v>1228</v>
      </c>
      <c r="ER72" s="81">
        <v>1370</v>
      </c>
      <c r="ES72" s="81">
        <v>1415</v>
      </c>
      <c r="ET72" s="81">
        <v>1485</v>
      </c>
      <c r="EU72" s="81">
        <v>1558</v>
      </c>
      <c r="EV72" s="81">
        <v>1519</v>
      </c>
      <c r="EW72" s="81">
        <v>1592</v>
      </c>
      <c r="EX72" s="81">
        <v>1512</v>
      </c>
      <c r="EY72" s="81">
        <v>1629</v>
      </c>
      <c r="EZ72" s="81">
        <v>1613</v>
      </c>
      <c r="FA72" s="81">
        <v>1630</v>
      </c>
      <c r="FB72" s="81">
        <v>1584</v>
      </c>
      <c r="FC72" s="81">
        <v>1651</v>
      </c>
      <c r="FD72" s="81">
        <v>1674</v>
      </c>
      <c r="FE72" s="81">
        <v>1645</v>
      </c>
      <c r="FF72" s="81">
        <v>1706</v>
      </c>
      <c r="FG72" s="81">
        <v>1560</v>
      </c>
      <c r="FH72" s="81">
        <v>1552</v>
      </c>
      <c r="FI72" s="81">
        <v>1380</v>
      </c>
      <c r="FJ72" s="81">
        <v>1487</v>
      </c>
      <c r="FK72" s="81">
        <v>1408</v>
      </c>
      <c r="FL72" s="81">
        <v>1289</v>
      </c>
      <c r="FM72" s="81">
        <v>1157</v>
      </c>
      <c r="FN72" s="81">
        <v>1206</v>
      </c>
      <c r="FO72" s="81">
        <v>1191</v>
      </c>
      <c r="FP72" s="81">
        <v>1155</v>
      </c>
      <c r="FQ72" s="81">
        <v>1118</v>
      </c>
      <c r="FR72" s="81">
        <v>1070</v>
      </c>
      <c r="FS72" s="81">
        <v>1146</v>
      </c>
      <c r="FT72" s="81">
        <v>1183</v>
      </c>
      <c r="FU72" s="81">
        <v>1283</v>
      </c>
      <c r="FV72" s="81">
        <v>924</v>
      </c>
      <c r="FW72" s="81">
        <v>796</v>
      </c>
      <c r="FX72" s="81">
        <v>800</v>
      </c>
      <c r="FY72" s="81">
        <v>805</v>
      </c>
      <c r="FZ72" s="81">
        <v>675</v>
      </c>
      <c r="GA72" s="81">
        <v>659</v>
      </c>
      <c r="GB72" s="81">
        <v>662</v>
      </c>
      <c r="GC72" s="81">
        <v>660</v>
      </c>
      <c r="GD72" s="81">
        <v>590</v>
      </c>
      <c r="GE72" s="81">
        <v>578</v>
      </c>
      <c r="GF72" s="81">
        <v>542</v>
      </c>
      <c r="GG72" s="81">
        <v>481</v>
      </c>
      <c r="GH72" s="81">
        <v>400</v>
      </c>
      <c r="GI72" s="81">
        <v>379</v>
      </c>
      <c r="GJ72" s="81">
        <v>362</v>
      </c>
      <c r="GK72" s="81">
        <v>277</v>
      </c>
      <c r="GL72" s="82">
        <v>1009</v>
      </c>
    </row>
    <row r="73" spans="1:194" s="1" customFormat="1" hidden="1" x14ac:dyDescent="0.2">
      <c r="A73" s="83" t="s">
        <v>220</v>
      </c>
      <c r="B73" s="262" t="s">
        <v>283</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0">
        <v>1969</v>
      </c>
      <c r="N73" s="80">
        <v>1992</v>
      </c>
      <c r="O73" s="80">
        <v>2097</v>
      </c>
      <c r="P73" s="80">
        <v>2180</v>
      </c>
      <c r="Q73" s="80">
        <v>2340</v>
      </c>
      <c r="R73" s="80">
        <v>2359</v>
      </c>
      <c r="S73" s="80">
        <v>2354</v>
      </c>
      <c r="T73" s="80">
        <v>2340</v>
      </c>
      <c r="U73" s="80">
        <v>2437</v>
      </c>
      <c r="V73" s="80">
        <v>2572</v>
      </c>
      <c r="W73" s="80">
        <v>2520</v>
      </c>
      <c r="X73" s="80">
        <v>2529</v>
      </c>
      <c r="Y73" s="80">
        <v>2571</v>
      </c>
      <c r="Z73" s="80">
        <v>2557</v>
      </c>
      <c r="AA73" s="80">
        <v>2453</v>
      </c>
      <c r="AB73" s="80">
        <v>2435</v>
      </c>
      <c r="AC73" s="80">
        <v>2557</v>
      </c>
      <c r="AD73" s="80">
        <v>2254</v>
      </c>
      <c r="AE73" s="80">
        <v>2223</v>
      </c>
      <c r="AF73" s="80">
        <v>1859</v>
      </c>
      <c r="AG73" s="80">
        <v>1806</v>
      </c>
      <c r="AH73" s="80">
        <v>1956</v>
      </c>
      <c r="AI73" s="80">
        <v>1986</v>
      </c>
      <c r="AJ73" s="80">
        <v>2280</v>
      </c>
      <c r="AK73" s="80">
        <v>2302</v>
      </c>
      <c r="AL73" s="80">
        <v>2251</v>
      </c>
      <c r="AM73" s="80">
        <v>2233</v>
      </c>
      <c r="AN73" s="80">
        <v>2255</v>
      </c>
      <c r="AO73" s="80">
        <v>2328</v>
      </c>
      <c r="AP73" s="80">
        <v>2313</v>
      </c>
      <c r="AQ73" s="80">
        <v>2232</v>
      </c>
      <c r="AR73" s="80">
        <v>2164</v>
      </c>
      <c r="AS73" s="80">
        <v>2410</v>
      </c>
      <c r="AT73" s="80">
        <v>2376</v>
      </c>
      <c r="AU73" s="80">
        <v>2316</v>
      </c>
      <c r="AV73" s="80">
        <v>2412</v>
      </c>
      <c r="AW73" s="80">
        <v>2274</v>
      </c>
      <c r="AX73" s="80">
        <v>2348</v>
      </c>
      <c r="AY73" s="80">
        <v>2494</v>
      </c>
      <c r="AZ73" s="80">
        <v>2394</v>
      </c>
      <c r="BA73" s="80">
        <v>2375</v>
      </c>
      <c r="BB73" s="80">
        <v>2251</v>
      </c>
      <c r="BC73" s="80">
        <v>2125</v>
      </c>
      <c r="BD73" s="80">
        <v>2193</v>
      </c>
      <c r="BE73" s="80">
        <v>2262</v>
      </c>
      <c r="BF73" s="80">
        <v>2410</v>
      </c>
      <c r="BG73" s="80">
        <v>2436</v>
      </c>
      <c r="BH73" s="80">
        <v>2735</v>
      </c>
      <c r="BI73" s="80">
        <v>2677</v>
      </c>
      <c r="BJ73" s="80">
        <v>2830</v>
      </c>
      <c r="BK73" s="80">
        <v>2919</v>
      </c>
      <c r="BL73" s="80">
        <v>2870</v>
      </c>
      <c r="BM73" s="80">
        <v>2864</v>
      </c>
      <c r="BN73" s="80">
        <v>3053</v>
      </c>
      <c r="BO73" s="80">
        <v>3007</v>
      </c>
      <c r="BP73" s="80">
        <v>3083</v>
      </c>
      <c r="BQ73" s="80">
        <v>2958</v>
      </c>
      <c r="BR73" s="80">
        <v>2942</v>
      </c>
      <c r="BS73" s="80">
        <v>2914</v>
      </c>
      <c r="BT73" s="80">
        <v>2835</v>
      </c>
      <c r="BU73" s="80">
        <v>2687</v>
      </c>
      <c r="BV73" s="80">
        <v>2696</v>
      </c>
      <c r="BW73" s="80">
        <v>2687</v>
      </c>
      <c r="BX73" s="80">
        <v>2678</v>
      </c>
      <c r="BY73" s="80">
        <v>2416</v>
      </c>
      <c r="BZ73" s="80">
        <v>2390</v>
      </c>
      <c r="CA73" s="80">
        <v>2529</v>
      </c>
      <c r="CB73" s="80">
        <v>2475</v>
      </c>
      <c r="CC73" s="80">
        <v>2317</v>
      </c>
      <c r="CD73" s="80">
        <v>2381</v>
      </c>
      <c r="CE73" s="80">
        <v>2462</v>
      </c>
      <c r="CF73" s="80">
        <v>2535</v>
      </c>
      <c r="CG73" s="80">
        <v>2703</v>
      </c>
      <c r="CH73" s="80">
        <v>2892</v>
      </c>
      <c r="CI73" s="80">
        <v>2148</v>
      </c>
      <c r="CJ73" s="80">
        <v>2074</v>
      </c>
      <c r="CK73" s="80">
        <v>2009</v>
      </c>
      <c r="CL73" s="80">
        <v>1751</v>
      </c>
      <c r="CM73" s="80">
        <v>1623</v>
      </c>
      <c r="CN73" s="80">
        <v>1328</v>
      </c>
      <c r="CO73" s="80">
        <v>1395</v>
      </c>
      <c r="CP73" s="80">
        <v>1302</v>
      </c>
      <c r="CQ73" s="80">
        <v>1232</v>
      </c>
      <c r="CR73" s="80">
        <v>1088</v>
      </c>
      <c r="CS73" s="80">
        <v>1000</v>
      </c>
      <c r="CT73" s="80">
        <v>956</v>
      </c>
      <c r="CU73" s="80">
        <v>759</v>
      </c>
      <c r="CV73" s="80">
        <v>687</v>
      </c>
      <c r="CW73" s="80">
        <v>546</v>
      </c>
      <c r="CX73" s="80">
        <v>484</v>
      </c>
      <c r="CY73" s="80">
        <v>1799</v>
      </c>
      <c r="CZ73" s="81">
        <v>1861</v>
      </c>
      <c r="DA73" s="81">
        <v>1932</v>
      </c>
      <c r="DB73" s="81">
        <v>2100</v>
      </c>
      <c r="DC73" s="81">
        <v>2048</v>
      </c>
      <c r="DD73" s="81">
        <v>2281</v>
      </c>
      <c r="DE73" s="81">
        <v>2171</v>
      </c>
      <c r="DF73" s="81">
        <v>2257</v>
      </c>
      <c r="DG73" s="81">
        <v>2247</v>
      </c>
      <c r="DH73" s="81">
        <v>2321</v>
      </c>
      <c r="DI73" s="81">
        <v>2386</v>
      </c>
      <c r="DJ73" s="81">
        <v>2556</v>
      </c>
      <c r="DK73" s="81">
        <v>2364</v>
      </c>
      <c r="DL73" s="81">
        <v>2418</v>
      </c>
      <c r="DM73" s="81">
        <v>2358</v>
      </c>
      <c r="DN73" s="81">
        <v>2417</v>
      </c>
      <c r="DO73" s="81">
        <v>2319</v>
      </c>
      <c r="DP73" s="81">
        <v>2327</v>
      </c>
      <c r="DQ73" s="81">
        <v>2193</v>
      </c>
      <c r="DR73" s="81">
        <v>2018</v>
      </c>
      <c r="DS73" s="81">
        <v>1605</v>
      </c>
      <c r="DT73" s="81">
        <v>1621</v>
      </c>
      <c r="DU73" s="81">
        <v>1620</v>
      </c>
      <c r="DV73" s="81">
        <v>1785</v>
      </c>
      <c r="DW73" s="81">
        <v>2070</v>
      </c>
      <c r="DX73" s="81">
        <v>1909</v>
      </c>
      <c r="DY73" s="81">
        <v>2100</v>
      </c>
      <c r="DZ73" s="81">
        <v>2087</v>
      </c>
      <c r="EA73" s="81">
        <v>2063</v>
      </c>
      <c r="EB73" s="81">
        <v>2233</v>
      </c>
      <c r="EC73" s="81">
        <v>2344</v>
      </c>
      <c r="ED73" s="81">
        <v>2389</v>
      </c>
      <c r="EE73" s="81">
        <v>2427</v>
      </c>
      <c r="EF73" s="81">
        <v>2437</v>
      </c>
      <c r="EG73" s="81">
        <v>2432</v>
      </c>
      <c r="EH73" s="81">
        <v>2402</v>
      </c>
      <c r="EI73" s="81">
        <v>2378</v>
      </c>
      <c r="EJ73" s="81">
        <v>2240</v>
      </c>
      <c r="EK73" s="81">
        <v>2282</v>
      </c>
      <c r="EL73" s="81">
        <v>2409</v>
      </c>
      <c r="EM73" s="81">
        <v>2471</v>
      </c>
      <c r="EN73" s="81">
        <v>2637</v>
      </c>
      <c r="EO73" s="81">
        <v>2459</v>
      </c>
      <c r="EP73" s="81">
        <v>2278</v>
      </c>
      <c r="EQ73" s="81">
        <v>2209</v>
      </c>
      <c r="ER73" s="81">
        <v>2223</v>
      </c>
      <c r="ES73" s="81">
        <v>2436</v>
      </c>
      <c r="ET73" s="81">
        <v>2584</v>
      </c>
      <c r="EU73" s="81">
        <v>2622</v>
      </c>
      <c r="EV73" s="81">
        <v>2829</v>
      </c>
      <c r="EW73" s="81">
        <v>2963</v>
      </c>
      <c r="EX73" s="81">
        <v>2880</v>
      </c>
      <c r="EY73" s="81">
        <v>3042</v>
      </c>
      <c r="EZ73" s="81">
        <v>2959</v>
      </c>
      <c r="FA73" s="81">
        <v>2989</v>
      </c>
      <c r="FB73" s="81">
        <v>3085</v>
      </c>
      <c r="FC73" s="81">
        <v>3177</v>
      </c>
      <c r="FD73" s="81">
        <v>3228</v>
      </c>
      <c r="FE73" s="81">
        <v>3044</v>
      </c>
      <c r="FF73" s="81">
        <v>2845</v>
      </c>
      <c r="FG73" s="81">
        <v>3010</v>
      </c>
      <c r="FH73" s="81">
        <v>2762</v>
      </c>
      <c r="FI73" s="81">
        <v>2833</v>
      </c>
      <c r="FJ73" s="81">
        <v>2725</v>
      </c>
      <c r="FK73" s="81">
        <v>2775</v>
      </c>
      <c r="FL73" s="81">
        <v>2638</v>
      </c>
      <c r="FM73" s="81">
        <v>2653</v>
      </c>
      <c r="FN73" s="81">
        <v>2604</v>
      </c>
      <c r="FO73" s="81">
        <v>2513</v>
      </c>
      <c r="FP73" s="81">
        <v>2606</v>
      </c>
      <c r="FQ73" s="81">
        <v>2600</v>
      </c>
      <c r="FR73" s="81">
        <v>2677</v>
      </c>
      <c r="FS73" s="81">
        <v>2618</v>
      </c>
      <c r="FT73" s="81">
        <v>2722</v>
      </c>
      <c r="FU73" s="81">
        <v>3213</v>
      </c>
      <c r="FV73" s="81">
        <v>2316</v>
      </c>
      <c r="FW73" s="81">
        <v>2187</v>
      </c>
      <c r="FX73" s="81">
        <v>2125</v>
      </c>
      <c r="FY73" s="81">
        <v>1928</v>
      </c>
      <c r="FZ73" s="81">
        <v>1782</v>
      </c>
      <c r="GA73" s="81">
        <v>1508</v>
      </c>
      <c r="GB73" s="81">
        <v>1488</v>
      </c>
      <c r="GC73" s="81">
        <v>1553</v>
      </c>
      <c r="GD73" s="81">
        <v>1456</v>
      </c>
      <c r="GE73" s="81">
        <v>1341</v>
      </c>
      <c r="GF73" s="81">
        <v>1237</v>
      </c>
      <c r="GG73" s="81">
        <v>1214</v>
      </c>
      <c r="GH73" s="81">
        <v>1043</v>
      </c>
      <c r="GI73" s="81">
        <v>948</v>
      </c>
      <c r="GJ73" s="81">
        <v>872</v>
      </c>
      <c r="GK73" s="81">
        <v>818</v>
      </c>
      <c r="GL73" s="82">
        <v>3440</v>
      </c>
    </row>
    <row r="74" spans="1:194" s="1" customFormat="1" hidden="1" x14ac:dyDescent="0.2">
      <c r="A74" s="83" t="s">
        <v>220</v>
      </c>
      <c r="B74" s="262" t="s">
        <v>284</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0">
        <v>10147</v>
      </c>
      <c r="N74" s="80">
        <v>10712</v>
      </c>
      <c r="O74" s="80">
        <v>11196</v>
      </c>
      <c r="P74" s="80">
        <v>11565</v>
      </c>
      <c r="Q74" s="80">
        <v>11760</v>
      </c>
      <c r="R74" s="80">
        <v>11851</v>
      </c>
      <c r="S74" s="80">
        <v>11986</v>
      </c>
      <c r="T74" s="80">
        <v>12214</v>
      </c>
      <c r="U74" s="80">
        <v>12791</v>
      </c>
      <c r="V74" s="80">
        <v>12712</v>
      </c>
      <c r="W74" s="80">
        <v>12440</v>
      </c>
      <c r="X74" s="80">
        <v>12372</v>
      </c>
      <c r="Y74" s="80">
        <v>12360</v>
      </c>
      <c r="Z74" s="80">
        <v>12233</v>
      </c>
      <c r="AA74" s="80">
        <v>11977</v>
      </c>
      <c r="AB74" s="80">
        <v>11371</v>
      </c>
      <c r="AC74" s="80">
        <v>11200</v>
      </c>
      <c r="AD74" s="80">
        <v>10838</v>
      </c>
      <c r="AE74" s="80">
        <v>10613</v>
      </c>
      <c r="AF74" s="80">
        <v>9703</v>
      </c>
      <c r="AG74" s="80">
        <v>9973</v>
      </c>
      <c r="AH74" s="80">
        <v>10560</v>
      </c>
      <c r="AI74" s="80">
        <v>10613</v>
      </c>
      <c r="AJ74" s="80">
        <v>10750</v>
      </c>
      <c r="AK74" s="80">
        <v>10808</v>
      </c>
      <c r="AL74" s="80">
        <v>10585</v>
      </c>
      <c r="AM74" s="80">
        <v>11298</v>
      </c>
      <c r="AN74" s="80">
        <v>10856</v>
      </c>
      <c r="AO74" s="80">
        <v>11586</v>
      </c>
      <c r="AP74" s="80">
        <v>11399</v>
      </c>
      <c r="AQ74" s="80">
        <v>11215</v>
      </c>
      <c r="AR74" s="80">
        <v>11208</v>
      </c>
      <c r="AS74" s="80">
        <v>11319</v>
      </c>
      <c r="AT74" s="80">
        <v>11214</v>
      </c>
      <c r="AU74" s="80">
        <v>11432</v>
      </c>
      <c r="AV74" s="80">
        <v>11239</v>
      </c>
      <c r="AW74" s="80">
        <v>10799</v>
      </c>
      <c r="AX74" s="80">
        <v>10863</v>
      </c>
      <c r="AY74" s="80">
        <v>11179</v>
      </c>
      <c r="AZ74" s="80">
        <v>11429</v>
      </c>
      <c r="BA74" s="80">
        <v>11547</v>
      </c>
      <c r="BB74" s="80">
        <v>11401</v>
      </c>
      <c r="BC74" s="80">
        <v>10555</v>
      </c>
      <c r="BD74" s="80">
        <v>10574</v>
      </c>
      <c r="BE74" s="80">
        <v>10588</v>
      </c>
      <c r="BF74" s="80">
        <v>11162</v>
      </c>
      <c r="BG74" s="80">
        <v>11424</v>
      </c>
      <c r="BH74" s="80">
        <v>11888</v>
      </c>
      <c r="BI74" s="80">
        <v>12564</v>
      </c>
      <c r="BJ74" s="80">
        <v>12989</v>
      </c>
      <c r="BK74" s="80">
        <v>12633</v>
      </c>
      <c r="BL74" s="80">
        <v>13124</v>
      </c>
      <c r="BM74" s="80">
        <v>13112</v>
      </c>
      <c r="BN74" s="80">
        <v>13521</v>
      </c>
      <c r="BO74" s="80">
        <v>13481</v>
      </c>
      <c r="BP74" s="80">
        <v>13409</v>
      </c>
      <c r="BQ74" s="80">
        <v>13098</v>
      </c>
      <c r="BR74" s="80">
        <v>12678</v>
      </c>
      <c r="BS74" s="80">
        <v>12517</v>
      </c>
      <c r="BT74" s="80">
        <v>11843</v>
      </c>
      <c r="BU74" s="80">
        <v>11069</v>
      </c>
      <c r="BV74" s="80">
        <v>11151</v>
      </c>
      <c r="BW74" s="80">
        <v>10658</v>
      </c>
      <c r="BX74" s="80">
        <v>10445</v>
      </c>
      <c r="BY74" s="80">
        <v>9813</v>
      </c>
      <c r="BZ74" s="80">
        <v>9539</v>
      </c>
      <c r="CA74" s="80">
        <v>9540</v>
      </c>
      <c r="CB74" s="80">
        <v>9315</v>
      </c>
      <c r="CC74" s="80">
        <v>8876</v>
      </c>
      <c r="CD74" s="80">
        <v>8985</v>
      </c>
      <c r="CE74" s="80">
        <v>9227</v>
      </c>
      <c r="CF74" s="80">
        <v>9541</v>
      </c>
      <c r="CG74" s="80">
        <v>10356</v>
      </c>
      <c r="CH74" s="80">
        <v>11229</v>
      </c>
      <c r="CI74" s="80">
        <v>8338</v>
      </c>
      <c r="CJ74" s="80">
        <v>7856</v>
      </c>
      <c r="CK74" s="80">
        <v>7657</v>
      </c>
      <c r="CL74" s="80">
        <v>6745</v>
      </c>
      <c r="CM74" s="80">
        <v>5909</v>
      </c>
      <c r="CN74" s="80">
        <v>5087</v>
      </c>
      <c r="CO74" s="80">
        <v>5160</v>
      </c>
      <c r="CP74" s="80">
        <v>4959</v>
      </c>
      <c r="CQ74" s="80">
        <v>4405</v>
      </c>
      <c r="CR74" s="80">
        <v>4032</v>
      </c>
      <c r="CS74" s="80">
        <v>3644</v>
      </c>
      <c r="CT74" s="80">
        <v>3218</v>
      </c>
      <c r="CU74" s="80">
        <v>2721</v>
      </c>
      <c r="CV74" s="80">
        <v>2448</v>
      </c>
      <c r="CW74" s="80">
        <v>2060</v>
      </c>
      <c r="CX74" s="80">
        <v>1768</v>
      </c>
      <c r="CY74" s="80">
        <v>5808</v>
      </c>
      <c r="CZ74" s="81">
        <v>9615</v>
      </c>
      <c r="DA74" s="81">
        <v>10001</v>
      </c>
      <c r="DB74" s="81">
        <v>10589</v>
      </c>
      <c r="DC74" s="81">
        <v>10983</v>
      </c>
      <c r="DD74" s="81">
        <v>11054</v>
      </c>
      <c r="DE74" s="81">
        <v>11362</v>
      </c>
      <c r="DF74" s="81">
        <v>11480</v>
      </c>
      <c r="DG74" s="81">
        <v>11505</v>
      </c>
      <c r="DH74" s="81">
        <v>11968</v>
      </c>
      <c r="DI74" s="81">
        <v>11758</v>
      </c>
      <c r="DJ74" s="81">
        <v>11960</v>
      </c>
      <c r="DK74" s="81">
        <v>11654</v>
      </c>
      <c r="DL74" s="81">
        <v>11828</v>
      </c>
      <c r="DM74" s="81">
        <v>11476</v>
      </c>
      <c r="DN74" s="81">
        <v>11276</v>
      </c>
      <c r="DO74" s="81">
        <v>10781</v>
      </c>
      <c r="DP74" s="81">
        <v>10604</v>
      </c>
      <c r="DQ74" s="81">
        <v>10393</v>
      </c>
      <c r="DR74" s="81">
        <v>9999</v>
      </c>
      <c r="DS74" s="81">
        <v>9133</v>
      </c>
      <c r="DT74" s="81">
        <v>9398</v>
      </c>
      <c r="DU74" s="81">
        <v>9972</v>
      </c>
      <c r="DV74" s="81">
        <v>10289</v>
      </c>
      <c r="DW74" s="81">
        <v>10361</v>
      </c>
      <c r="DX74" s="81">
        <v>9742</v>
      </c>
      <c r="DY74" s="81">
        <v>10157</v>
      </c>
      <c r="DZ74" s="81">
        <v>10834</v>
      </c>
      <c r="EA74" s="81">
        <v>10805</v>
      </c>
      <c r="EB74" s="81">
        <v>11648</v>
      </c>
      <c r="EC74" s="81">
        <v>11665</v>
      </c>
      <c r="ED74" s="81">
        <v>11523</v>
      </c>
      <c r="EE74" s="81">
        <v>11685</v>
      </c>
      <c r="EF74" s="81">
        <v>11790</v>
      </c>
      <c r="EG74" s="81">
        <v>11833</v>
      </c>
      <c r="EH74" s="81">
        <v>12048</v>
      </c>
      <c r="EI74" s="81">
        <v>11945</v>
      </c>
      <c r="EJ74" s="81">
        <v>12059</v>
      </c>
      <c r="EK74" s="81">
        <v>12149</v>
      </c>
      <c r="EL74" s="81">
        <v>12199</v>
      </c>
      <c r="EM74" s="81">
        <v>12431</v>
      </c>
      <c r="EN74" s="81">
        <v>12586</v>
      </c>
      <c r="EO74" s="81">
        <v>11956</v>
      </c>
      <c r="EP74" s="81">
        <v>11124</v>
      </c>
      <c r="EQ74" s="81">
        <v>11036</v>
      </c>
      <c r="ER74" s="81">
        <v>11157</v>
      </c>
      <c r="ES74" s="81">
        <v>11591</v>
      </c>
      <c r="ET74" s="81">
        <v>11839</v>
      </c>
      <c r="EU74" s="81">
        <v>12383</v>
      </c>
      <c r="EV74" s="81">
        <v>12731</v>
      </c>
      <c r="EW74" s="81">
        <v>13219</v>
      </c>
      <c r="EX74" s="81">
        <v>13240</v>
      </c>
      <c r="EY74" s="81">
        <v>13576</v>
      </c>
      <c r="EZ74" s="81">
        <v>13259</v>
      </c>
      <c r="FA74" s="81">
        <v>13600</v>
      </c>
      <c r="FB74" s="81">
        <v>13513</v>
      </c>
      <c r="FC74" s="81">
        <v>13657</v>
      </c>
      <c r="FD74" s="81">
        <v>13249</v>
      </c>
      <c r="FE74" s="81">
        <v>12987</v>
      </c>
      <c r="FF74" s="81">
        <v>12517</v>
      </c>
      <c r="FG74" s="81">
        <v>11992</v>
      </c>
      <c r="FH74" s="81">
        <v>11643</v>
      </c>
      <c r="FI74" s="81">
        <v>11437</v>
      </c>
      <c r="FJ74" s="81">
        <v>11134</v>
      </c>
      <c r="FK74" s="81">
        <v>10778</v>
      </c>
      <c r="FL74" s="81">
        <v>10385</v>
      </c>
      <c r="FM74" s="81">
        <v>9957</v>
      </c>
      <c r="FN74" s="81">
        <v>9928</v>
      </c>
      <c r="FO74" s="81">
        <v>9809</v>
      </c>
      <c r="FP74" s="81">
        <v>9638</v>
      </c>
      <c r="FQ74" s="81">
        <v>9817</v>
      </c>
      <c r="FR74" s="81">
        <v>10087</v>
      </c>
      <c r="FS74" s="81">
        <v>10546</v>
      </c>
      <c r="FT74" s="81">
        <v>11156</v>
      </c>
      <c r="FU74" s="81">
        <v>12407</v>
      </c>
      <c r="FV74" s="81">
        <v>9434</v>
      </c>
      <c r="FW74" s="81">
        <v>8608</v>
      </c>
      <c r="FX74" s="81">
        <v>8670</v>
      </c>
      <c r="FY74" s="81">
        <v>7970</v>
      </c>
      <c r="FZ74" s="81">
        <v>6915</v>
      </c>
      <c r="GA74" s="81">
        <v>5974</v>
      </c>
      <c r="GB74" s="81">
        <v>6189</v>
      </c>
      <c r="GC74" s="81">
        <v>6042</v>
      </c>
      <c r="GD74" s="81">
        <v>5609</v>
      </c>
      <c r="GE74" s="81">
        <v>5311</v>
      </c>
      <c r="GF74" s="81">
        <v>4841</v>
      </c>
      <c r="GG74" s="81">
        <v>4371</v>
      </c>
      <c r="GH74" s="81">
        <v>3946</v>
      </c>
      <c r="GI74" s="81">
        <v>3638</v>
      </c>
      <c r="GJ74" s="81">
        <v>3317</v>
      </c>
      <c r="GK74" s="81">
        <v>3010</v>
      </c>
      <c r="GL74" s="82">
        <v>12435</v>
      </c>
    </row>
    <row r="75" spans="1:194" s="1" customFormat="1" hidden="1" x14ac:dyDescent="0.2">
      <c r="A75" s="83" t="s">
        <v>220</v>
      </c>
      <c r="B75" s="262" t="s">
        <v>285</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0">
        <v>2494</v>
      </c>
      <c r="N75" s="80">
        <v>2605</v>
      </c>
      <c r="O75" s="80">
        <v>2890</v>
      </c>
      <c r="P75" s="80">
        <v>2953</v>
      </c>
      <c r="Q75" s="80">
        <v>3088</v>
      </c>
      <c r="R75" s="80">
        <v>3125</v>
      </c>
      <c r="S75" s="80">
        <v>3143</v>
      </c>
      <c r="T75" s="80">
        <v>3375</v>
      </c>
      <c r="U75" s="80">
        <v>3488</v>
      </c>
      <c r="V75" s="80">
        <v>3492</v>
      </c>
      <c r="W75" s="80">
        <v>3264</v>
      </c>
      <c r="X75" s="80">
        <v>3336</v>
      </c>
      <c r="Y75" s="80">
        <v>3222</v>
      </c>
      <c r="Z75" s="80">
        <v>3338</v>
      </c>
      <c r="AA75" s="80">
        <v>3194</v>
      </c>
      <c r="AB75" s="80">
        <v>3093</v>
      </c>
      <c r="AC75" s="80">
        <v>3047</v>
      </c>
      <c r="AD75" s="80">
        <v>3064</v>
      </c>
      <c r="AE75" s="80">
        <v>3063</v>
      </c>
      <c r="AF75" s="80">
        <v>3252</v>
      </c>
      <c r="AG75" s="80">
        <v>3042</v>
      </c>
      <c r="AH75" s="80">
        <v>3116</v>
      </c>
      <c r="AI75" s="80">
        <v>3185</v>
      </c>
      <c r="AJ75" s="80">
        <v>3056</v>
      </c>
      <c r="AK75" s="80">
        <v>3054</v>
      </c>
      <c r="AL75" s="80">
        <v>2835</v>
      </c>
      <c r="AM75" s="80">
        <v>2765</v>
      </c>
      <c r="AN75" s="80">
        <v>2735</v>
      </c>
      <c r="AO75" s="80">
        <v>2858</v>
      </c>
      <c r="AP75" s="80">
        <v>2854</v>
      </c>
      <c r="AQ75" s="80">
        <v>2787</v>
      </c>
      <c r="AR75" s="80">
        <v>2681</v>
      </c>
      <c r="AS75" s="80">
        <v>2813</v>
      </c>
      <c r="AT75" s="80">
        <v>2664</v>
      </c>
      <c r="AU75" s="80">
        <v>2817</v>
      </c>
      <c r="AV75" s="80">
        <v>2759</v>
      </c>
      <c r="AW75" s="80">
        <v>2743</v>
      </c>
      <c r="AX75" s="80">
        <v>2765</v>
      </c>
      <c r="AY75" s="80">
        <v>2838</v>
      </c>
      <c r="AZ75" s="80">
        <v>3199</v>
      </c>
      <c r="BA75" s="80">
        <v>3175</v>
      </c>
      <c r="BB75" s="80">
        <v>2886</v>
      </c>
      <c r="BC75" s="80">
        <v>2846</v>
      </c>
      <c r="BD75" s="80">
        <v>2887</v>
      </c>
      <c r="BE75" s="80">
        <v>2931</v>
      </c>
      <c r="BF75" s="80">
        <v>3024</v>
      </c>
      <c r="BG75" s="80">
        <v>3156</v>
      </c>
      <c r="BH75" s="80">
        <v>3473</v>
      </c>
      <c r="BI75" s="80">
        <v>3648</v>
      </c>
      <c r="BJ75" s="80">
        <v>3775</v>
      </c>
      <c r="BK75" s="80">
        <v>3719</v>
      </c>
      <c r="BL75" s="80">
        <v>3861</v>
      </c>
      <c r="BM75" s="80">
        <v>3837</v>
      </c>
      <c r="BN75" s="80">
        <v>4176</v>
      </c>
      <c r="BO75" s="80">
        <v>4193</v>
      </c>
      <c r="BP75" s="80">
        <v>4209</v>
      </c>
      <c r="BQ75" s="80">
        <v>4304</v>
      </c>
      <c r="BR75" s="80">
        <v>4227</v>
      </c>
      <c r="BS75" s="80">
        <v>4105</v>
      </c>
      <c r="BT75" s="80">
        <v>4158</v>
      </c>
      <c r="BU75" s="80">
        <v>3980</v>
      </c>
      <c r="BV75" s="80">
        <v>4000</v>
      </c>
      <c r="BW75" s="80">
        <v>3968</v>
      </c>
      <c r="BX75" s="80">
        <v>3874</v>
      </c>
      <c r="BY75" s="80">
        <v>3786</v>
      </c>
      <c r="BZ75" s="80">
        <v>3682</v>
      </c>
      <c r="CA75" s="80">
        <v>3679</v>
      </c>
      <c r="CB75" s="80">
        <v>3692</v>
      </c>
      <c r="CC75" s="80">
        <v>3594</v>
      </c>
      <c r="CD75" s="80">
        <v>3652</v>
      </c>
      <c r="CE75" s="80">
        <v>3770</v>
      </c>
      <c r="CF75" s="80">
        <v>3996</v>
      </c>
      <c r="CG75" s="80">
        <v>4106</v>
      </c>
      <c r="CH75" s="80">
        <v>4571</v>
      </c>
      <c r="CI75" s="80">
        <v>3504</v>
      </c>
      <c r="CJ75" s="80">
        <v>3264</v>
      </c>
      <c r="CK75" s="80">
        <v>3104</v>
      </c>
      <c r="CL75" s="80">
        <v>2863</v>
      </c>
      <c r="CM75" s="80">
        <v>2270</v>
      </c>
      <c r="CN75" s="80">
        <v>1956</v>
      </c>
      <c r="CO75" s="80">
        <v>2076</v>
      </c>
      <c r="CP75" s="80">
        <v>1921</v>
      </c>
      <c r="CQ75" s="80">
        <v>1706</v>
      </c>
      <c r="CR75" s="80">
        <v>1577</v>
      </c>
      <c r="CS75" s="80">
        <v>1329</v>
      </c>
      <c r="CT75" s="80">
        <v>1328</v>
      </c>
      <c r="CU75" s="80">
        <v>1000</v>
      </c>
      <c r="CV75" s="80">
        <v>927</v>
      </c>
      <c r="CW75" s="80">
        <v>768</v>
      </c>
      <c r="CX75" s="80">
        <v>707</v>
      </c>
      <c r="CY75" s="80">
        <v>2148</v>
      </c>
      <c r="CZ75" s="81">
        <v>2313</v>
      </c>
      <c r="DA75" s="81">
        <v>2471</v>
      </c>
      <c r="DB75" s="81">
        <v>2614</v>
      </c>
      <c r="DC75" s="81">
        <v>2662</v>
      </c>
      <c r="DD75" s="81">
        <v>2893</v>
      </c>
      <c r="DE75" s="81">
        <v>2987</v>
      </c>
      <c r="DF75" s="81">
        <v>3117</v>
      </c>
      <c r="DG75" s="81">
        <v>3204</v>
      </c>
      <c r="DH75" s="81">
        <v>3319</v>
      </c>
      <c r="DI75" s="81">
        <v>3224</v>
      </c>
      <c r="DJ75" s="81">
        <v>3133</v>
      </c>
      <c r="DK75" s="81">
        <v>3113</v>
      </c>
      <c r="DL75" s="81">
        <v>3150</v>
      </c>
      <c r="DM75" s="81">
        <v>3138</v>
      </c>
      <c r="DN75" s="81">
        <v>3103</v>
      </c>
      <c r="DO75" s="81">
        <v>2939</v>
      </c>
      <c r="DP75" s="81">
        <v>2957</v>
      </c>
      <c r="DQ75" s="81">
        <v>2745</v>
      </c>
      <c r="DR75" s="81">
        <v>2925</v>
      </c>
      <c r="DS75" s="81">
        <v>2754</v>
      </c>
      <c r="DT75" s="81">
        <v>2872</v>
      </c>
      <c r="DU75" s="81">
        <v>2956</v>
      </c>
      <c r="DV75" s="81">
        <v>2851</v>
      </c>
      <c r="DW75" s="81">
        <v>2877</v>
      </c>
      <c r="DX75" s="81">
        <v>2792</v>
      </c>
      <c r="DY75" s="81">
        <v>2665</v>
      </c>
      <c r="DZ75" s="81">
        <v>2734</v>
      </c>
      <c r="EA75" s="81">
        <v>2775</v>
      </c>
      <c r="EB75" s="81">
        <v>2851</v>
      </c>
      <c r="EC75" s="81">
        <v>2751</v>
      </c>
      <c r="ED75" s="81">
        <v>2767</v>
      </c>
      <c r="EE75" s="81">
        <v>2838</v>
      </c>
      <c r="EF75" s="81">
        <v>3122</v>
      </c>
      <c r="EG75" s="81">
        <v>2920</v>
      </c>
      <c r="EH75" s="81">
        <v>2841</v>
      </c>
      <c r="EI75" s="81">
        <v>3123</v>
      </c>
      <c r="EJ75" s="81">
        <v>3189</v>
      </c>
      <c r="EK75" s="81">
        <v>3079</v>
      </c>
      <c r="EL75" s="81">
        <v>3153</v>
      </c>
      <c r="EM75" s="81">
        <v>3330</v>
      </c>
      <c r="EN75" s="81">
        <v>3263</v>
      </c>
      <c r="EO75" s="81">
        <v>3254</v>
      </c>
      <c r="EP75" s="81">
        <v>3078</v>
      </c>
      <c r="EQ75" s="81">
        <v>3040</v>
      </c>
      <c r="ER75" s="81">
        <v>3221</v>
      </c>
      <c r="ES75" s="81">
        <v>3325</v>
      </c>
      <c r="ET75" s="81">
        <v>3594</v>
      </c>
      <c r="EU75" s="81">
        <v>3883</v>
      </c>
      <c r="EV75" s="81">
        <v>4018</v>
      </c>
      <c r="EW75" s="81">
        <v>4332</v>
      </c>
      <c r="EX75" s="81">
        <v>4171</v>
      </c>
      <c r="EY75" s="81">
        <v>4301</v>
      </c>
      <c r="EZ75" s="81">
        <v>4330</v>
      </c>
      <c r="FA75" s="81">
        <v>4536</v>
      </c>
      <c r="FB75" s="81">
        <v>4629</v>
      </c>
      <c r="FC75" s="81">
        <v>4398</v>
      </c>
      <c r="FD75" s="81">
        <v>4675</v>
      </c>
      <c r="FE75" s="81">
        <v>4520</v>
      </c>
      <c r="FF75" s="81">
        <v>4454</v>
      </c>
      <c r="FG75" s="81">
        <v>4290</v>
      </c>
      <c r="FH75" s="81">
        <v>4314</v>
      </c>
      <c r="FI75" s="81">
        <v>4292</v>
      </c>
      <c r="FJ75" s="81">
        <v>4274</v>
      </c>
      <c r="FK75" s="81">
        <v>4241</v>
      </c>
      <c r="FL75" s="81">
        <v>4098</v>
      </c>
      <c r="FM75" s="81">
        <v>3840</v>
      </c>
      <c r="FN75" s="81">
        <v>4039</v>
      </c>
      <c r="FO75" s="81">
        <v>3987</v>
      </c>
      <c r="FP75" s="81">
        <v>3908</v>
      </c>
      <c r="FQ75" s="81">
        <v>4032</v>
      </c>
      <c r="FR75" s="81">
        <v>4090</v>
      </c>
      <c r="FS75" s="81">
        <v>4281</v>
      </c>
      <c r="FT75" s="81">
        <v>4416</v>
      </c>
      <c r="FU75" s="81">
        <v>4853</v>
      </c>
      <c r="FV75" s="81">
        <v>3746</v>
      </c>
      <c r="FW75" s="81">
        <v>3591</v>
      </c>
      <c r="FX75" s="81">
        <v>3512</v>
      </c>
      <c r="FY75" s="81">
        <v>3125</v>
      </c>
      <c r="FZ75" s="81">
        <v>2760</v>
      </c>
      <c r="GA75" s="81">
        <v>2330</v>
      </c>
      <c r="GB75" s="81">
        <v>2232</v>
      </c>
      <c r="GC75" s="81">
        <v>2169</v>
      </c>
      <c r="GD75" s="81">
        <v>2055</v>
      </c>
      <c r="GE75" s="81">
        <v>2028</v>
      </c>
      <c r="GF75" s="81">
        <v>1822</v>
      </c>
      <c r="GG75" s="81">
        <v>1688</v>
      </c>
      <c r="GH75" s="81">
        <v>1452</v>
      </c>
      <c r="GI75" s="81">
        <v>1371</v>
      </c>
      <c r="GJ75" s="81">
        <v>1232</v>
      </c>
      <c r="GK75" s="81">
        <v>1098</v>
      </c>
      <c r="GL75" s="82">
        <v>4610</v>
      </c>
    </row>
    <row r="76" spans="1:194" s="1" customFormat="1" hidden="1" x14ac:dyDescent="0.2">
      <c r="A76" s="83" t="s">
        <v>220</v>
      </c>
      <c r="B76" s="262" t="s">
        <v>286</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0">
        <v>2488</v>
      </c>
      <c r="N76" s="80">
        <v>2537</v>
      </c>
      <c r="O76" s="80">
        <v>2623</v>
      </c>
      <c r="P76" s="80">
        <v>2800</v>
      </c>
      <c r="Q76" s="80">
        <v>2871</v>
      </c>
      <c r="R76" s="80">
        <v>2874</v>
      </c>
      <c r="S76" s="80">
        <v>3004</v>
      </c>
      <c r="T76" s="80">
        <v>2967</v>
      </c>
      <c r="U76" s="80">
        <v>2984</v>
      </c>
      <c r="V76" s="80">
        <v>3082</v>
      </c>
      <c r="W76" s="80">
        <v>2965</v>
      </c>
      <c r="X76" s="80">
        <v>3001</v>
      </c>
      <c r="Y76" s="80">
        <v>2928</v>
      </c>
      <c r="Z76" s="80">
        <v>2836</v>
      </c>
      <c r="AA76" s="80">
        <v>2915</v>
      </c>
      <c r="AB76" s="80">
        <v>2784</v>
      </c>
      <c r="AC76" s="80">
        <v>2764</v>
      </c>
      <c r="AD76" s="80">
        <v>2678</v>
      </c>
      <c r="AE76" s="80">
        <v>2641</v>
      </c>
      <c r="AF76" s="80">
        <v>2544</v>
      </c>
      <c r="AG76" s="80">
        <v>2510</v>
      </c>
      <c r="AH76" s="80">
        <v>2795</v>
      </c>
      <c r="AI76" s="80">
        <v>2754</v>
      </c>
      <c r="AJ76" s="80">
        <v>2711</v>
      </c>
      <c r="AK76" s="80">
        <v>2902</v>
      </c>
      <c r="AL76" s="80">
        <v>2711</v>
      </c>
      <c r="AM76" s="80">
        <v>2792</v>
      </c>
      <c r="AN76" s="80">
        <v>2796</v>
      </c>
      <c r="AO76" s="80">
        <v>2824</v>
      </c>
      <c r="AP76" s="80">
        <v>3093</v>
      </c>
      <c r="AQ76" s="80">
        <v>3046</v>
      </c>
      <c r="AR76" s="80">
        <v>2617</v>
      </c>
      <c r="AS76" s="80">
        <v>2828</v>
      </c>
      <c r="AT76" s="80">
        <v>2706</v>
      </c>
      <c r="AU76" s="80">
        <v>2859</v>
      </c>
      <c r="AV76" s="80">
        <v>2704</v>
      </c>
      <c r="AW76" s="80">
        <v>2837</v>
      </c>
      <c r="AX76" s="80">
        <v>2795</v>
      </c>
      <c r="AY76" s="80">
        <v>2830</v>
      </c>
      <c r="AZ76" s="80">
        <v>2824</v>
      </c>
      <c r="BA76" s="80">
        <v>2838</v>
      </c>
      <c r="BB76" s="80">
        <v>2851</v>
      </c>
      <c r="BC76" s="80">
        <v>2621</v>
      </c>
      <c r="BD76" s="80">
        <v>2585</v>
      </c>
      <c r="BE76" s="80">
        <v>2653</v>
      </c>
      <c r="BF76" s="80">
        <v>2658</v>
      </c>
      <c r="BG76" s="80">
        <v>2702</v>
      </c>
      <c r="BH76" s="80">
        <v>2877</v>
      </c>
      <c r="BI76" s="80">
        <v>3169</v>
      </c>
      <c r="BJ76" s="80">
        <v>3229</v>
      </c>
      <c r="BK76" s="80">
        <v>3209</v>
      </c>
      <c r="BL76" s="80">
        <v>3208</v>
      </c>
      <c r="BM76" s="80">
        <v>3228</v>
      </c>
      <c r="BN76" s="80">
        <v>3173</v>
      </c>
      <c r="BO76" s="80">
        <v>3047</v>
      </c>
      <c r="BP76" s="80">
        <v>2970</v>
      </c>
      <c r="BQ76" s="80">
        <v>2978</v>
      </c>
      <c r="BR76" s="80">
        <v>2831</v>
      </c>
      <c r="BS76" s="80">
        <v>2787</v>
      </c>
      <c r="BT76" s="80">
        <v>2735</v>
      </c>
      <c r="BU76" s="80">
        <v>2610</v>
      </c>
      <c r="BV76" s="80">
        <v>2453</v>
      </c>
      <c r="BW76" s="80">
        <v>2558</v>
      </c>
      <c r="BX76" s="80">
        <v>2447</v>
      </c>
      <c r="BY76" s="80">
        <v>2263</v>
      </c>
      <c r="BZ76" s="80">
        <v>2174</v>
      </c>
      <c r="CA76" s="80">
        <v>2178</v>
      </c>
      <c r="CB76" s="80">
        <v>2154</v>
      </c>
      <c r="CC76" s="80">
        <v>2087</v>
      </c>
      <c r="CD76" s="80">
        <v>2129</v>
      </c>
      <c r="CE76" s="80">
        <v>2104</v>
      </c>
      <c r="CF76" s="80">
        <v>2088</v>
      </c>
      <c r="CG76" s="80">
        <v>2189</v>
      </c>
      <c r="CH76" s="80">
        <v>2359</v>
      </c>
      <c r="CI76" s="80">
        <v>1718</v>
      </c>
      <c r="CJ76" s="80">
        <v>1676</v>
      </c>
      <c r="CK76" s="80">
        <v>1457</v>
      </c>
      <c r="CL76" s="80">
        <v>1422</v>
      </c>
      <c r="CM76" s="80">
        <v>1212</v>
      </c>
      <c r="CN76" s="80">
        <v>1081</v>
      </c>
      <c r="CO76" s="80">
        <v>1068</v>
      </c>
      <c r="CP76" s="80">
        <v>1063</v>
      </c>
      <c r="CQ76" s="80">
        <v>985</v>
      </c>
      <c r="CR76" s="80">
        <v>833</v>
      </c>
      <c r="CS76" s="80">
        <v>769</v>
      </c>
      <c r="CT76" s="80">
        <v>635</v>
      </c>
      <c r="CU76" s="80">
        <v>549</v>
      </c>
      <c r="CV76" s="80">
        <v>475</v>
      </c>
      <c r="CW76" s="80">
        <v>416</v>
      </c>
      <c r="CX76" s="80">
        <v>313</v>
      </c>
      <c r="CY76" s="80">
        <v>1124</v>
      </c>
      <c r="CZ76" s="81">
        <v>2396</v>
      </c>
      <c r="DA76" s="81">
        <v>2360</v>
      </c>
      <c r="DB76" s="81">
        <v>2576</v>
      </c>
      <c r="DC76" s="81">
        <v>2710</v>
      </c>
      <c r="DD76" s="81">
        <v>2659</v>
      </c>
      <c r="DE76" s="81">
        <v>2791</v>
      </c>
      <c r="DF76" s="81">
        <v>2717</v>
      </c>
      <c r="DG76" s="81">
        <v>2836</v>
      </c>
      <c r="DH76" s="81">
        <v>2977</v>
      </c>
      <c r="DI76" s="81">
        <v>2995</v>
      </c>
      <c r="DJ76" s="81">
        <v>2794</v>
      </c>
      <c r="DK76" s="81">
        <v>2837</v>
      </c>
      <c r="DL76" s="81">
        <v>2912</v>
      </c>
      <c r="DM76" s="81">
        <v>2774</v>
      </c>
      <c r="DN76" s="81">
        <v>2701</v>
      </c>
      <c r="DO76" s="81">
        <v>2691</v>
      </c>
      <c r="DP76" s="81">
        <v>2597</v>
      </c>
      <c r="DQ76" s="81">
        <v>2596</v>
      </c>
      <c r="DR76" s="81">
        <v>2531</v>
      </c>
      <c r="DS76" s="81">
        <v>2414</v>
      </c>
      <c r="DT76" s="81">
        <v>2499</v>
      </c>
      <c r="DU76" s="81">
        <v>2515</v>
      </c>
      <c r="DV76" s="81">
        <v>2590</v>
      </c>
      <c r="DW76" s="81">
        <v>2623</v>
      </c>
      <c r="DX76" s="81">
        <v>2558</v>
      </c>
      <c r="DY76" s="81">
        <v>2388</v>
      </c>
      <c r="DZ76" s="81">
        <v>2632</v>
      </c>
      <c r="EA76" s="81">
        <v>2552</v>
      </c>
      <c r="EB76" s="81">
        <v>2829</v>
      </c>
      <c r="EC76" s="81">
        <v>2884</v>
      </c>
      <c r="ED76" s="81">
        <v>2860</v>
      </c>
      <c r="EE76" s="81">
        <v>2875</v>
      </c>
      <c r="EF76" s="81">
        <v>3010</v>
      </c>
      <c r="EG76" s="81">
        <v>2866</v>
      </c>
      <c r="EH76" s="81">
        <v>2774</v>
      </c>
      <c r="EI76" s="81">
        <v>2923</v>
      </c>
      <c r="EJ76" s="81">
        <v>2817</v>
      </c>
      <c r="EK76" s="81">
        <v>2950</v>
      </c>
      <c r="EL76" s="81">
        <v>2931</v>
      </c>
      <c r="EM76" s="81">
        <v>2992</v>
      </c>
      <c r="EN76" s="81">
        <v>2894</v>
      </c>
      <c r="EO76" s="81">
        <v>2872</v>
      </c>
      <c r="EP76" s="81">
        <v>2675</v>
      </c>
      <c r="EQ76" s="81">
        <v>2531</v>
      </c>
      <c r="ER76" s="81">
        <v>2657</v>
      </c>
      <c r="ES76" s="81">
        <v>2654</v>
      </c>
      <c r="ET76" s="81">
        <v>2770</v>
      </c>
      <c r="EU76" s="81">
        <v>2853</v>
      </c>
      <c r="EV76" s="81">
        <v>3091</v>
      </c>
      <c r="EW76" s="81">
        <v>3220</v>
      </c>
      <c r="EX76" s="81">
        <v>3108</v>
      </c>
      <c r="EY76" s="81">
        <v>3136</v>
      </c>
      <c r="EZ76" s="81">
        <v>3082</v>
      </c>
      <c r="FA76" s="81">
        <v>2994</v>
      </c>
      <c r="FB76" s="81">
        <v>3029</v>
      </c>
      <c r="FC76" s="81">
        <v>2999</v>
      </c>
      <c r="FD76" s="81">
        <v>2975</v>
      </c>
      <c r="FE76" s="81">
        <v>2934</v>
      </c>
      <c r="FF76" s="81">
        <v>2824</v>
      </c>
      <c r="FG76" s="81">
        <v>2647</v>
      </c>
      <c r="FH76" s="81">
        <v>2724</v>
      </c>
      <c r="FI76" s="81">
        <v>2625</v>
      </c>
      <c r="FJ76" s="81">
        <v>2506</v>
      </c>
      <c r="FK76" s="81">
        <v>2397</v>
      </c>
      <c r="FL76" s="81">
        <v>2267</v>
      </c>
      <c r="FM76" s="81">
        <v>2164</v>
      </c>
      <c r="FN76" s="81">
        <v>2170</v>
      </c>
      <c r="FO76" s="81">
        <v>2157</v>
      </c>
      <c r="FP76" s="81">
        <v>2129</v>
      </c>
      <c r="FQ76" s="81">
        <v>2250</v>
      </c>
      <c r="FR76" s="81">
        <v>2180</v>
      </c>
      <c r="FS76" s="81">
        <v>2279</v>
      </c>
      <c r="FT76" s="81">
        <v>2403</v>
      </c>
      <c r="FU76" s="81">
        <v>2660</v>
      </c>
      <c r="FV76" s="81">
        <v>1869</v>
      </c>
      <c r="FW76" s="81">
        <v>1838</v>
      </c>
      <c r="FX76" s="81">
        <v>1808</v>
      </c>
      <c r="FY76" s="81">
        <v>1701</v>
      </c>
      <c r="FZ76" s="81">
        <v>1525</v>
      </c>
      <c r="GA76" s="81">
        <v>1266</v>
      </c>
      <c r="GB76" s="81">
        <v>1365</v>
      </c>
      <c r="GC76" s="81">
        <v>1245</v>
      </c>
      <c r="GD76" s="81">
        <v>1292</v>
      </c>
      <c r="GE76" s="81">
        <v>1180</v>
      </c>
      <c r="GF76" s="81">
        <v>1026</v>
      </c>
      <c r="GG76" s="81">
        <v>909</v>
      </c>
      <c r="GH76" s="81">
        <v>859</v>
      </c>
      <c r="GI76" s="81">
        <v>707</v>
      </c>
      <c r="GJ76" s="81">
        <v>639</v>
      </c>
      <c r="GK76" s="81">
        <v>623</v>
      </c>
      <c r="GL76" s="82">
        <v>2492</v>
      </c>
    </row>
    <row r="77" spans="1:194" s="1" customFormat="1" hidden="1" x14ac:dyDescent="0.2">
      <c r="A77" s="83" t="s">
        <v>220</v>
      </c>
      <c r="B77" s="262" t="s">
        <v>287</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0">
        <v>982</v>
      </c>
      <c r="N77" s="80">
        <v>1056</v>
      </c>
      <c r="O77" s="80">
        <v>1046</v>
      </c>
      <c r="P77" s="80">
        <v>1070</v>
      </c>
      <c r="Q77" s="80">
        <v>1070</v>
      </c>
      <c r="R77" s="80">
        <v>1106</v>
      </c>
      <c r="S77" s="80">
        <v>1007</v>
      </c>
      <c r="T77" s="80">
        <v>1027</v>
      </c>
      <c r="U77" s="80">
        <v>1029</v>
      </c>
      <c r="V77" s="80">
        <v>1060</v>
      </c>
      <c r="W77" s="80">
        <v>995</v>
      </c>
      <c r="X77" s="80">
        <v>946</v>
      </c>
      <c r="Y77" s="80">
        <v>885</v>
      </c>
      <c r="Z77" s="80">
        <v>928</v>
      </c>
      <c r="AA77" s="80">
        <v>949</v>
      </c>
      <c r="AB77" s="80">
        <v>907</v>
      </c>
      <c r="AC77" s="80">
        <v>792</v>
      </c>
      <c r="AD77" s="80">
        <v>838</v>
      </c>
      <c r="AE77" s="80">
        <v>813</v>
      </c>
      <c r="AF77" s="80">
        <v>820</v>
      </c>
      <c r="AG77" s="80">
        <v>809</v>
      </c>
      <c r="AH77" s="80">
        <v>823</v>
      </c>
      <c r="AI77" s="80">
        <v>927</v>
      </c>
      <c r="AJ77" s="80">
        <v>898</v>
      </c>
      <c r="AK77" s="80">
        <v>952</v>
      </c>
      <c r="AL77" s="80">
        <v>982</v>
      </c>
      <c r="AM77" s="80">
        <v>1022</v>
      </c>
      <c r="AN77" s="80">
        <v>965</v>
      </c>
      <c r="AO77" s="80">
        <v>1053</v>
      </c>
      <c r="AP77" s="80">
        <v>1085</v>
      </c>
      <c r="AQ77" s="80">
        <v>1090</v>
      </c>
      <c r="AR77" s="80">
        <v>1062</v>
      </c>
      <c r="AS77" s="80">
        <v>937</v>
      </c>
      <c r="AT77" s="80">
        <v>968</v>
      </c>
      <c r="AU77" s="80">
        <v>985</v>
      </c>
      <c r="AV77" s="80">
        <v>975</v>
      </c>
      <c r="AW77" s="80">
        <v>895</v>
      </c>
      <c r="AX77" s="80">
        <v>901</v>
      </c>
      <c r="AY77" s="80">
        <v>862</v>
      </c>
      <c r="AZ77" s="80">
        <v>786</v>
      </c>
      <c r="BA77" s="80">
        <v>773</v>
      </c>
      <c r="BB77" s="80">
        <v>789</v>
      </c>
      <c r="BC77" s="80">
        <v>696</v>
      </c>
      <c r="BD77" s="80">
        <v>624</v>
      </c>
      <c r="BE77" s="80">
        <v>707</v>
      </c>
      <c r="BF77" s="80">
        <v>696</v>
      </c>
      <c r="BG77" s="80">
        <v>822</v>
      </c>
      <c r="BH77" s="80">
        <v>767</v>
      </c>
      <c r="BI77" s="80">
        <v>869</v>
      </c>
      <c r="BJ77" s="80">
        <v>898</v>
      </c>
      <c r="BK77" s="80">
        <v>910</v>
      </c>
      <c r="BL77" s="80">
        <v>916</v>
      </c>
      <c r="BM77" s="80">
        <v>911</v>
      </c>
      <c r="BN77" s="80">
        <v>951</v>
      </c>
      <c r="BO77" s="80">
        <v>953</v>
      </c>
      <c r="BP77" s="80">
        <v>1011</v>
      </c>
      <c r="BQ77" s="80">
        <v>1062</v>
      </c>
      <c r="BR77" s="80">
        <v>1054</v>
      </c>
      <c r="BS77" s="80">
        <v>1075</v>
      </c>
      <c r="BT77" s="80">
        <v>1075</v>
      </c>
      <c r="BU77" s="80">
        <v>1046</v>
      </c>
      <c r="BV77" s="80">
        <v>946</v>
      </c>
      <c r="BW77" s="80">
        <v>975</v>
      </c>
      <c r="BX77" s="80">
        <v>1031</v>
      </c>
      <c r="BY77" s="80">
        <v>853</v>
      </c>
      <c r="BZ77" s="80">
        <v>838</v>
      </c>
      <c r="CA77" s="80">
        <v>802</v>
      </c>
      <c r="CB77" s="80">
        <v>799</v>
      </c>
      <c r="CC77" s="80">
        <v>674</v>
      </c>
      <c r="CD77" s="80">
        <v>716</v>
      </c>
      <c r="CE77" s="80">
        <v>650</v>
      </c>
      <c r="CF77" s="80">
        <v>731</v>
      </c>
      <c r="CG77" s="80">
        <v>623</v>
      </c>
      <c r="CH77" s="80">
        <v>722</v>
      </c>
      <c r="CI77" s="80">
        <v>501</v>
      </c>
      <c r="CJ77" s="80">
        <v>451</v>
      </c>
      <c r="CK77" s="80">
        <v>451</v>
      </c>
      <c r="CL77" s="80">
        <v>402</v>
      </c>
      <c r="CM77" s="80">
        <v>383</v>
      </c>
      <c r="CN77" s="80">
        <v>342</v>
      </c>
      <c r="CO77" s="80">
        <v>343</v>
      </c>
      <c r="CP77" s="80">
        <v>326</v>
      </c>
      <c r="CQ77" s="80">
        <v>316</v>
      </c>
      <c r="CR77" s="80">
        <v>276</v>
      </c>
      <c r="CS77" s="80">
        <v>247</v>
      </c>
      <c r="CT77" s="80">
        <v>223</v>
      </c>
      <c r="CU77" s="80">
        <v>175</v>
      </c>
      <c r="CV77" s="80">
        <v>142</v>
      </c>
      <c r="CW77" s="80">
        <v>124</v>
      </c>
      <c r="CX77" s="80">
        <v>133</v>
      </c>
      <c r="CY77" s="80">
        <v>385</v>
      </c>
      <c r="CZ77" s="81">
        <v>913</v>
      </c>
      <c r="DA77" s="81">
        <v>946</v>
      </c>
      <c r="DB77" s="81">
        <v>991</v>
      </c>
      <c r="DC77" s="81">
        <v>1031</v>
      </c>
      <c r="DD77" s="81">
        <v>984</v>
      </c>
      <c r="DE77" s="81">
        <v>1048</v>
      </c>
      <c r="DF77" s="81">
        <v>911</v>
      </c>
      <c r="DG77" s="81">
        <v>900</v>
      </c>
      <c r="DH77" s="81">
        <v>964</v>
      </c>
      <c r="DI77" s="81">
        <v>999</v>
      </c>
      <c r="DJ77" s="81">
        <v>925</v>
      </c>
      <c r="DK77" s="81">
        <v>886</v>
      </c>
      <c r="DL77" s="81">
        <v>919</v>
      </c>
      <c r="DM77" s="81">
        <v>857</v>
      </c>
      <c r="DN77" s="81">
        <v>929</v>
      </c>
      <c r="DO77" s="81">
        <v>903</v>
      </c>
      <c r="DP77" s="81">
        <v>803</v>
      </c>
      <c r="DQ77" s="81">
        <v>835</v>
      </c>
      <c r="DR77" s="81">
        <v>785</v>
      </c>
      <c r="DS77" s="81">
        <v>718</v>
      </c>
      <c r="DT77" s="81">
        <v>728</v>
      </c>
      <c r="DU77" s="81">
        <v>858</v>
      </c>
      <c r="DV77" s="81">
        <v>852</v>
      </c>
      <c r="DW77" s="81">
        <v>1023</v>
      </c>
      <c r="DX77" s="81">
        <v>1025</v>
      </c>
      <c r="DY77" s="81">
        <v>953</v>
      </c>
      <c r="DZ77" s="81">
        <v>1034</v>
      </c>
      <c r="EA77" s="81">
        <v>1118</v>
      </c>
      <c r="EB77" s="81">
        <v>1263</v>
      </c>
      <c r="EC77" s="81">
        <v>1217</v>
      </c>
      <c r="ED77" s="81">
        <v>1175</v>
      </c>
      <c r="EE77" s="81">
        <v>1139</v>
      </c>
      <c r="EF77" s="81">
        <v>1202</v>
      </c>
      <c r="EG77" s="81">
        <v>1227</v>
      </c>
      <c r="EH77" s="81">
        <v>1146</v>
      </c>
      <c r="EI77" s="81">
        <v>1110</v>
      </c>
      <c r="EJ77" s="81">
        <v>1013</v>
      </c>
      <c r="EK77" s="81">
        <v>998</v>
      </c>
      <c r="EL77" s="81">
        <v>988</v>
      </c>
      <c r="EM77" s="81">
        <v>973</v>
      </c>
      <c r="EN77" s="81">
        <v>973</v>
      </c>
      <c r="EO77" s="81">
        <v>955</v>
      </c>
      <c r="EP77" s="81">
        <v>846</v>
      </c>
      <c r="EQ77" s="81">
        <v>745</v>
      </c>
      <c r="ER77" s="81">
        <v>838</v>
      </c>
      <c r="ES77" s="81">
        <v>884</v>
      </c>
      <c r="ET77" s="81">
        <v>895</v>
      </c>
      <c r="EU77" s="81">
        <v>862</v>
      </c>
      <c r="EV77" s="81">
        <v>1055</v>
      </c>
      <c r="EW77" s="81">
        <v>1088</v>
      </c>
      <c r="EX77" s="81">
        <v>1101</v>
      </c>
      <c r="EY77" s="81">
        <v>1091</v>
      </c>
      <c r="EZ77" s="81">
        <v>1060</v>
      </c>
      <c r="FA77" s="81">
        <v>1139</v>
      </c>
      <c r="FB77" s="81">
        <v>1143</v>
      </c>
      <c r="FC77" s="81">
        <v>1251</v>
      </c>
      <c r="FD77" s="81">
        <v>1187</v>
      </c>
      <c r="FE77" s="81">
        <v>1202</v>
      </c>
      <c r="FF77" s="81">
        <v>1314</v>
      </c>
      <c r="FG77" s="81">
        <v>1153</v>
      </c>
      <c r="FH77" s="81">
        <v>1101</v>
      </c>
      <c r="FI77" s="81">
        <v>1073</v>
      </c>
      <c r="FJ77" s="81">
        <v>1076</v>
      </c>
      <c r="FK77" s="81">
        <v>1068</v>
      </c>
      <c r="FL77" s="81">
        <v>931</v>
      </c>
      <c r="FM77" s="81">
        <v>932</v>
      </c>
      <c r="FN77" s="81">
        <v>901</v>
      </c>
      <c r="FO77" s="81">
        <v>885</v>
      </c>
      <c r="FP77" s="81">
        <v>766</v>
      </c>
      <c r="FQ77" s="81">
        <v>803</v>
      </c>
      <c r="FR77" s="81">
        <v>788</v>
      </c>
      <c r="FS77" s="81">
        <v>693</v>
      </c>
      <c r="FT77" s="81">
        <v>770</v>
      </c>
      <c r="FU77" s="81">
        <v>726</v>
      </c>
      <c r="FV77" s="81">
        <v>605</v>
      </c>
      <c r="FW77" s="81">
        <v>550</v>
      </c>
      <c r="FX77" s="81">
        <v>557</v>
      </c>
      <c r="FY77" s="81">
        <v>483</v>
      </c>
      <c r="FZ77" s="81">
        <v>442</v>
      </c>
      <c r="GA77" s="81">
        <v>413</v>
      </c>
      <c r="GB77" s="81">
        <v>469</v>
      </c>
      <c r="GC77" s="81">
        <v>434</v>
      </c>
      <c r="GD77" s="81">
        <v>445</v>
      </c>
      <c r="GE77" s="81">
        <v>406</v>
      </c>
      <c r="GF77" s="81">
        <v>399</v>
      </c>
      <c r="GG77" s="81">
        <v>340</v>
      </c>
      <c r="GH77" s="81">
        <v>301</v>
      </c>
      <c r="GI77" s="81">
        <v>281</v>
      </c>
      <c r="GJ77" s="81">
        <v>284</v>
      </c>
      <c r="GK77" s="81">
        <v>195</v>
      </c>
      <c r="GL77" s="82">
        <v>776</v>
      </c>
    </row>
    <row r="78" spans="1:194" s="1" customFormat="1" hidden="1" x14ac:dyDescent="0.2">
      <c r="A78" s="83" t="s">
        <v>220</v>
      </c>
      <c r="B78" s="262" t="s">
        <v>288</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0">
        <v>4561</v>
      </c>
      <c r="N78" s="80">
        <v>4925</v>
      </c>
      <c r="O78" s="80">
        <v>5070</v>
      </c>
      <c r="P78" s="80">
        <v>5187</v>
      </c>
      <c r="Q78" s="80">
        <v>5302</v>
      </c>
      <c r="R78" s="80">
        <v>5187</v>
      </c>
      <c r="S78" s="80">
        <v>5142</v>
      </c>
      <c r="T78" s="80">
        <v>5347</v>
      </c>
      <c r="U78" s="80">
        <v>5303</v>
      </c>
      <c r="V78" s="80">
        <v>5016</v>
      </c>
      <c r="W78" s="80">
        <v>5079</v>
      </c>
      <c r="X78" s="80">
        <v>4905</v>
      </c>
      <c r="Y78" s="80">
        <v>4714</v>
      </c>
      <c r="Z78" s="80">
        <v>4704</v>
      </c>
      <c r="AA78" s="80">
        <v>4588</v>
      </c>
      <c r="AB78" s="80">
        <v>4180</v>
      </c>
      <c r="AC78" s="80">
        <v>4218</v>
      </c>
      <c r="AD78" s="80">
        <v>4174</v>
      </c>
      <c r="AE78" s="80">
        <v>4459</v>
      </c>
      <c r="AF78" s="80">
        <v>6808</v>
      </c>
      <c r="AG78" s="80">
        <v>7951</v>
      </c>
      <c r="AH78" s="80">
        <v>7853</v>
      </c>
      <c r="AI78" s="80">
        <v>7649</v>
      </c>
      <c r="AJ78" s="80">
        <v>7645</v>
      </c>
      <c r="AK78" s="80">
        <v>7589</v>
      </c>
      <c r="AL78" s="80">
        <v>7134</v>
      </c>
      <c r="AM78" s="80">
        <v>7050</v>
      </c>
      <c r="AN78" s="80">
        <v>7313</v>
      </c>
      <c r="AO78" s="80">
        <v>6970</v>
      </c>
      <c r="AP78" s="80">
        <v>6853</v>
      </c>
      <c r="AQ78" s="80">
        <v>5720</v>
      </c>
      <c r="AR78" s="80">
        <v>5539</v>
      </c>
      <c r="AS78" s="80">
        <v>5775</v>
      </c>
      <c r="AT78" s="80">
        <v>5186</v>
      </c>
      <c r="AU78" s="80">
        <v>5237</v>
      </c>
      <c r="AV78" s="80">
        <v>5054</v>
      </c>
      <c r="AW78" s="80">
        <v>5275</v>
      </c>
      <c r="AX78" s="80">
        <v>4872</v>
      </c>
      <c r="AY78" s="80">
        <v>5099</v>
      </c>
      <c r="AZ78" s="80">
        <v>4951</v>
      </c>
      <c r="BA78" s="80">
        <v>5011</v>
      </c>
      <c r="BB78" s="80">
        <v>4623</v>
      </c>
      <c r="BC78" s="80">
        <v>4312</v>
      </c>
      <c r="BD78" s="80">
        <v>4375</v>
      </c>
      <c r="BE78" s="80">
        <v>4432</v>
      </c>
      <c r="BF78" s="80">
        <v>4303</v>
      </c>
      <c r="BG78" s="80">
        <v>4311</v>
      </c>
      <c r="BH78" s="80">
        <v>4678</v>
      </c>
      <c r="BI78" s="80">
        <v>4643</v>
      </c>
      <c r="BJ78" s="80">
        <v>5052</v>
      </c>
      <c r="BK78" s="80">
        <v>4727</v>
      </c>
      <c r="BL78" s="80">
        <v>4618</v>
      </c>
      <c r="BM78" s="80">
        <v>4684</v>
      </c>
      <c r="BN78" s="80">
        <v>4869</v>
      </c>
      <c r="BO78" s="80">
        <v>4790</v>
      </c>
      <c r="BP78" s="80">
        <v>4864</v>
      </c>
      <c r="BQ78" s="80">
        <v>4758</v>
      </c>
      <c r="BR78" s="80">
        <v>4541</v>
      </c>
      <c r="BS78" s="80">
        <v>4400</v>
      </c>
      <c r="BT78" s="80">
        <v>4148</v>
      </c>
      <c r="BU78" s="80">
        <v>3863</v>
      </c>
      <c r="BV78" s="80">
        <v>3814</v>
      </c>
      <c r="BW78" s="80">
        <v>3722</v>
      </c>
      <c r="BX78" s="80">
        <v>3570</v>
      </c>
      <c r="BY78" s="80">
        <v>3445</v>
      </c>
      <c r="BZ78" s="80">
        <v>3161</v>
      </c>
      <c r="CA78" s="80">
        <v>3367</v>
      </c>
      <c r="CB78" s="80">
        <v>3227</v>
      </c>
      <c r="CC78" s="80">
        <v>3017</v>
      </c>
      <c r="CD78" s="80">
        <v>3120</v>
      </c>
      <c r="CE78" s="80">
        <v>3060</v>
      </c>
      <c r="CF78" s="80">
        <v>3246</v>
      </c>
      <c r="CG78" s="80">
        <v>3306</v>
      </c>
      <c r="CH78" s="80">
        <v>3550</v>
      </c>
      <c r="CI78" s="80">
        <v>2525</v>
      </c>
      <c r="CJ78" s="80">
        <v>2400</v>
      </c>
      <c r="CK78" s="80">
        <v>2371</v>
      </c>
      <c r="CL78" s="80">
        <v>2209</v>
      </c>
      <c r="CM78" s="80">
        <v>1885</v>
      </c>
      <c r="CN78" s="80">
        <v>1594</v>
      </c>
      <c r="CO78" s="80">
        <v>1703</v>
      </c>
      <c r="CP78" s="80">
        <v>1599</v>
      </c>
      <c r="CQ78" s="80">
        <v>1579</v>
      </c>
      <c r="CR78" s="80">
        <v>1424</v>
      </c>
      <c r="CS78" s="80">
        <v>1272</v>
      </c>
      <c r="CT78" s="80">
        <v>1141</v>
      </c>
      <c r="CU78" s="80">
        <v>977</v>
      </c>
      <c r="CV78" s="80">
        <v>822</v>
      </c>
      <c r="CW78" s="80">
        <v>679</v>
      </c>
      <c r="CX78" s="80">
        <v>578</v>
      </c>
      <c r="CY78" s="80">
        <v>1718</v>
      </c>
      <c r="CZ78" s="81">
        <v>4470</v>
      </c>
      <c r="DA78" s="81">
        <v>4684</v>
      </c>
      <c r="DB78" s="81">
        <v>4796</v>
      </c>
      <c r="DC78" s="81">
        <v>4822</v>
      </c>
      <c r="DD78" s="81">
        <v>4916</v>
      </c>
      <c r="DE78" s="81">
        <v>5030</v>
      </c>
      <c r="DF78" s="81">
        <v>4865</v>
      </c>
      <c r="DG78" s="81">
        <v>4870</v>
      </c>
      <c r="DH78" s="81">
        <v>4999</v>
      </c>
      <c r="DI78" s="81">
        <v>4848</v>
      </c>
      <c r="DJ78" s="81">
        <v>4891</v>
      </c>
      <c r="DK78" s="81">
        <v>4731</v>
      </c>
      <c r="DL78" s="81">
        <v>4457</v>
      </c>
      <c r="DM78" s="81">
        <v>4322</v>
      </c>
      <c r="DN78" s="81">
        <v>4362</v>
      </c>
      <c r="DO78" s="81">
        <v>4147</v>
      </c>
      <c r="DP78" s="81">
        <v>3964</v>
      </c>
      <c r="DQ78" s="81">
        <v>3805</v>
      </c>
      <c r="DR78" s="81">
        <v>4544</v>
      </c>
      <c r="DS78" s="81">
        <v>7888</v>
      </c>
      <c r="DT78" s="81">
        <v>9346</v>
      </c>
      <c r="DU78" s="81">
        <v>8850</v>
      </c>
      <c r="DV78" s="81">
        <v>8215</v>
      </c>
      <c r="DW78" s="81">
        <v>7616</v>
      </c>
      <c r="DX78" s="81">
        <v>7166</v>
      </c>
      <c r="DY78" s="81">
        <v>6991</v>
      </c>
      <c r="DZ78" s="81">
        <v>6979</v>
      </c>
      <c r="EA78" s="81">
        <v>7267</v>
      </c>
      <c r="EB78" s="81">
        <v>7004</v>
      </c>
      <c r="EC78" s="81">
        <v>6103</v>
      </c>
      <c r="ED78" s="81">
        <v>5429</v>
      </c>
      <c r="EE78" s="81">
        <v>5367</v>
      </c>
      <c r="EF78" s="81">
        <v>5325</v>
      </c>
      <c r="EG78" s="81">
        <v>5218</v>
      </c>
      <c r="EH78" s="81">
        <v>5582</v>
      </c>
      <c r="EI78" s="81">
        <v>5367</v>
      </c>
      <c r="EJ78" s="81">
        <v>5309</v>
      </c>
      <c r="EK78" s="81">
        <v>5352</v>
      </c>
      <c r="EL78" s="81">
        <v>5382</v>
      </c>
      <c r="EM78" s="81">
        <v>5363</v>
      </c>
      <c r="EN78" s="81">
        <v>5229</v>
      </c>
      <c r="EO78" s="81">
        <v>4787</v>
      </c>
      <c r="EP78" s="81">
        <v>4440</v>
      </c>
      <c r="EQ78" s="81">
        <v>4394</v>
      </c>
      <c r="ER78" s="81">
        <v>4557</v>
      </c>
      <c r="ES78" s="81">
        <v>4396</v>
      </c>
      <c r="ET78" s="81">
        <v>4441</v>
      </c>
      <c r="EU78" s="81">
        <v>4620</v>
      </c>
      <c r="EV78" s="81">
        <v>4829</v>
      </c>
      <c r="EW78" s="81">
        <v>5044</v>
      </c>
      <c r="EX78" s="81">
        <v>4775</v>
      </c>
      <c r="EY78" s="81">
        <v>4955</v>
      </c>
      <c r="EZ78" s="81">
        <v>4959</v>
      </c>
      <c r="FA78" s="81">
        <v>4872</v>
      </c>
      <c r="FB78" s="81">
        <v>4739</v>
      </c>
      <c r="FC78" s="81">
        <v>4809</v>
      </c>
      <c r="FD78" s="81">
        <v>4705</v>
      </c>
      <c r="FE78" s="81">
        <v>4702</v>
      </c>
      <c r="FF78" s="81">
        <v>4621</v>
      </c>
      <c r="FG78" s="81">
        <v>4385</v>
      </c>
      <c r="FH78" s="81">
        <v>4132</v>
      </c>
      <c r="FI78" s="81">
        <v>4121</v>
      </c>
      <c r="FJ78" s="81">
        <v>4032</v>
      </c>
      <c r="FK78" s="81">
        <v>3989</v>
      </c>
      <c r="FL78" s="81">
        <v>3690</v>
      </c>
      <c r="FM78" s="81">
        <v>3379</v>
      </c>
      <c r="FN78" s="81">
        <v>3493</v>
      </c>
      <c r="FO78" s="81">
        <v>3464</v>
      </c>
      <c r="FP78" s="81">
        <v>3388</v>
      </c>
      <c r="FQ78" s="81">
        <v>3459</v>
      </c>
      <c r="FR78" s="81">
        <v>3457</v>
      </c>
      <c r="FS78" s="81">
        <v>3483</v>
      </c>
      <c r="FT78" s="81">
        <v>3750</v>
      </c>
      <c r="FU78" s="81">
        <v>4087</v>
      </c>
      <c r="FV78" s="81">
        <v>2991</v>
      </c>
      <c r="FW78" s="81">
        <v>2862</v>
      </c>
      <c r="FX78" s="81">
        <v>2748</v>
      </c>
      <c r="FY78" s="81">
        <v>2613</v>
      </c>
      <c r="FZ78" s="81">
        <v>2260</v>
      </c>
      <c r="GA78" s="81">
        <v>2090</v>
      </c>
      <c r="GB78" s="81">
        <v>2274</v>
      </c>
      <c r="GC78" s="81">
        <v>2114</v>
      </c>
      <c r="GD78" s="81">
        <v>2100</v>
      </c>
      <c r="GE78" s="81">
        <v>1983</v>
      </c>
      <c r="GF78" s="81">
        <v>1894</v>
      </c>
      <c r="GG78" s="81">
        <v>1765</v>
      </c>
      <c r="GH78" s="81">
        <v>1413</v>
      </c>
      <c r="GI78" s="81">
        <v>1253</v>
      </c>
      <c r="GJ78" s="81">
        <v>1185</v>
      </c>
      <c r="GK78" s="81">
        <v>1030</v>
      </c>
      <c r="GL78" s="82">
        <v>3719</v>
      </c>
    </row>
    <row r="79" spans="1:194" s="1" customFormat="1" hidden="1" x14ac:dyDescent="0.2">
      <c r="A79" s="83" t="s">
        <v>220</v>
      </c>
      <c r="B79" s="262" t="s">
        <v>289</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0">
        <v>2315</v>
      </c>
      <c r="N79" s="80">
        <v>2418</v>
      </c>
      <c r="O79" s="80">
        <v>2412</v>
      </c>
      <c r="P79" s="80">
        <v>2521</v>
      </c>
      <c r="Q79" s="80">
        <v>2520</v>
      </c>
      <c r="R79" s="80">
        <v>2618</v>
      </c>
      <c r="S79" s="80">
        <v>2573</v>
      </c>
      <c r="T79" s="80">
        <v>2495</v>
      </c>
      <c r="U79" s="80">
        <v>2608</v>
      </c>
      <c r="V79" s="80">
        <v>2442</v>
      </c>
      <c r="W79" s="80">
        <v>2251</v>
      </c>
      <c r="X79" s="80">
        <v>2446</v>
      </c>
      <c r="Y79" s="80">
        <v>2371</v>
      </c>
      <c r="Z79" s="80">
        <v>2336</v>
      </c>
      <c r="AA79" s="80">
        <v>2350</v>
      </c>
      <c r="AB79" s="80">
        <v>2132</v>
      </c>
      <c r="AC79" s="80">
        <v>2100</v>
      </c>
      <c r="AD79" s="80">
        <v>2055</v>
      </c>
      <c r="AE79" s="80">
        <v>2305</v>
      </c>
      <c r="AF79" s="80">
        <v>3424</v>
      </c>
      <c r="AG79" s="80">
        <v>4475</v>
      </c>
      <c r="AH79" s="80">
        <v>4802</v>
      </c>
      <c r="AI79" s="80">
        <v>4403</v>
      </c>
      <c r="AJ79" s="80">
        <v>3764</v>
      </c>
      <c r="AK79" s="80">
        <v>3094</v>
      </c>
      <c r="AL79" s="80">
        <v>3147</v>
      </c>
      <c r="AM79" s="80">
        <v>3419</v>
      </c>
      <c r="AN79" s="80">
        <v>3368</v>
      </c>
      <c r="AO79" s="80">
        <v>3358</v>
      </c>
      <c r="AP79" s="80">
        <v>3565</v>
      </c>
      <c r="AQ79" s="80">
        <v>3109</v>
      </c>
      <c r="AR79" s="80">
        <v>2689</v>
      </c>
      <c r="AS79" s="80">
        <v>2575</v>
      </c>
      <c r="AT79" s="80">
        <v>2430</v>
      </c>
      <c r="AU79" s="80">
        <v>2318</v>
      </c>
      <c r="AV79" s="80">
        <v>2422</v>
      </c>
      <c r="AW79" s="80">
        <v>2632</v>
      </c>
      <c r="AX79" s="80">
        <v>2420</v>
      </c>
      <c r="AY79" s="80">
        <v>2305</v>
      </c>
      <c r="AZ79" s="80">
        <v>2300</v>
      </c>
      <c r="BA79" s="80">
        <v>2376</v>
      </c>
      <c r="BB79" s="80">
        <v>2286</v>
      </c>
      <c r="BC79" s="80">
        <v>2053</v>
      </c>
      <c r="BD79" s="80">
        <v>1981</v>
      </c>
      <c r="BE79" s="80">
        <v>2052</v>
      </c>
      <c r="BF79" s="80">
        <v>1980</v>
      </c>
      <c r="BG79" s="80">
        <v>1853</v>
      </c>
      <c r="BH79" s="80">
        <v>1976</v>
      </c>
      <c r="BI79" s="80">
        <v>1957</v>
      </c>
      <c r="BJ79" s="80">
        <v>1936</v>
      </c>
      <c r="BK79" s="80">
        <v>1840</v>
      </c>
      <c r="BL79" s="80">
        <v>1833</v>
      </c>
      <c r="BM79" s="80">
        <v>1913</v>
      </c>
      <c r="BN79" s="80">
        <v>1781</v>
      </c>
      <c r="BO79" s="80">
        <v>1838</v>
      </c>
      <c r="BP79" s="80">
        <v>1915</v>
      </c>
      <c r="BQ79" s="80">
        <v>1799</v>
      </c>
      <c r="BR79" s="80">
        <v>1894</v>
      </c>
      <c r="BS79" s="80">
        <v>1784</v>
      </c>
      <c r="BT79" s="80">
        <v>1844</v>
      </c>
      <c r="BU79" s="80">
        <v>1707</v>
      </c>
      <c r="BV79" s="80">
        <v>1681</v>
      </c>
      <c r="BW79" s="80">
        <v>1615</v>
      </c>
      <c r="BX79" s="80">
        <v>1494</v>
      </c>
      <c r="BY79" s="80">
        <v>1487</v>
      </c>
      <c r="BZ79" s="80">
        <v>1458</v>
      </c>
      <c r="CA79" s="80">
        <v>1495</v>
      </c>
      <c r="CB79" s="80">
        <v>1340</v>
      </c>
      <c r="CC79" s="80">
        <v>1310</v>
      </c>
      <c r="CD79" s="80">
        <v>1229</v>
      </c>
      <c r="CE79" s="80">
        <v>1168</v>
      </c>
      <c r="CF79" s="80">
        <v>1149</v>
      </c>
      <c r="CG79" s="80">
        <v>1087</v>
      </c>
      <c r="CH79" s="80">
        <v>1089</v>
      </c>
      <c r="CI79" s="80">
        <v>834</v>
      </c>
      <c r="CJ79" s="80">
        <v>751</v>
      </c>
      <c r="CK79" s="80">
        <v>751</v>
      </c>
      <c r="CL79" s="80">
        <v>727</v>
      </c>
      <c r="CM79" s="80">
        <v>558</v>
      </c>
      <c r="CN79" s="80">
        <v>508</v>
      </c>
      <c r="CO79" s="80">
        <v>566</v>
      </c>
      <c r="CP79" s="80">
        <v>532</v>
      </c>
      <c r="CQ79" s="80">
        <v>496</v>
      </c>
      <c r="CR79" s="80">
        <v>442</v>
      </c>
      <c r="CS79" s="80">
        <v>395</v>
      </c>
      <c r="CT79" s="80">
        <v>378</v>
      </c>
      <c r="CU79" s="80">
        <v>310</v>
      </c>
      <c r="CV79" s="80">
        <v>272</v>
      </c>
      <c r="CW79" s="80">
        <v>252</v>
      </c>
      <c r="CX79" s="80">
        <v>192</v>
      </c>
      <c r="CY79" s="80">
        <v>675</v>
      </c>
      <c r="CZ79" s="81">
        <v>2179</v>
      </c>
      <c r="DA79" s="81">
        <v>2195</v>
      </c>
      <c r="DB79" s="81">
        <v>2301</v>
      </c>
      <c r="DC79" s="81">
        <v>2413</v>
      </c>
      <c r="DD79" s="81">
        <v>2423</v>
      </c>
      <c r="DE79" s="81">
        <v>2401</v>
      </c>
      <c r="DF79" s="81">
        <v>2424</v>
      </c>
      <c r="DG79" s="81">
        <v>2506</v>
      </c>
      <c r="DH79" s="81">
        <v>2526</v>
      </c>
      <c r="DI79" s="81">
        <v>2362</v>
      </c>
      <c r="DJ79" s="81">
        <v>2282</v>
      </c>
      <c r="DK79" s="81">
        <v>2370</v>
      </c>
      <c r="DL79" s="81">
        <v>2300</v>
      </c>
      <c r="DM79" s="81">
        <v>2158</v>
      </c>
      <c r="DN79" s="81">
        <v>2148</v>
      </c>
      <c r="DO79" s="81">
        <v>2076</v>
      </c>
      <c r="DP79" s="81">
        <v>2060</v>
      </c>
      <c r="DQ79" s="81">
        <v>1982</v>
      </c>
      <c r="DR79" s="81">
        <v>2260</v>
      </c>
      <c r="DS79" s="81">
        <v>3481</v>
      </c>
      <c r="DT79" s="81">
        <v>4759</v>
      </c>
      <c r="DU79" s="81">
        <v>4736</v>
      </c>
      <c r="DV79" s="81">
        <v>3726</v>
      </c>
      <c r="DW79" s="81">
        <v>3166</v>
      </c>
      <c r="DX79" s="81">
        <v>2766</v>
      </c>
      <c r="DY79" s="81">
        <v>2856</v>
      </c>
      <c r="DZ79" s="81">
        <v>3068</v>
      </c>
      <c r="EA79" s="81">
        <v>3041</v>
      </c>
      <c r="EB79" s="81">
        <v>3030</v>
      </c>
      <c r="EC79" s="81">
        <v>2996</v>
      </c>
      <c r="ED79" s="81">
        <v>2918</v>
      </c>
      <c r="EE79" s="81">
        <v>2589</v>
      </c>
      <c r="EF79" s="81">
        <v>2610</v>
      </c>
      <c r="EG79" s="81">
        <v>2416</v>
      </c>
      <c r="EH79" s="81">
        <v>2369</v>
      </c>
      <c r="EI79" s="81">
        <v>2460</v>
      </c>
      <c r="EJ79" s="81">
        <v>2438</v>
      </c>
      <c r="EK79" s="81">
        <v>2394</v>
      </c>
      <c r="EL79" s="81">
        <v>2175</v>
      </c>
      <c r="EM79" s="81">
        <v>2303</v>
      </c>
      <c r="EN79" s="81">
        <v>2204</v>
      </c>
      <c r="EO79" s="81">
        <v>2070</v>
      </c>
      <c r="EP79" s="81">
        <v>1909</v>
      </c>
      <c r="EQ79" s="81">
        <v>1926</v>
      </c>
      <c r="ER79" s="81">
        <v>1944</v>
      </c>
      <c r="ES79" s="81">
        <v>1873</v>
      </c>
      <c r="ET79" s="81">
        <v>1809</v>
      </c>
      <c r="EU79" s="81">
        <v>1909</v>
      </c>
      <c r="EV79" s="81">
        <v>2011</v>
      </c>
      <c r="EW79" s="81">
        <v>2021</v>
      </c>
      <c r="EX79" s="81">
        <v>1882</v>
      </c>
      <c r="EY79" s="81">
        <v>2023</v>
      </c>
      <c r="EZ79" s="81">
        <v>1887</v>
      </c>
      <c r="FA79" s="81">
        <v>1925</v>
      </c>
      <c r="FB79" s="81">
        <v>1765</v>
      </c>
      <c r="FC79" s="81">
        <v>1894</v>
      </c>
      <c r="FD79" s="81">
        <v>1799</v>
      </c>
      <c r="FE79" s="81">
        <v>1807</v>
      </c>
      <c r="FF79" s="81">
        <v>1824</v>
      </c>
      <c r="FG79" s="81">
        <v>1868</v>
      </c>
      <c r="FH79" s="81">
        <v>1828</v>
      </c>
      <c r="FI79" s="81">
        <v>1685</v>
      </c>
      <c r="FJ79" s="81">
        <v>1637</v>
      </c>
      <c r="FK79" s="81">
        <v>1568</v>
      </c>
      <c r="FL79" s="81">
        <v>1541</v>
      </c>
      <c r="FM79" s="81">
        <v>1445</v>
      </c>
      <c r="FN79" s="81">
        <v>1401</v>
      </c>
      <c r="FO79" s="81">
        <v>1380</v>
      </c>
      <c r="FP79" s="81">
        <v>1333</v>
      </c>
      <c r="FQ79" s="81">
        <v>1233</v>
      </c>
      <c r="FR79" s="81">
        <v>1271</v>
      </c>
      <c r="FS79" s="81">
        <v>1174</v>
      </c>
      <c r="FT79" s="81">
        <v>1245</v>
      </c>
      <c r="FU79" s="81">
        <v>1094</v>
      </c>
      <c r="FV79" s="81">
        <v>936</v>
      </c>
      <c r="FW79" s="81">
        <v>862</v>
      </c>
      <c r="FX79" s="81">
        <v>853</v>
      </c>
      <c r="FY79" s="81">
        <v>872</v>
      </c>
      <c r="FZ79" s="81">
        <v>685</v>
      </c>
      <c r="GA79" s="81">
        <v>707</v>
      </c>
      <c r="GB79" s="81">
        <v>719</v>
      </c>
      <c r="GC79" s="81">
        <v>679</v>
      </c>
      <c r="GD79" s="81">
        <v>645</v>
      </c>
      <c r="GE79" s="81">
        <v>673</v>
      </c>
      <c r="GF79" s="81">
        <v>580</v>
      </c>
      <c r="GG79" s="81">
        <v>522</v>
      </c>
      <c r="GH79" s="81">
        <v>503</v>
      </c>
      <c r="GI79" s="81">
        <v>473</v>
      </c>
      <c r="GJ79" s="81">
        <v>377</v>
      </c>
      <c r="GK79" s="81">
        <v>378</v>
      </c>
      <c r="GL79" s="82">
        <v>1598</v>
      </c>
    </row>
    <row r="80" spans="1:194" s="1" customFormat="1" hidden="1" x14ac:dyDescent="0.2">
      <c r="A80" s="83" t="s">
        <v>220</v>
      </c>
      <c r="B80" s="262" t="s">
        <v>290</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0">
        <v>3492</v>
      </c>
      <c r="N80" s="80">
        <v>3678</v>
      </c>
      <c r="O80" s="80">
        <v>3961</v>
      </c>
      <c r="P80" s="80">
        <v>4075</v>
      </c>
      <c r="Q80" s="80">
        <v>4374</v>
      </c>
      <c r="R80" s="80">
        <v>4364</v>
      </c>
      <c r="S80" s="80">
        <v>4351</v>
      </c>
      <c r="T80" s="80">
        <v>4382</v>
      </c>
      <c r="U80" s="80">
        <v>4620</v>
      </c>
      <c r="V80" s="80">
        <v>4541</v>
      </c>
      <c r="W80" s="80">
        <v>4448</v>
      </c>
      <c r="X80" s="80">
        <v>4308</v>
      </c>
      <c r="Y80" s="80">
        <v>4515</v>
      </c>
      <c r="Z80" s="80">
        <v>4169</v>
      </c>
      <c r="AA80" s="80">
        <v>4082</v>
      </c>
      <c r="AB80" s="80">
        <v>3954</v>
      </c>
      <c r="AC80" s="80">
        <v>3952</v>
      </c>
      <c r="AD80" s="80">
        <v>3906</v>
      </c>
      <c r="AE80" s="80">
        <v>3882</v>
      </c>
      <c r="AF80" s="80">
        <v>4282</v>
      </c>
      <c r="AG80" s="80">
        <v>4630</v>
      </c>
      <c r="AH80" s="80">
        <v>4513</v>
      </c>
      <c r="AI80" s="80">
        <v>4123</v>
      </c>
      <c r="AJ80" s="80">
        <v>4466</v>
      </c>
      <c r="AK80" s="80">
        <v>4509</v>
      </c>
      <c r="AL80" s="80">
        <v>4205</v>
      </c>
      <c r="AM80" s="80">
        <v>4281</v>
      </c>
      <c r="AN80" s="80">
        <v>4300</v>
      </c>
      <c r="AO80" s="80">
        <v>4315</v>
      </c>
      <c r="AP80" s="80">
        <v>4378</v>
      </c>
      <c r="AQ80" s="80">
        <v>4527</v>
      </c>
      <c r="AR80" s="80">
        <v>4281</v>
      </c>
      <c r="AS80" s="80">
        <v>4380</v>
      </c>
      <c r="AT80" s="80">
        <v>4206</v>
      </c>
      <c r="AU80" s="80">
        <v>4190</v>
      </c>
      <c r="AV80" s="80">
        <v>4204</v>
      </c>
      <c r="AW80" s="80">
        <v>4033</v>
      </c>
      <c r="AX80" s="80">
        <v>4156</v>
      </c>
      <c r="AY80" s="80">
        <v>4172</v>
      </c>
      <c r="AZ80" s="80">
        <v>4089</v>
      </c>
      <c r="BA80" s="80">
        <v>4218</v>
      </c>
      <c r="BB80" s="80">
        <v>4028</v>
      </c>
      <c r="BC80" s="80">
        <v>3705</v>
      </c>
      <c r="BD80" s="80">
        <v>3754</v>
      </c>
      <c r="BE80" s="80">
        <v>3841</v>
      </c>
      <c r="BF80" s="80">
        <v>3985</v>
      </c>
      <c r="BG80" s="80">
        <v>4205</v>
      </c>
      <c r="BH80" s="80">
        <v>4645</v>
      </c>
      <c r="BI80" s="80">
        <v>5054</v>
      </c>
      <c r="BJ80" s="80">
        <v>5078</v>
      </c>
      <c r="BK80" s="80">
        <v>4816</v>
      </c>
      <c r="BL80" s="80">
        <v>5152</v>
      </c>
      <c r="BM80" s="80">
        <v>5228</v>
      </c>
      <c r="BN80" s="80">
        <v>5483</v>
      </c>
      <c r="BO80" s="80">
        <v>5329</v>
      </c>
      <c r="BP80" s="80">
        <v>5541</v>
      </c>
      <c r="BQ80" s="80">
        <v>5677</v>
      </c>
      <c r="BR80" s="80">
        <v>5495</v>
      </c>
      <c r="BS80" s="80">
        <v>5535</v>
      </c>
      <c r="BT80" s="80">
        <v>5355</v>
      </c>
      <c r="BU80" s="80">
        <v>5151</v>
      </c>
      <c r="BV80" s="80">
        <v>4891</v>
      </c>
      <c r="BW80" s="80">
        <v>4904</v>
      </c>
      <c r="BX80" s="80">
        <v>4783</v>
      </c>
      <c r="BY80" s="80">
        <v>4686</v>
      </c>
      <c r="BZ80" s="80">
        <v>4588</v>
      </c>
      <c r="CA80" s="80">
        <v>4597</v>
      </c>
      <c r="CB80" s="80">
        <v>4651</v>
      </c>
      <c r="CC80" s="80">
        <v>4570</v>
      </c>
      <c r="CD80" s="80">
        <v>4692</v>
      </c>
      <c r="CE80" s="80">
        <v>4827</v>
      </c>
      <c r="CF80" s="80">
        <v>4760</v>
      </c>
      <c r="CG80" s="80">
        <v>5229</v>
      </c>
      <c r="CH80" s="80">
        <v>5714</v>
      </c>
      <c r="CI80" s="80">
        <v>4413</v>
      </c>
      <c r="CJ80" s="80">
        <v>4126</v>
      </c>
      <c r="CK80" s="80">
        <v>4100</v>
      </c>
      <c r="CL80" s="80">
        <v>3626</v>
      </c>
      <c r="CM80" s="80">
        <v>3222</v>
      </c>
      <c r="CN80" s="80">
        <v>2610</v>
      </c>
      <c r="CO80" s="80">
        <v>2629</v>
      </c>
      <c r="CP80" s="80">
        <v>2540</v>
      </c>
      <c r="CQ80" s="80">
        <v>2216</v>
      </c>
      <c r="CR80" s="80">
        <v>2191</v>
      </c>
      <c r="CS80" s="80">
        <v>1823</v>
      </c>
      <c r="CT80" s="80">
        <v>1619</v>
      </c>
      <c r="CU80" s="80">
        <v>1345</v>
      </c>
      <c r="CV80" s="80">
        <v>1181</v>
      </c>
      <c r="CW80" s="80">
        <v>1001</v>
      </c>
      <c r="CX80" s="80">
        <v>866</v>
      </c>
      <c r="CY80" s="80">
        <v>2730</v>
      </c>
      <c r="CZ80" s="81">
        <v>3227</v>
      </c>
      <c r="DA80" s="81">
        <v>3420</v>
      </c>
      <c r="DB80" s="81">
        <v>3676</v>
      </c>
      <c r="DC80" s="81">
        <v>3741</v>
      </c>
      <c r="DD80" s="81">
        <v>4154</v>
      </c>
      <c r="DE80" s="81">
        <v>4226</v>
      </c>
      <c r="DF80" s="81">
        <v>4232</v>
      </c>
      <c r="DG80" s="81">
        <v>4241</v>
      </c>
      <c r="DH80" s="81">
        <v>4479</v>
      </c>
      <c r="DI80" s="81">
        <v>4443</v>
      </c>
      <c r="DJ80" s="81">
        <v>4200</v>
      </c>
      <c r="DK80" s="81">
        <v>4172</v>
      </c>
      <c r="DL80" s="81">
        <v>4201</v>
      </c>
      <c r="DM80" s="81">
        <v>4141</v>
      </c>
      <c r="DN80" s="81">
        <v>4101</v>
      </c>
      <c r="DO80" s="81">
        <v>3912</v>
      </c>
      <c r="DP80" s="81">
        <v>3840</v>
      </c>
      <c r="DQ80" s="81">
        <v>3754</v>
      </c>
      <c r="DR80" s="81">
        <v>3821</v>
      </c>
      <c r="DS80" s="81">
        <v>4508</v>
      </c>
      <c r="DT80" s="81">
        <v>4619</v>
      </c>
      <c r="DU80" s="81">
        <v>4606</v>
      </c>
      <c r="DV80" s="81">
        <v>3966</v>
      </c>
      <c r="DW80" s="81">
        <v>3900</v>
      </c>
      <c r="DX80" s="81">
        <v>3925</v>
      </c>
      <c r="DY80" s="81">
        <v>3731</v>
      </c>
      <c r="DZ80" s="81">
        <v>3931</v>
      </c>
      <c r="EA80" s="81">
        <v>4112</v>
      </c>
      <c r="EB80" s="81">
        <v>4183</v>
      </c>
      <c r="EC80" s="81">
        <v>4254</v>
      </c>
      <c r="ED80" s="81">
        <v>4282</v>
      </c>
      <c r="EE80" s="81">
        <v>4263</v>
      </c>
      <c r="EF80" s="81">
        <v>4471</v>
      </c>
      <c r="EG80" s="81">
        <v>4260</v>
      </c>
      <c r="EH80" s="81">
        <v>4492</v>
      </c>
      <c r="EI80" s="81">
        <v>4427</v>
      </c>
      <c r="EJ80" s="81">
        <v>4303</v>
      </c>
      <c r="EK80" s="81">
        <v>4446</v>
      </c>
      <c r="EL80" s="81">
        <v>4368</v>
      </c>
      <c r="EM80" s="81">
        <v>4402</v>
      </c>
      <c r="EN80" s="81">
        <v>4590</v>
      </c>
      <c r="EO80" s="81">
        <v>4307</v>
      </c>
      <c r="EP80" s="81">
        <v>3970</v>
      </c>
      <c r="EQ80" s="81">
        <v>3974</v>
      </c>
      <c r="ER80" s="81">
        <v>4050</v>
      </c>
      <c r="ES80" s="81">
        <v>4312</v>
      </c>
      <c r="ET80" s="81">
        <v>4561</v>
      </c>
      <c r="EU80" s="81">
        <v>4846</v>
      </c>
      <c r="EV80" s="81">
        <v>5099</v>
      </c>
      <c r="EW80" s="81">
        <v>5559</v>
      </c>
      <c r="EX80" s="81">
        <v>5543</v>
      </c>
      <c r="EY80" s="81">
        <v>5518</v>
      </c>
      <c r="EZ80" s="81">
        <v>5274</v>
      </c>
      <c r="FA80" s="81">
        <v>5650</v>
      </c>
      <c r="FB80" s="81">
        <v>5861</v>
      </c>
      <c r="FC80" s="81">
        <v>6060</v>
      </c>
      <c r="FD80" s="81">
        <v>5877</v>
      </c>
      <c r="FE80" s="81">
        <v>5828</v>
      </c>
      <c r="FF80" s="81">
        <v>5760</v>
      </c>
      <c r="FG80" s="81">
        <v>5799</v>
      </c>
      <c r="FH80" s="81">
        <v>5407</v>
      </c>
      <c r="FI80" s="81">
        <v>5373</v>
      </c>
      <c r="FJ80" s="81">
        <v>5374</v>
      </c>
      <c r="FK80" s="81">
        <v>5207</v>
      </c>
      <c r="FL80" s="81">
        <v>4993</v>
      </c>
      <c r="FM80" s="81">
        <v>4884</v>
      </c>
      <c r="FN80" s="81">
        <v>5026</v>
      </c>
      <c r="FO80" s="81">
        <v>4999</v>
      </c>
      <c r="FP80" s="81">
        <v>4788</v>
      </c>
      <c r="FQ80" s="81">
        <v>4861</v>
      </c>
      <c r="FR80" s="81">
        <v>5081</v>
      </c>
      <c r="FS80" s="81">
        <v>5128</v>
      </c>
      <c r="FT80" s="81">
        <v>5450</v>
      </c>
      <c r="FU80" s="81">
        <v>5755</v>
      </c>
      <c r="FV80" s="81">
        <v>4466</v>
      </c>
      <c r="FW80" s="81">
        <v>4384</v>
      </c>
      <c r="FX80" s="81">
        <v>4285</v>
      </c>
      <c r="FY80" s="81">
        <v>3840</v>
      </c>
      <c r="FZ80" s="81">
        <v>3414</v>
      </c>
      <c r="GA80" s="81">
        <v>2988</v>
      </c>
      <c r="GB80" s="81">
        <v>3000</v>
      </c>
      <c r="GC80" s="81">
        <v>2932</v>
      </c>
      <c r="GD80" s="81">
        <v>2694</v>
      </c>
      <c r="GE80" s="81">
        <v>2445</v>
      </c>
      <c r="GF80" s="81">
        <v>2236</v>
      </c>
      <c r="GG80" s="81">
        <v>2046</v>
      </c>
      <c r="GH80" s="81">
        <v>1755</v>
      </c>
      <c r="GI80" s="81">
        <v>1667</v>
      </c>
      <c r="GJ80" s="81">
        <v>1553</v>
      </c>
      <c r="GK80" s="81">
        <v>1371</v>
      </c>
      <c r="GL80" s="82">
        <v>5364</v>
      </c>
    </row>
    <row r="81" spans="1:194" s="1" customFormat="1" hidden="1" x14ac:dyDescent="0.2">
      <c r="A81" s="83" t="s">
        <v>220</v>
      </c>
      <c r="B81" s="262" t="s">
        <v>291</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0">
        <v>2743</v>
      </c>
      <c r="N81" s="80">
        <v>2932</v>
      </c>
      <c r="O81" s="80">
        <v>3041</v>
      </c>
      <c r="P81" s="80">
        <v>3080</v>
      </c>
      <c r="Q81" s="80">
        <v>3080</v>
      </c>
      <c r="R81" s="80">
        <v>3045</v>
      </c>
      <c r="S81" s="80">
        <v>2954</v>
      </c>
      <c r="T81" s="80">
        <v>2839</v>
      </c>
      <c r="U81" s="80">
        <v>2996</v>
      </c>
      <c r="V81" s="80">
        <v>2816</v>
      </c>
      <c r="W81" s="80">
        <v>2679</v>
      </c>
      <c r="X81" s="80">
        <v>2668</v>
      </c>
      <c r="Y81" s="80">
        <v>2607</v>
      </c>
      <c r="Z81" s="80">
        <v>2634</v>
      </c>
      <c r="AA81" s="80">
        <v>2538</v>
      </c>
      <c r="AB81" s="80">
        <v>2354</v>
      </c>
      <c r="AC81" s="80">
        <v>2337</v>
      </c>
      <c r="AD81" s="80">
        <v>2375</v>
      </c>
      <c r="AE81" s="80">
        <v>2746</v>
      </c>
      <c r="AF81" s="80">
        <v>4841</v>
      </c>
      <c r="AG81" s="80">
        <v>5734</v>
      </c>
      <c r="AH81" s="80">
        <v>5807</v>
      </c>
      <c r="AI81" s="80">
        <v>5243</v>
      </c>
      <c r="AJ81" s="80">
        <v>4784</v>
      </c>
      <c r="AK81" s="80">
        <v>4621</v>
      </c>
      <c r="AL81" s="80">
        <v>4393</v>
      </c>
      <c r="AM81" s="80">
        <v>4349</v>
      </c>
      <c r="AN81" s="80">
        <v>4679</v>
      </c>
      <c r="AO81" s="80">
        <v>4792</v>
      </c>
      <c r="AP81" s="80">
        <v>5071</v>
      </c>
      <c r="AQ81" s="80">
        <v>5026</v>
      </c>
      <c r="AR81" s="80">
        <v>4638</v>
      </c>
      <c r="AS81" s="80">
        <v>4103</v>
      </c>
      <c r="AT81" s="80">
        <v>3897</v>
      </c>
      <c r="AU81" s="80">
        <v>4149</v>
      </c>
      <c r="AV81" s="80">
        <v>4171</v>
      </c>
      <c r="AW81" s="80">
        <v>3909</v>
      </c>
      <c r="AX81" s="80">
        <v>3562</v>
      </c>
      <c r="AY81" s="80">
        <v>3610</v>
      </c>
      <c r="AZ81" s="80">
        <v>3479</v>
      </c>
      <c r="BA81" s="80">
        <v>3394</v>
      </c>
      <c r="BB81" s="80">
        <v>3253</v>
      </c>
      <c r="BC81" s="80">
        <v>2986</v>
      </c>
      <c r="BD81" s="80">
        <v>2705</v>
      </c>
      <c r="BE81" s="80">
        <v>2629</v>
      </c>
      <c r="BF81" s="80">
        <v>2524</v>
      </c>
      <c r="BG81" s="80">
        <v>2407</v>
      </c>
      <c r="BH81" s="80">
        <v>2627</v>
      </c>
      <c r="BI81" s="80">
        <v>2743</v>
      </c>
      <c r="BJ81" s="80">
        <v>2944</v>
      </c>
      <c r="BK81" s="80">
        <v>2909</v>
      </c>
      <c r="BL81" s="80">
        <v>2991</v>
      </c>
      <c r="BM81" s="80">
        <v>2805</v>
      </c>
      <c r="BN81" s="80">
        <v>2914</v>
      </c>
      <c r="BO81" s="80">
        <v>2623</v>
      </c>
      <c r="BP81" s="80">
        <v>2769</v>
      </c>
      <c r="BQ81" s="80">
        <v>2836</v>
      </c>
      <c r="BR81" s="80">
        <v>2947</v>
      </c>
      <c r="BS81" s="80">
        <v>2888</v>
      </c>
      <c r="BT81" s="80">
        <v>2703</v>
      </c>
      <c r="BU81" s="80">
        <v>2667</v>
      </c>
      <c r="BV81" s="80">
        <v>2552</v>
      </c>
      <c r="BW81" s="80">
        <v>2597</v>
      </c>
      <c r="BX81" s="80">
        <v>2436</v>
      </c>
      <c r="BY81" s="80">
        <v>2435</v>
      </c>
      <c r="BZ81" s="80">
        <v>2202</v>
      </c>
      <c r="CA81" s="80">
        <v>2165</v>
      </c>
      <c r="CB81" s="80">
        <v>2105</v>
      </c>
      <c r="CC81" s="80">
        <v>2112</v>
      </c>
      <c r="CD81" s="80">
        <v>2069</v>
      </c>
      <c r="CE81" s="80">
        <v>1924</v>
      </c>
      <c r="CF81" s="80">
        <v>1914</v>
      </c>
      <c r="CG81" s="80">
        <v>1947</v>
      </c>
      <c r="CH81" s="80">
        <v>2088</v>
      </c>
      <c r="CI81" s="80">
        <v>1582</v>
      </c>
      <c r="CJ81" s="80">
        <v>1303</v>
      </c>
      <c r="CK81" s="80">
        <v>1350</v>
      </c>
      <c r="CL81" s="80">
        <v>1233</v>
      </c>
      <c r="CM81" s="80">
        <v>1033</v>
      </c>
      <c r="CN81" s="80">
        <v>978</v>
      </c>
      <c r="CO81" s="80">
        <v>981</v>
      </c>
      <c r="CP81" s="80">
        <v>1004</v>
      </c>
      <c r="CQ81" s="80">
        <v>893</v>
      </c>
      <c r="CR81" s="80">
        <v>770</v>
      </c>
      <c r="CS81" s="80">
        <v>771</v>
      </c>
      <c r="CT81" s="80">
        <v>621</v>
      </c>
      <c r="CU81" s="80">
        <v>549</v>
      </c>
      <c r="CV81" s="80">
        <v>471</v>
      </c>
      <c r="CW81" s="80">
        <v>399</v>
      </c>
      <c r="CX81" s="80">
        <v>295</v>
      </c>
      <c r="CY81" s="80">
        <v>1031</v>
      </c>
      <c r="CZ81" s="81">
        <v>2603</v>
      </c>
      <c r="DA81" s="81">
        <v>2778</v>
      </c>
      <c r="DB81" s="81">
        <v>2867</v>
      </c>
      <c r="DC81" s="81">
        <v>2878</v>
      </c>
      <c r="DD81" s="81">
        <v>2834</v>
      </c>
      <c r="DE81" s="81">
        <v>2853</v>
      </c>
      <c r="DF81" s="81">
        <v>2855</v>
      </c>
      <c r="DG81" s="81">
        <v>2776</v>
      </c>
      <c r="DH81" s="81">
        <v>2960</v>
      </c>
      <c r="DI81" s="81">
        <v>2631</v>
      </c>
      <c r="DJ81" s="81">
        <v>2466</v>
      </c>
      <c r="DK81" s="81">
        <v>2562</v>
      </c>
      <c r="DL81" s="81">
        <v>2556</v>
      </c>
      <c r="DM81" s="81">
        <v>2435</v>
      </c>
      <c r="DN81" s="81">
        <v>2306</v>
      </c>
      <c r="DO81" s="81">
        <v>2176</v>
      </c>
      <c r="DP81" s="81">
        <v>2217</v>
      </c>
      <c r="DQ81" s="81">
        <v>2273</v>
      </c>
      <c r="DR81" s="81">
        <v>2759</v>
      </c>
      <c r="DS81" s="81">
        <v>5962</v>
      </c>
      <c r="DT81" s="81">
        <v>6791</v>
      </c>
      <c r="DU81" s="81">
        <v>6543</v>
      </c>
      <c r="DV81" s="81">
        <v>5206</v>
      </c>
      <c r="DW81" s="81">
        <v>4423</v>
      </c>
      <c r="DX81" s="81">
        <v>4015</v>
      </c>
      <c r="DY81" s="81">
        <v>4075</v>
      </c>
      <c r="DZ81" s="81">
        <v>4287</v>
      </c>
      <c r="EA81" s="81">
        <v>4417</v>
      </c>
      <c r="EB81" s="81">
        <v>4524</v>
      </c>
      <c r="EC81" s="81">
        <v>4692</v>
      </c>
      <c r="ED81" s="81">
        <v>4208</v>
      </c>
      <c r="EE81" s="81">
        <v>3935</v>
      </c>
      <c r="EF81" s="81">
        <v>3605</v>
      </c>
      <c r="EG81" s="81">
        <v>3426</v>
      </c>
      <c r="EH81" s="81">
        <v>3530</v>
      </c>
      <c r="EI81" s="81">
        <v>3433</v>
      </c>
      <c r="EJ81" s="81">
        <v>3104</v>
      </c>
      <c r="EK81" s="81">
        <v>3320</v>
      </c>
      <c r="EL81" s="81">
        <v>2986</v>
      </c>
      <c r="EM81" s="81">
        <v>3033</v>
      </c>
      <c r="EN81" s="81">
        <v>3107</v>
      </c>
      <c r="EO81" s="81">
        <v>2742</v>
      </c>
      <c r="EP81" s="81">
        <v>2514</v>
      </c>
      <c r="EQ81" s="81">
        <v>2452</v>
      </c>
      <c r="ER81" s="81">
        <v>2541</v>
      </c>
      <c r="ES81" s="81">
        <v>2513</v>
      </c>
      <c r="ET81" s="81">
        <v>2484</v>
      </c>
      <c r="EU81" s="81">
        <v>2574</v>
      </c>
      <c r="EV81" s="81">
        <v>2751</v>
      </c>
      <c r="EW81" s="81">
        <v>2913</v>
      </c>
      <c r="EX81" s="81">
        <v>2878</v>
      </c>
      <c r="EY81" s="81">
        <v>2896</v>
      </c>
      <c r="EZ81" s="81">
        <v>2891</v>
      </c>
      <c r="FA81" s="81">
        <v>2985</v>
      </c>
      <c r="FB81" s="81">
        <v>3147</v>
      </c>
      <c r="FC81" s="81">
        <v>3215</v>
      </c>
      <c r="FD81" s="81">
        <v>3182</v>
      </c>
      <c r="FE81" s="81">
        <v>3202</v>
      </c>
      <c r="FF81" s="81">
        <v>3145</v>
      </c>
      <c r="FG81" s="81">
        <v>3021</v>
      </c>
      <c r="FH81" s="81">
        <v>2867</v>
      </c>
      <c r="FI81" s="81">
        <v>2839</v>
      </c>
      <c r="FJ81" s="81">
        <v>2689</v>
      </c>
      <c r="FK81" s="81">
        <v>2712</v>
      </c>
      <c r="FL81" s="81">
        <v>2509</v>
      </c>
      <c r="FM81" s="81">
        <v>2329</v>
      </c>
      <c r="FN81" s="81">
        <v>2324</v>
      </c>
      <c r="FO81" s="81">
        <v>2209</v>
      </c>
      <c r="FP81" s="81">
        <v>2215</v>
      </c>
      <c r="FQ81" s="81">
        <v>2054</v>
      </c>
      <c r="FR81" s="81">
        <v>2119</v>
      </c>
      <c r="FS81" s="81">
        <v>2019</v>
      </c>
      <c r="FT81" s="81">
        <v>2123</v>
      </c>
      <c r="FU81" s="81">
        <v>2187</v>
      </c>
      <c r="FV81" s="81">
        <v>1661</v>
      </c>
      <c r="FW81" s="81">
        <v>1464</v>
      </c>
      <c r="FX81" s="81">
        <v>1511</v>
      </c>
      <c r="FY81" s="81">
        <v>1476</v>
      </c>
      <c r="FZ81" s="81">
        <v>1251</v>
      </c>
      <c r="GA81" s="81">
        <v>1283</v>
      </c>
      <c r="GB81" s="81">
        <v>1242</v>
      </c>
      <c r="GC81" s="81">
        <v>1269</v>
      </c>
      <c r="GD81" s="81">
        <v>1149</v>
      </c>
      <c r="GE81" s="81">
        <v>1103</v>
      </c>
      <c r="GF81" s="81">
        <v>1091</v>
      </c>
      <c r="GG81" s="81">
        <v>994</v>
      </c>
      <c r="GH81" s="81">
        <v>829</v>
      </c>
      <c r="GI81" s="81">
        <v>762</v>
      </c>
      <c r="GJ81" s="81">
        <v>678</v>
      </c>
      <c r="GK81" s="81">
        <v>584</v>
      </c>
      <c r="GL81" s="82">
        <v>2083</v>
      </c>
    </row>
    <row r="82" spans="1:194" s="1" customFormat="1" hidden="1" x14ac:dyDescent="0.2">
      <c r="A82" s="83" t="s">
        <v>220</v>
      </c>
      <c r="B82" s="262" t="s">
        <v>292</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0">
        <v>3571</v>
      </c>
      <c r="N82" s="80">
        <v>3685</v>
      </c>
      <c r="O82" s="80">
        <v>3635</v>
      </c>
      <c r="P82" s="80">
        <v>3649</v>
      </c>
      <c r="Q82" s="80">
        <v>3886</v>
      </c>
      <c r="R82" s="80">
        <v>3882</v>
      </c>
      <c r="S82" s="80">
        <v>3794</v>
      </c>
      <c r="T82" s="80">
        <v>3828</v>
      </c>
      <c r="U82" s="80">
        <v>3867</v>
      </c>
      <c r="V82" s="80">
        <v>3527</v>
      </c>
      <c r="W82" s="80">
        <v>3559</v>
      </c>
      <c r="X82" s="80">
        <v>3460</v>
      </c>
      <c r="Y82" s="80">
        <v>3434</v>
      </c>
      <c r="Z82" s="80">
        <v>3335</v>
      </c>
      <c r="AA82" s="80">
        <v>3195</v>
      </c>
      <c r="AB82" s="80">
        <v>3057</v>
      </c>
      <c r="AC82" s="80">
        <v>2943</v>
      </c>
      <c r="AD82" s="80">
        <v>2920</v>
      </c>
      <c r="AE82" s="80">
        <v>3385</v>
      </c>
      <c r="AF82" s="80">
        <v>5526</v>
      </c>
      <c r="AG82" s="80">
        <v>6649</v>
      </c>
      <c r="AH82" s="80">
        <v>6837</v>
      </c>
      <c r="AI82" s="80">
        <v>6792</v>
      </c>
      <c r="AJ82" s="80">
        <v>6828</v>
      </c>
      <c r="AK82" s="80">
        <v>6723</v>
      </c>
      <c r="AL82" s="80">
        <v>6551</v>
      </c>
      <c r="AM82" s="80">
        <v>6580</v>
      </c>
      <c r="AN82" s="80">
        <v>6913</v>
      </c>
      <c r="AO82" s="80">
        <v>6425</v>
      </c>
      <c r="AP82" s="80">
        <v>7247</v>
      </c>
      <c r="AQ82" s="80">
        <v>6872</v>
      </c>
      <c r="AR82" s="80">
        <v>6111</v>
      </c>
      <c r="AS82" s="80">
        <v>5690</v>
      </c>
      <c r="AT82" s="80">
        <v>5153</v>
      </c>
      <c r="AU82" s="80">
        <v>5186</v>
      </c>
      <c r="AV82" s="80">
        <v>4951</v>
      </c>
      <c r="AW82" s="80">
        <v>4517</v>
      </c>
      <c r="AX82" s="80">
        <v>4534</v>
      </c>
      <c r="AY82" s="80">
        <v>4264</v>
      </c>
      <c r="AZ82" s="80">
        <v>4180</v>
      </c>
      <c r="BA82" s="80">
        <v>4041</v>
      </c>
      <c r="BB82" s="80">
        <v>3617</v>
      </c>
      <c r="BC82" s="80">
        <v>3279</v>
      </c>
      <c r="BD82" s="80">
        <v>3136</v>
      </c>
      <c r="BE82" s="80">
        <v>2930</v>
      </c>
      <c r="BF82" s="80">
        <v>2846</v>
      </c>
      <c r="BG82" s="80">
        <v>2900</v>
      </c>
      <c r="BH82" s="80">
        <v>2936</v>
      </c>
      <c r="BI82" s="80">
        <v>2886</v>
      </c>
      <c r="BJ82" s="80">
        <v>2888</v>
      </c>
      <c r="BK82" s="80">
        <v>2884</v>
      </c>
      <c r="BL82" s="80">
        <v>3029</v>
      </c>
      <c r="BM82" s="80">
        <v>2812</v>
      </c>
      <c r="BN82" s="80">
        <v>3020</v>
      </c>
      <c r="BO82" s="80">
        <v>2740</v>
      </c>
      <c r="BP82" s="80">
        <v>2638</v>
      </c>
      <c r="BQ82" s="80">
        <v>2575</v>
      </c>
      <c r="BR82" s="80">
        <v>2428</v>
      </c>
      <c r="BS82" s="80">
        <v>2402</v>
      </c>
      <c r="BT82" s="80">
        <v>2190</v>
      </c>
      <c r="BU82" s="80">
        <v>2069</v>
      </c>
      <c r="BV82" s="80">
        <v>2044</v>
      </c>
      <c r="BW82" s="80">
        <v>2037</v>
      </c>
      <c r="BX82" s="80">
        <v>1992</v>
      </c>
      <c r="BY82" s="80">
        <v>1801</v>
      </c>
      <c r="BZ82" s="80">
        <v>1782</v>
      </c>
      <c r="CA82" s="80">
        <v>1616</v>
      </c>
      <c r="CB82" s="80">
        <v>1623</v>
      </c>
      <c r="CC82" s="80">
        <v>1515</v>
      </c>
      <c r="CD82" s="80">
        <v>1424</v>
      </c>
      <c r="CE82" s="80">
        <v>1477</v>
      </c>
      <c r="CF82" s="80">
        <v>1414</v>
      </c>
      <c r="CG82" s="80">
        <v>1462</v>
      </c>
      <c r="CH82" s="80">
        <v>1415</v>
      </c>
      <c r="CI82" s="80">
        <v>926</v>
      </c>
      <c r="CJ82" s="80">
        <v>950</v>
      </c>
      <c r="CK82" s="80">
        <v>858</v>
      </c>
      <c r="CL82" s="80">
        <v>740</v>
      </c>
      <c r="CM82" s="80">
        <v>711</v>
      </c>
      <c r="CN82" s="80">
        <v>720</v>
      </c>
      <c r="CO82" s="80">
        <v>653</v>
      </c>
      <c r="CP82" s="80">
        <v>605</v>
      </c>
      <c r="CQ82" s="80">
        <v>561</v>
      </c>
      <c r="CR82" s="80">
        <v>494</v>
      </c>
      <c r="CS82" s="80">
        <v>435</v>
      </c>
      <c r="CT82" s="80">
        <v>391</v>
      </c>
      <c r="CU82" s="80">
        <v>376</v>
      </c>
      <c r="CV82" s="80">
        <v>258</v>
      </c>
      <c r="CW82" s="80">
        <v>261</v>
      </c>
      <c r="CX82" s="80">
        <v>172</v>
      </c>
      <c r="CY82" s="80">
        <v>706</v>
      </c>
      <c r="CZ82" s="81">
        <v>3447</v>
      </c>
      <c r="DA82" s="81">
        <v>3435</v>
      </c>
      <c r="DB82" s="81">
        <v>3541</v>
      </c>
      <c r="DC82" s="81">
        <v>3675</v>
      </c>
      <c r="DD82" s="81">
        <v>3634</v>
      </c>
      <c r="DE82" s="81">
        <v>3699</v>
      </c>
      <c r="DF82" s="81">
        <v>3622</v>
      </c>
      <c r="DG82" s="81">
        <v>3512</v>
      </c>
      <c r="DH82" s="81">
        <v>3725</v>
      </c>
      <c r="DI82" s="81">
        <v>3508</v>
      </c>
      <c r="DJ82" s="81">
        <v>3498</v>
      </c>
      <c r="DK82" s="81">
        <v>3158</v>
      </c>
      <c r="DL82" s="81">
        <v>3276</v>
      </c>
      <c r="DM82" s="81">
        <v>3269</v>
      </c>
      <c r="DN82" s="81">
        <v>3191</v>
      </c>
      <c r="DO82" s="81">
        <v>2977</v>
      </c>
      <c r="DP82" s="81">
        <v>2628</v>
      </c>
      <c r="DQ82" s="81">
        <v>2850</v>
      </c>
      <c r="DR82" s="81">
        <v>3170</v>
      </c>
      <c r="DS82" s="81">
        <v>5977</v>
      </c>
      <c r="DT82" s="81">
        <v>7112</v>
      </c>
      <c r="DU82" s="81">
        <v>7051</v>
      </c>
      <c r="DV82" s="81">
        <v>6757</v>
      </c>
      <c r="DW82" s="81">
        <v>6618</v>
      </c>
      <c r="DX82" s="81">
        <v>6291</v>
      </c>
      <c r="DY82" s="81">
        <v>6178</v>
      </c>
      <c r="DZ82" s="81">
        <v>6262</v>
      </c>
      <c r="EA82" s="81">
        <v>6377</v>
      </c>
      <c r="EB82" s="81">
        <v>6295</v>
      </c>
      <c r="EC82" s="81">
        <v>6109</v>
      </c>
      <c r="ED82" s="81">
        <v>5948</v>
      </c>
      <c r="EE82" s="81">
        <v>5184</v>
      </c>
      <c r="EF82" s="81">
        <v>4631</v>
      </c>
      <c r="EG82" s="81">
        <v>4261</v>
      </c>
      <c r="EH82" s="81">
        <v>4222</v>
      </c>
      <c r="EI82" s="81">
        <v>4411</v>
      </c>
      <c r="EJ82" s="81">
        <v>3945</v>
      </c>
      <c r="EK82" s="81">
        <v>3945</v>
      </c>
      <c r="EL82" s="81">
        <v>3822</v>
      </c>
      <c r="EM82" s="81">
        <v>3352</v>
      </c>
      <c r="EN82" s="81">
        <v>3607</v>
      </c>
      <c r="EO82" s="81">
        <v>3149</v>
      </c>
      <c r="EP82" s="81">
        <v>2960</v>
      </c>
      <c r="EQ82" s="81">
        <v>2866</v>
      </c>
      <c r="ER82" s="81">
        <v>2768</v>
      </c>
      <c r="ES82" s="81">
        <v>2681</v>
      </c>
      <c r="ET82" s="81">
        <v>2711</v>
      </c>
      <c r="EU82" s="81">
        <v>2745</v>
      </c>
      <c r="EV82" s="81">
        <v>2783</v>
      </c>
      <c r="EW82" s="81">
        <v>2819</v>
      </c>
      <c r="EX82" s="81">
        <v>2819</v>
      </c>
      <c r="EY82" s="81">
        <v>2904</v>
      </c>
      <c r="EZ82" s="81">
        <v>2831</v>
      </c>
      <c r="FA82" s="81">
        <v>2884</v>
      </c>
      <c r="FB82" s="81">
        <v>2716</v>
      </c>
      <c r="FC82" s="81">
        <v>2913</v>
      </c>
      <c r="FD82" s="81">
        <v>2728</v>
      </c>
      <c r="FE82" s="81">
        <v>2513</v>
      </c>
      <c r="FF82" s="81">
        <v>2557</v>
      </c>
      <c r="FG82" s="81">
        <v>2331</v>
      </c>
      <c r="FH82" s="81">
        <v>2170</v>
      </c>
      <c r="FI82" s="81">
        <v>2086</v>
      </c>
      <c r="FJ82" s="81">
        <v>1963</v>
      </c>
      <c r="FK82" s="81">
        <v>2012</v>
      </c>
      <c r="FL82" s="81">
        <v>1844</v>
      </c>
      <c r="FM82" s="81">
        <v>1698</v>
      </c>
      <c r="FN82" s="81">
        <v>1579</v>
      </c>
      <c r="FO82" s="81">
        <v>1552</v>
      </c>
      <c r="FP82" s="81">
        <v>1559</v>
      </c>
      <c r="FQ82" s="81">
        <v>1549</v>
      </c>
      <c r="FR82" s="81">
        <v>1402</v>
      </c>
      <c r="FS82" s="81">
        <v>1379</v>
      </c>
      <c r="FT82" s="81">
        <v>1434</v>
      </c>
      <c r="FU82" s="81">
        <v>1429</v>
      </c>
      <c r="FV82" s="81">
        <v>1160</v>
      </c>
      <c r="FW82" s="81">
        <v>1051</v>
      </c>
      <c r="FX82" s="81">
        <v>1168</v>
      </c>
      <c r="FY82" s="81">
        <v>970</v>
      </c>
      <c r="FZ82" s="81">
        <v>950</v>
      </c>
      <c r="GA82" s="81">
        <v>959</v>
      </c>
      <c r="GB82" s="81">
        <v>859</v>
      </c>
      <c r="GC82" s="81">
        <v>822</v>
      </c>
      <c r="GD82" s="81">
        <v>825</v>
      </c>
      <c r="GE82" s="81">
        <v>791</v>
      </c>
      <c r="GF82" s="81">
        <v>717</v>
      </c>
      <c r="GG82" s="81">
        <v>635</v>
      </c>
      <c r="GH82" s="81">
        <v>518</v>
      </c>
      <c r="GI82" s="81">
        <v>486</v>
      </c>
      <c r="GJ82" s="81">
        <v>469</v>
      </c>
      <c r="GK82" s="81">
        <v>369</v>
      </c>
      <c r="GL82" s="82">
        <v>1682</v>
      </c>
    </row>
    <row r="83" spans="1:194" s="1" customFormat="1" hidden="1" x14ac:dyDescent="0.2">
      <c r="A83" s="83" t="s">
        <v>220</v>
      </c>
      <c r="B83" s="262" t="s">
        <v>293</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0">
        <v>1980</v>
      </c>
      <c r="N83" s="80">
        <v>2054</v>
      </c>
      <c r="O83" s="80">
        <v>2231</v>
      </c>
      <c r="P83" s="80">
        <v>2320</v>
      </c>
      <c r="Q83" s="80">
        <v>2443</v>
      </c>
      <c r="R83" s="80">
        <v>2397</v>
      </c>
      <c r="S83" s="80">
        <v>2437</v>
      </c>
      <c r="T83" s="80">
        <v>2374</v>
      </c>
      <c r="U83" s="80">
        <v>2561</v>
      </c>
      <c r="V83" s="80">
        <v>2554</v>
      </c>
      <c r="W83" s="80">
        <v>2575</v>
      </c>
      <c r="X83" s="80">
        <v>2559</v>
      </c>
      <c r="Y83" s="80">
        <v>2535</v>
      </c>
      <c r="Z83" s="80">
        <v>2434</v>
      </c>
      <c r="AA83" s="80">
        <v>2482</v>
      </c>
      <c r="AB83" s="80">
        <v>2418</v>
      </c>
      <c r="AC83" s="80">
        <v>2230</v>
      </c>
      <c r="AD83" s="80">
        <v>2306</v>
      </c>
      <c r="AE83" s="80">
        <v>2155</v>
      </c>
      <c r="AF83" s="80">
        <v>1736</v>
      </c>
      <c r="AG83" s="80">
        <v>1738</v>
      </c>
      <c r="AH83" s="80">
        <v>1893</v>
      </c>
      <c r="AI83" s="80">
        <v>1936</v>
      </c>
      <c r="AJ83" s="80">
        <v>2143</v>
      </c>
      <c r="AK83" s="80">
        <v>2187</v>
      </c>
      <c r="AL83" s="80">
        <v>2142</v>
      </c>
      <c r="AM83" s="80">
        <v>2292</v>
      </c>
      <c r="AN83" s="80">
        <v>2128</v>
      </c>
      <c r="AO83" s="80">
        <v>2322</v>
      </c>
      <c r="AP83" s="80">
        <v>2325</v>
      </c>
      <c r="AQ83" s="80">
        <v>2306</v>
      </c>
      <c r="AR83" s="80">
        <v>2325</v>
      </c>
      <c r="AS83" s="80">
        <v>2356</v>
      </c>
      <c r="AT83" s="80">
        <v>2432</v>
      </c>
      <c r="AU83" s="80">
        <v>2386</v>
      </c>
      <c r="AV83" s="80">
        <v>2349</v>
      </c>
      <c r="AW83" s="80">
        <v>2420</v>
      </c>
      <c r="AX83" s="80">
        <v>2193</v>
      </c>
      <c r="AY83" s="80">
        <v>2587</v>
      </c>
      <c r="AZ83" s="80">
        <v>2414</v>
      </c>
      <c r="BA83" s="80">
        <v>2429</v>
      </c>
      <c r="BB83" s="80">
        <v>2408</v>
      </c>
      <c r="BC83" s="80">
        <v>2312</v>
      </c>
      <c r="BD83" s="80">
        <v>2292</v>
      </c>
      <c r="BE83" s="80">
        <v>2456</v>
      </c>
      <c r="BF83" s="80">
        <v>2551</v>
      </c>
      <c r="BG83" s="80">
        <v>2654</v>
      </c>
      <c r="BH83" s="80">
        <v>2610</v>
      </c>
      <c r="BI83" s="80">
        <v>2948</v>
      </c>
      <c r="BJ83" s="80">
        <v>3015</v>
      </c>
      <c r="BK83" s="80">
        <v>2874</v>
      </c>
      <c r="BL83" s="80">
        <v>2871</v>
      </c>
      <c r="BM83" s="80">
        <v>2876</v>
      </c>
      <c r="BN83" s="80">
        <v>3051</v>
      </c>
      <c r="BO83" s="80">
        <v>2951</v>
      </c>
      <c r="BP83" s="80">
        <v>2921</v>
      </c>
      <c r="BQ83" s="80">
        <v>2826</v>
      </c>
      <c r="BR83" s="80">
        <v>2685</v>
      </c>
      <c r="BS83" s="80">
        <v>2827</v>
      </c>
      <c r="BT83" s="80">
        <v>2582</v>
      </c>
      <c r="BU83" s="80">
        <v>2495</v>
      </c>
      <c r="BV83" s="80">
        <v>2442</v>
      </c>
      <c r="BW83" s="80">
        <v>2396</v>
      </c>
      <c r="BX83" s="80">
        <v>2246</v>
      </c>
      <c r="BY83" s="80">
        <v>2309</v>
      </c>
      <c r="BZ83" s="80">
        <v>2081</v>
      </c>
      <c r="CA83" s="80">
        <v>2166</v>
      </c>
      <c r="CB83" s="80">
        <v>2151</v>
      </c>
      <c r="CC83" s="80">
        <v>2013</v>
      </c>
      <c r="CD83" s="80">
        <v>2007</v>
      </c>
      <c r="CE83" s="80">
        <v>1997</v>
      </c>
      <c r="CF83" s="80">
        <v>2143</v>
      </c>
      <c r="CG83" s="80">
        <v>2335</v>
      </c>
      <c r="CH83" s="80">
        <v>2515</v>
      </c>
      <c r="CI83" s="80">
        <v>1914</v>
      </c>
      <c r="CJ83" s="80">
        <v>1755</v>
      </c>
      <c r="CK83" s="80">
        <v>1754</v>
      </c>
      <c r="CL83" s="80">
        <v>1608</v>
      </c>
      <c r="CM83" s="80">
        <v>1327</v>
      </c>
      <c r="CN83" s="80">
        <v>1088</v>
      </c>
      <c r="CO83" s="80">
        <v>1079</v>
      </c>
      <c r="CP83" s="80">
        <v>1108</v>
      </c>
      <c r="CQ83" s="80">
        <v>1007</v>
      </c>
      <c r="CR83" s="80">
        <v>997</v>
      </c>
      <c r="CS83" s="80">
        <v>842</v>
      </c>
      <c r="CT83" s="80">
        <v>797</v>
      </c>
      <c r="CU83" s="80">
        <v>625</v>
      </c>
      <c r="CV83" s="80">
        <v>578</v>
      </c>
      <c r="CW83" s="80">
        <v>493</v>
      </c>
      <c r="CX83" s="80">
        <v>429</v>
      </c>
      <c r="CY83" s="80">
        <v>1361</v>
      </c>
      <c r="CZ83" s="81">
        <v>1814</v>
      </c>
      <c r="DA83" s="81">
        <v>2026</v>
      </c>
      <c r="DB83" s="81">
        <v>2194</v>
      </c>
      <c r="DC83" s="81">
        <v>2127</v>
      </c>
      <c r="DD83" s="81">
        <v>2198</v>
      </c>
      <c r="DE83" s="81">
        <v>2168</v>
      </c>
      <c r="DF83" s="81">
        <v>2199</v>
      </c>
      <c r="DG83" s="81">
        <v>2278</v>
      </c>
      <c r="DH83" s="81">
        <v>2363</v>
      </c>
      <c r="DI83" s="81">
        <v>2355</v>
      </c>
      <c r="DJ83" s="81">
        <v>2500</v>
      </c>
      <c r="DK83" s="81">
        <v>2387</v>
      </c>
      <c r="DL83" s="81">
        <v>2461</v>
      </c>
      <c r="DM83" s="81">
        <v>2318</v>
      </c>
      <c r="DN83" s="81">
        <v>2356</v>
      </c>
      <c r="DO83" s="81">
        <v>2290</v>
      </c>
      <c r="DP83" s="81">
        <v>2167</v>
      </c>
      <c r="DQ83" s="81">
        <v>2106</v>
      </c>
      <c r="DR83" s="81">
        <v>1930</v>
      </c>
      <c r="DS83" s="81">
        <v>1592</v>
      </c>
      <c r="DT83" s="81">
        <v>1506</v>
      </c>
      <c r="DU83" s="81">
        <v>1653</v>
      </c>
      <c r="DV83" s="81">
        <v>1766</v>
      </c>
      <c r="DW83" s="81">
        <v>2039</v>
      </c>
      <c r="DX83" s="81">
        <v>2105</v>
      </c>
      <c r="DY83" s="81">
        <v>2126</v>
      </c>
      <c r="DZ83" s="81">
        <v>2204</v>
      </c>
      <c r="EA83" s="81">
        <v>2220</v>
      </c>
      <c r="EB83" s="81">
        <v>2193</v>
      </c>
      <c r="EC83" s="81">
        <v>2332</v>
      </c>
      <c r="ED83" s="81">
        <v>2383</v>
      </c>
      <c r="EE83" s="81">
        <v>2457</v>
      </c>
      <c r="EF83" s="81">
        <v>2612</v>
      </c>
      <c r="EG83" s="81">
        <v>2547</v>
      </c>
      <c r="EH83" s="81">
        <v>2536</v>
      </c>
      <c r="EI83" s="81">
        <v>2549</v>
      </c>
      <c r="EJ83" s="81">
        <v>2520</v>
      </c>
      <c r="EK83" s="81">
        <v>2476</v>
      </c>
      <c r="EL83" s="81">
        <v>2486</v>
      </c>
      <c r="EM83" s="81">
        <v>2733</v>
      </c>
      <c r="EN83" s="81">
        <v>2612</v>
      </c>
      <c r="EO83" s="81">
        <v>2549</v>
      </c>
      <c r="EP83" s="81">
        <v>2430</v>
      </c>
      <c r="EQ83" s="81">
        <v>2409</v>
      </c>
      <c r="ER83" s="81">
        <v>2483</v>
      </c>
      <c r="ES83" s="81">
        <v>2685</v>
      </c>
      <c r="ET83" s="81">
        <v>2745</v>
      </c>
      <c r="EU83" s="81">
        <v>2756</v>
      </c>
      <c r="EV83" s="81">
        <v>2848</v>
      </c>
      <c r="EW83" s="81">
        <v>2998</v>
      </c>
      <c r="EX83" s="81">
        <v>2957</v>
      </c>
      <c r="EY83" s="81">
        <v>2926</v>
      </c>
      <c r="EZ83" s="81">
        <v>3167</v>
      </c>
      <c r="FA83" s="81">
        <v>3183</v>
      </c>
      <c r="FB83" s="81">
        <v>3102</v>
      </c>
      <c r="FC83" s="81">
        <v>2922</v>
      </c>
      <c r="FD83" s="81">
        <v>2961</v>
      </c>
      <c r="FE83" s="81">
        <v>2869</v>
      </c>
      <c r="FF83" s="81">
        <v>2776</v>
      </c>
      <c r="FG83" s="81">
        <v>2695</v>
      </c>
      <c r="FH83" s="81">
        <v>2439</v>
      </c>
      <c r="FI83" s="81">
        <v>2412</v>
      </c>
      <c r="FJ83" s="81">
        <v>2547</v>
      </c>
      <c r="FK83" s="81">
        <v>2352</v>
      </c>
      <c r="FL83" s="81">
        <v>2395</v>
      </c>
      <c r="FM83" s="81">
        <v>2284</v>
      </c>
      <c r="FN83" s="81">
        <v>2220</v>
      </c>
      <c r="FO83" s="81">
        <v>2182</v>
      </c>
      <c r="FP83" s="81">
        <v>2146</v>
      </c>
      <c r="FQ83" s="81">
        <v>2291</v>
      </c>
      <c r="FR83" s="81">
        <v>2181</v>
      </c>
      <c r="FS83" s="81">
        <v>2411</v>
      </c>
      <c r="FT83" s="81">
        <v>2620</v>
      </c>
      <c r="FU83" s="81">
        <v>2993</v>
      </c>
      <c r="FV83" s="81">
        <v>2146</v>
      </c>
      <c r="FW83" s="81">
        <v>1988</v>
      </c>
      <c r="FX83" s="81">
        <v>1973</v>
      </c>
      <c r="FY83" s="81">
        <v>1681</v>
      </c>
      <c r="FZ83" s="81">
        <v>1477</v>
      </c>
      <c r="GA83" s="81">
        <v>1305</v>
      </c>
      <c r="GB83" s="81">
        <v>1365</v>
      </c>
      <c r="GC83" s="81">
        <v>1333</v>
      </c>
      <c r="GD83" s="81">
        <v>1207</v>
      </c>
      <c r="GE83" s="81">
        <v>1137</v>
      </c>
      <c r="GF83" s="81">
        <v>1150</v>
      </c>
      <c r="GG83" s="81">
        <v>928</v>
      </c>
      <c r="GH83" s="81">
        <v>820</v>
      </c>
      <c r="GI83" s="81">
        <v>729</v>
      </c>
      <c r="GJ83" s="81">
        <v>778</v>
      </c>
      <c r="GK83" s="81">
        <v>682</v>
      </c>
      <c r="GL83" s="82">
        <v>2672</v>
      </c>
    </row>
    <row r="84" spans="1:194" s="1" customFormat="1" hidden="1" x14ac:dyDescent="0.2">
      <c r="A84" s="83" t="s">
        <v>220</v>
      </c>
      <c r="B84" s="262" t="s">
        <v>294</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0">
        <v>1406</v>
      </c>
      <c r="N84" s="80">
        <v>1576</v>
      </c>
      <c r="O84" s="80">
        <v>1509</v>
      </c>
      <c r="P84" s="80">
        <v>1619</v>
      </c>
      <c r="Q84" s="80">
        <v>1741</v>
      </c>
      <c r="R84" s="80">
        <v>1662</v>
      </c>
      <c r="S84" s="80">
        <v>1792</v>
      </c>
      <c r="T84" s="80">
        <v>1831</v>
      </c>
      <c r="U84" s="80">
        <v>1808</v>
      </c>
      <c r="V84" s="80">
        <v>1849</v>
      </c>
      <c r="W84" s="80">
        <v>1768</v>
      </c>
      <c r="X84" s="80">
        <v>1851</v>
      </c>
      <c r="Y84" s="80">
        <v>1895</v>
      </c>
      <c r="Z84" s="80">
        <v>1910</v>
      </c>
      <c r="AA84" s="80">
        <v>1873</v>
      </c>
      <c r="AB84" s="80">
        <v>1873</v>
      </c>
      <c r="AC84" s="80">
        <v>1792</v>
      </c>
      <c r="AD84" s="80">
        <v>1719</v>
      </c>
      <c r="AE84" s="80">
        <v>1978</v>
      </c>
      <c r="AF84" s="80">
        <v>2761</v>
      </c>
      <c r="AG84" s="80">
        <v>2818</v>
      </c>
      <c r="AH84" s="80">
        <v>2941</v>
      </c>
      <c r="AI84" s="80">
        <v>2567</v>
      </c>
      <c r="AJ84" s="80">
        <v>2370</v>
      </c>
      <c r="AK84" s="80">
        <v>2242</v>
      </c>
      <c r="AL84" s="80">
        <v>2173</v>
      </c>
      <c r="AM84" s="80">
        <v>2277</v>
      </c>
      <c r="AN84" s="80">
        <v>2075</v>
      </c>
      <c r="AO84" s="80">
        <v>2346</v>
      </c>
      <c r="AP84" s="80">
        <v>2020</v>
      </c>
      <c r="AQ84" s="80">
        <v>1907</v>
      </c>
      <c r="AR84" s="80">
        <v>1781</v>
      </c>
      <c r="AS84" s="80">
        <v>1586</v>
      </c>
      <c r="AT84" s="80">
        <v>1630</v>
      </c>
      <c r="AU84" s="80">
        <v>1587</v>
      </c>
      <c r="AV84" s="80">
        <v>1616</v>
      </c>
      <c r="AW84" s="80">
        <v>1743</v>
      </c>
      <c r="AX84" s="80">
        <v>1611</v>
      </c>
      <c r="AY84" s="80">
        <v>1638</v>
      </c>
      <c r="AZ84" s="80">
        <v>1711</v>
      </c>
      <c r="BA84" s="80">
        <v>1654</v>
      </c>
      <c r="BB84" s="80">
        <v>1632</v>
      </c>
      <c r="BC84" s="80">
        <v>1571</v>
      </c>
      <c r="BD84" s="80">
        <v>1540</v>
      </c>
      <c r="BE84" s="80">
        <v>1598</v>
      </c>
      <c r="BF84" s="80">
        <v>1668</v>
      </c>
      <c r="BG84" s="80">
        <v>1867</v>
      </c>
      <c r="BH84" s="80">
        <v>1823</v>
      </c>
      <c r="BI84" s="80">
        <v>1971</v>
      </c>
      <c r="BJ84" s="80">
        <v>2136</v>
      </c>
      <c r="BK84" s="80">
        <v>2220</v>
      </c>
      <c r="BL84" s="80">
        <v>2301</v>
      </c>
      <c r="BM84" s="80">
        <v>2279</v>
      </c>
      <c r="BN84" s="80">
        <v>2406</v>
      </c>
      <c r="BO84" s="80">
        <v>2380</v>
      </c>
      <c r="BP84" s="80">
        <v>2442</v>
      </c>
      <c r="BQ84" s="80">
        <v>2453</v>
      </c>
      <c r="BR84" s="80">
        <v>2305</v>
      </c>
      <c r="BS84" s="80">
        <v>2456</v>
      </c>
      <c r="BT84" s="80">
        <v>2330</v>
      </c>
      <c r="BU84" s="80">
        <v>2271</v>
      </c>
      <c r="BV84" s="80">
        <v>2233</v>
      </c>
      <c r="BW84" s="80">
        <v>2172</v>
      </c>
      <c r="BX84" s="80">
        <v>2131</v>
      </c>
      <c r="BY84" s="80">
        <v>1973</v>
      </c>
      <c r="BZ84" s="80">
        <v>2047</v>
      </c>
      <c r="CA84" s="80">
        <v>1991</v>
      </c>
      <c r="CB84" s="80">
        <v>1983</v>
      </c>
      <c r="CC84" s="80">
        <v>1882</v>
      </c>
      <c r="CD84" s="80">
        <v>1883</v>
      </c>
      <c r="CE84" s="80">
        <v>1943</v>
      </c>
      <c r="CF84" s="80">
        <v>2200</v>
      </c>
      <c r="CG84" s="80">
        <v>2152</v>
      </c>
      <c r="CH84" s="80">
        <v>2457</v>
      </c>
      <c r="CI84" s="80">
        <v>1830</v>
      </c>
      <c r="CJ84" s="80">
        <v>1689</v>
      </c>
      <c r="CK84" s="80">
        <v>1618</v>
      </c>
      <c r="CL84" s="80">
        <v>1551</v>
      </c>
      <c r="CM84" s="80">
        <v>1364</v>
      </c>
      <c r="CN84" s="80">
        <v>1189</v>
      </c>
      <c r="CO84" s="80">
        <v>1151</v>
      </c>
      <c r="CP84" s="80">
        <v>1086</v>
      </c>
      <c r="CQ84" s="80">
        <v>1044</v>
      </c>
      <c r="CR84" s="80">
        <v>905</v>
      </c>
      <c r="CS84" s="80">
        <v>804</v>
      </c>
      <c r="CT84" s="80">
        <v>655</v>
      </c>
      <c r="CU84" s="80">
        <v>577</v>
      </c>
      <c r="CV84" s="80">
        <v>509</v>
      </c>
      <c r="CW84" s="80">
        <v>423</v>
      </c>
      <c r="CX84" s="80">
        <v>369</v>
      </c>
      <c r="CY84" s="80">
        <v>1195</v>
      </c>
      <c r="CZ84" s="81">
        <v>1361</v>
      </c>
      <c r="DA84" s="81">
        <v>1533</v>
      </c>
      <c r="DB84" s="81">
        <v>1487</v>
      </c>
      <c r="DC84" s="81">
        <v>1576</v>
      </c>
      <c r="DD84" s="81">
        <v>1647</v>
      </c>
      <c r="DE84" s="81">
        <v>1669</v>
      </c>
      <c r="DF84" s="81">
        <v>1637</v>
      </c>
      <c r="DG84" s="81">
        <v>1645</v>
      </c>
      <c r="DH84" s="81">
        <v>1791</v>
      </c>
      <c r="DI84" s="81">
        <v>1786</v>
      </c>
      <c r="DJ84" s="81">
        <v>1632</v>
      </c>
      <c r="DK84" s="81">
        <v>1658</v>
      </c>
      <c r="DL84" s="81">
        <v>1763</v>
      </c>
      <c r="DM84" s="81">
        <v>1725</v>
      </c>
      <c r="DN84" s="81">
        <v>1686</v>
      </c>
      <c r="DO84" s="81">
        <v>1696</v>
      </c>
      <c r="DP84" s="81">
        <v>1656</v>
      </c>
      <c r="DQ84" s="81">
        <v>1682</v>
      </c>
      <c r="DR84" s="81">
        <v>1737</v>
      </c>
      <c r="DS84" s="81">
        <v>2477</v>
      </c>
      <c r="DT84" s="81">
        <v>2516</v>
      </c>
      <c r="DU84" s="81">
        <v>2478</v>
      </c>
      <c r="DV84" s="81">
        <v>2233</v>
      </c>
      <c r="DW84" s="81">
        <v>2028</v>
      </c>
      <c r="DX84" s="81">
        <v>1839</v>
      </c>
      <c r="DY84" s="81">
        <v>1822</v>
      </c>
      <c r="DZ84" s="81">
        <v>1954</v>
      </c>
      <c r="EA84" s="81">
        <v>1998</v>
      </c>
      <c r="EB84" s="81">
        <v>2023</v>
      </c>
      <c r="EC84" s="81">
        <v>1928</v>
      </c>
      <c r="ED84" s="81">
        <v>1738</v>
      </c>
      <c r="EE84" s="81">
        <v>1768</v>
      </c>
      <c r="EF84" s="81">
        <v>1719</v>
      </c>
      <c r="EG84" s="81">
        <v>1707</v>
      </c>
      <c r="EH84" s="81">
        <v>1741</v>
      </c>
      <c r="EI84" s="81">
        <v>1815</v>
      </c>
      <c r="EJ84" s="81">
        <v>1721</v>
      </c>
      <c r="EK84" s="81">
        <v>1826</v>
      </c>
      <c r="EL84" s="81">
        <v>1777</v>
      </c>
      <c r="EM84" s="81">
        <v>1762</v>
      </c>
      <c r="EN84" s="81">
        <v>1813</v>
      </c>
      <c r="EO84" s="81">
        <v>1710</v>
      </c>
      <c r="EP84" s="81">
        <v>1623</v>
      </c>
      <c r="EQ84" s="81">
        <v>1675</v>
      </c>
      <c r="ER84" s="81">
        <v>1826</v>
      </c>
      <c r="ES84" s="81">
        <v>1779</v>
      </c>
      <c r="ET84" s="81">
        <v>1890</v>
      </c>
      <c r="EU84" s="81">
        <v>1929</v>
      </c>
      <c r="EV84" s="81">
        <v>2215</v>
      </c>
      <c r="EW84" s="81">
        <v>2406</v>
      </c>
      <c r="EX84" s="81">
        <v>2355</v>
      </c>
      <c r="EY84" s="81">
        <v>2419</v>
      </c>
      <c r="EZ84" s="81">
        <v>2363</v>
      </c>
      <c r="FA84" s="81">
        <v>2553</v>
      </c>
      <c r="FB84" s="81">
        <v>2506</v>
      </c>
      <c r="FC84" s="81">
        <v>2618</v>
      </c>
      <c r="FD84" s="81">
        <v>2600</v>
      </c>
      <c r="FE84" s="81">
        <v>2552</v>
      </c>
      <c r="FF84" s="81">
        <v>2591</v>
      </c>
      <c r="FG84" s="81">
        <v>2341</v>
      </c>
      <c r="FH84" s="81">
        <v>2422</v>
      </c>
      <c r="FI84" s="81">
        <v>2465</v>
      </c>
      <c r="FJ84" s="81">
        <v>2269</v>
      </c>
      <c r="FK84" s="81">
        <v>2253</v>
      </c>
      <c r="FL84" s="81">
        <v>2141</v>
      </c>
      <c r="FM84" s="81">
        <v>2043</v>
      </c>
      <c r="FN84" s="81">
        <v>2063</v>
      </c>
      <c r="FO84" s="81">
        <v>2071</v>
      </c>
      <c r="FP84" s="81">
        <v>2023</v>
      </c>
      <c r="FQ84" s="81">
        <v>2028</v>
      </c>
      <c r="FR84" s="81">
        <v>2160</v>
      </c>
      <c r="FS84" s="81">
        <v>2146</v>
      </c>
      <c r="FT84" s="81">
        <v>2278</v>
      </c>
      <c r="FU84" s="81">
        <v>2441</v>
      </c>
      <c r="FV84" s="81">
        <v>1913</v>
      </c>
      <c r="FW84" s="81">
        <v>1775</v>
      </c>
      <c r="FX84" s="81">
        <v>1845</v>
      </c>
      <c r="FY84" s="81">
        <v>1627</v>
      </c>
      <c r="FZ84" s="81">
        <v>1458</v>
      </c>
      <c r="GA84" s="81">
        <v>1274</v>
      </c>
      <c r="GB84" s="81">
        <v>1312</v>
      </c>
      <c r="GC84" s="81">
        <v>1276</v>
      </c>
      <c r="GD84" s="81">
        <v>1225</v>
      </c>
      <c r="GE84" s="81">
        <v>1134</v>
      </c>
      <c r="GF84" s="81">
        <v>1049</v>
      </c>
      <c r="GG84" s="81">
        <v>920</v>
      </c>
      <c r="GH84" s="81">
        <v>815</v>
      </c>
      <c r="GI84" s="81">
        <v>775</v>
      </c>
      <c r="GJ84" s="81">
        <v>655</v>
      </c>
      <c r="GK84" s="81">
        <v>666</v>
      </c>
      <c r="GL84" s="82">
        <v>2603</v>
      </c>
    </row>
    <row r="85" spans="1:194" s="1" customFormat="1" hidden="1" x14ac:dyDescent="0.2">
      <c r="A85" s="83" t="s">
        <v>220</v>
      </c>
      <c r="B85" s="262" t="s">
        <v>295</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0">
        <v>2571</v>
      </c>
      <c r="N85" s="80">
        <v>2641</v>
      </c>
      <c r="O85" s="80">
        <v>2680</v>
      </c>
      <c r="P85" s="80">
        <v>2770</v>
      </c>
      <c r="Q85" s="80">
        <v>2883</v>
      </c>
      <c r="R85" s="80">
        <v>2926</v>
      </c>
      <c r="S85" s="80">
        <v>2782</v>
      </c>
      <c r="T85" s="80">
        <v>2873</v>
      </c>
      <c r="U85" s="80">
        <v>3104</v>
      </c>
      <c r="V85" s="80">
        <v>3041</v>
      </c>
      <c r="W85" s="80">
        <v>2977</v>
      </c>
      <c r="X85" s="80">
        <v>2929</v>
      </c>
      <c r="Y85" s="80">
        <v>2875</v>
      </c>
      <c r="Z85" s="80">
        <v>2808</v>
      </c>
      <c r="AA85" s="80">
        <v>2753</v>
      </c>
      <c r="AB85" s="80">
        <v>2467</v>
      </c>
      <c r="AC85" s="80">
        <v>2453</v>
      </c>
      <c r="AD85" s="80">
        <v>2693</v>
      </c>
      <c r="AE85" s="80">
        <v>3119</v>
      </c>
      <c r="AF85" s="80">
        <v>5366</v>
      </c>
      <c r="AG85" s="80">
        <v>6103</v>
      </c>
      <c r="AH85" s="80">
        <v>6170</v>
      </c>
      <c r="AI85" s="80">
        <v>5742</v>
      </c>
      <c r="AJ85" s="80">
        <v>4853</v>
      </c>
      <c r="AK85" s="80">
        <v>4443</v>
      </c>
      <c r="AL85" s="80">
        <v>4532</v>
      </c>
      <c r="AM85" s="80">
        <v>4519</v>
      </c>
      <c r="AN85" s="80">
        <v>4639</v>
      </c>
      <c r="AO85" s="80">
        <v>4568</v>
      </c>
      <c r="AP85" s="80">
        <v>4784</v>
      </c>
      <c r="AQ85" s="80">
        <v>4486</v>
      </c>
      <c r="AR85" s="80">
        <v>4013</v>
      </c>
      <c r="AS85" s="80">
        <v>3687</v>
      </c>
      <c r="AT85" s="80">
        <v>3634</v>
      </c>
      <c r="AU85" s="80">
        <v>3720</v>
      </c>
      <c r="AV85" s="80">
        <v>3389</v>
      </c>
      <c r="AW85" s="80">
        <v>3292</v>
      </c>
      <c r="AX85" s="80">
        <v>3364</v>
      </c>
      <c r="AY85" s="80">
        <v>3105</v>
      </c>
      <c r="AZ85" s="80">
        <v>3041</v>
      </c>
      <c r="BA85" s="80">
        <v>3098</v>
      </c>
      <c r="BB85" s="80">
        <v>2821</v>
      </c>
      <c r="BC85" s="80">
        <v>2635</v>
      </c>
      <c r="BD85" s="80">
        <v>2645</v>
      </c>
      <c r="BE85" s="80">
        <v>2752</v>
      </c>
      <c r="BF85" s="80">
        <v>2618</v>
      </c>
      <c r="BG85" s="80">
        <v>2555</v>
      </c>
      <c r="BH85" s="80">
        <v>2683</v>
      </c>
      <c r="BI85" s="80">
        <v>3089</v>
      </c>
      <c r="BJ85" s="80">
        <v>3156</v>
      </c>
      <c r="BK85" s="80">
        <v>2852</v>
      </c>
      <c r="BL85" s="80">
        <v>2941</v>
      </c>
      <c r="BM85" s="80">
        <v>3019</v>
      </c>
      <c r="BN85" s="80">
        <v>3027</v>
      </c>
      <c r="BO85" s="80">
        <v>3040</v>
      </c>
      <c r="BP85" s="80">
        <v>3038</v>
      </c>
      <c r="BQ85" s="80">
        <v>2957</v>
      </c>
      <c r="BR85" s="80">
        <v>3010</v>
      </c>
      <c r="BS85" s="80">
        <v>3103</v>
      </c>
      <c r="BT85" s="80">
        <v>2869</v>
      </c>
      <c r="BU85" s="80">
        <v>2845</v>
      </c>
      <c r="BV85" s="80">
        <v>2790</v>
      </c>
      <c r="BW85" s="80">
        <v>2878</v>
      </c>
      <c r="BX85" s="80">
        <v>2677</v>
      </c>
      <c r="BY85" s="80">
        <v>2512</v>
      </c>
      <c r="BZ85" s="80">
        <v>2365</v>
      </c>
      <c r="CA85" s="80">
        <v>2319</v>
      </c>
      <c r="CB85" s="80">
        <v>2214</v>
      </c>
      <c r="CC85" s="80">
        <v>2047</v>
      </c>
      <c r="CD85" s="80">
        <v>2094</v>
      </c>
      <c r="CE85" s="80">
        <v>2216</v>
      </c>
      <c r="CF85" s="80">
        <v>2168</v>
      </c>
      <c r="CG85" s="80">
        <v>2247</v>
      </c>
      <c r="CH85" s="80">
        <v>2507</v>
      </c>
      <c r="CI85" s="80">
        <v>1738</v>
      </c>
      <c r="CJ85" s="80">
        <v>1659</v>
      </c>
      <c r="CK85" s="80">
        <v>1539</v>
      </c>
      <c r="CL85" s="80">
        <v>1397</v>
      </c>
      <c r="CM85" s="80">
        <v>1220</v>
      </c>
      <c r="CN85" s="80">
        <v>1165</v>
      </c>
      <c r="CO85" s="80">
        <v>1166</v>
      </c>
      <c r="CP85" s="80">
        <v>1207</v>
      </c>
      <c r="CQ85" s="80">
        <v>1040</v>
      </c>
      <c r="CR85" s="80">
        <v>982</v>
      </c>
      <c r="CS85" s="80">
        <v>837</v>
      </c>
      <c r="CT85" s="80">
        <v>792</v>
      </c>
      <c r="CU85" s="80">
        <v>699</v>
      </c>
      <c r="CV85" s="80">
        <v>571</v>
      </c>
      <c r="CW85" s="80">
        <v>566</v>
      </c>
      <c r="CX85" s="80">
        <v>447</v>
      </c>
      <c r="CY85" s="80">
        <v>1408</v>
      </c>
      <c r="CZ85" s="81">
        <v>2412</v>
      </c>
      <c r="DA85" s="81">
        <v>2613</v>
      </c>
      <c r="DB85" s="81">
        <v>2503</v>
      </c>
      <c r="DC85" s="81">
        <v>2694</v>
      </c>
      <c r="DD85" s="81">
        <v>2790</v>
      </c>
      <c r="DE85" s="81">
        <v>2599</v>
      </c>
      <c r="DF85" s="81">
        <v>2877</v>
      </c>
      <c r="DG85" s="81">
        <v>2849</v>
      </c>
      <c r="DH85" s="81">
        <v>2785</v>
      </c>
      <c r="DI85" s="81">
        <v>2917</v>
      </c>
      <c r="DJ85" s="81">
        <v>2808</v>
      </c>
      <c r="DK85" s="81">
        <v>2767</v>
      </c>
      <c r="DL85" s="81">
        <v>2639</v>
      </c>
      <c r="DM85" s="81">
        <v>2659</v>
      </c>
      <c r="DN85" s="81">
        <v>2581</v>
      </c>
      <c r="DO85" s="81">
        <v>2500</v>
      </c>
      <c r="DP85" s="81">
        <v>2462</v>
      </c>
      <c r="DQ85" s="81">
        <v>2442</v>
      </c>
      <c r="DR85" s="81">
        <v>2954</v>
      </c>
      <c r="DS85" s="81">
        <v>5502</v>
      </c>
      <c r="DT85" s="81">
        <v>5916</v>
      </c>
      <c r="DU85" s="81">
        <v>5788</v>
      </c>
      <c r="DV85" s="81">
        <v>5266</v>
      </c>
      <c r="DW85" s="81">
        <v>4412</v>
      </c>
      <c r="DX85" s="81">
        <v>4356</v>
      </c>
      <c r="DY85" s="81">
        <v>3931</v>
      </c>
      <c r="DZ85" s="81">
        <v>4166</v>
      </c>
      <c r="EA85" s="81">
        <v>4105</v>
      </c>
      <c r="EB85" s="81">
        <v>4245</v>
      </c>
      <c r="EC85" s="81">
        <v>4096</v>
      </c>
      <c r="ED85" s="81">
        <v>3794</v>
      </c>
      <c r="EE85" s="81">
        <v>3494</v>
      </c>
      <c r="EF85" s="81">
        <v>3609</v>
      </c>
      <c r="EG85" s="81">
        <v>3366</v>
      </c>
      <c r="EH85" s="81">
        <v>3405</v>
      </c>
      <c r="EI85" s="81">
        <v>3147</v>
      </c>
      <c r="EJ85" s="81">
        <v>3142</v>
      </c>
      <c r="EK85" s="81">
        <v>3345</v>
      </c>
      <c r="EL85" s="81">
        <v>3097</v>
      </c>
      <c r="EM85" s="81">
        <v>2957</v>
      </c>
      <c r="EN85" s="81">
        <v>3013</v>
      </c>
      <c r="EO85" s="81">
        <v>2911</v>
      </c>
      <c r="EP85" s="81">
        <v>2565</v>
      </c>
      <c r="EQ85" s="81">
        <v>2450</v>
      </c>
      <c r="ER85" s="81">
        <v>2637</v>
      </c>
      <c r="ES85" s="81">
        <v>2635</v>
      </c>
      <c r="ET85" s="81">
        <v>2652</v>
      </c>
      <c r="EU85" s="81">
        <v>2717</v>
      </c>
      <c r="EV85" s="81">
        <v>2970</v>
      </c>
      <c r="EW85" s="81">
        <v>3072</v>
      </c>
      <c r="EX85" s="81">
        <v>2956</v>
      </c>
      <c r="EY85" s="81">
        <v>2950</v>
      </c>
      <c r="EZ85" s="81">
        <v>2933</v>
      </c>
      <c r="FA85" s="81">
        <v>3123</v>
      </c>
      <c r="FB85" s="81">
        <v>3146</v>
      </c>
      <c r="FC85" s="81">
        <v>3203</v>
      </c>
      <c r="FD85" s="81">
        <v>3135</v>
      </c>
      <c r="FE85" s="81">
        <v>3298</v>
      </c>
      <c r="FF85" s="81">
        <v>3104</v>
      </c>
      <c r="FG85" s="81">
        <v>2964</v>
      </c>
      <c r="FH85" s="81">
        <v>2884</v>
      </c>
      <c r="FI85" s="81">
        <v>2907</v>
      </c>
      <c r="FJ85" s="81">
        <v>2858</v>
      </c>
      <c r="FK85" s="81">
        <v>2646</v>
      </c>
      <c r="FL85" s="81">
        <v>2593</v>
      </c>
      <c r="FM85" s="81">
        <v>2443</v>
      </c>
      <c r="FN85" s="81">
        <v>2351</v>
      </c>
      <c r="FO85" s="81">
        <v>2265</v>
      </c>
      <c r="FP85" s="81">
        <v>2221</v>
      </c>
      <c r="FQ85" s="81">
        <v>2177</v>
      </c>
      <c r="FR85" s="81">
        <v>2357</v>
      </c>
      <c r="FS85" s="81">
        <v>2319</v>
      </c>
      <c r="FT85" s="81">
        <v>2439</v>
      </c>
      <c r="FU85" s="81">
        <v>2605</v>
      </c>
      <c r="FV85" s="81">
        <v>1872</v>
      </c>
      <c r="FW85" s="81">
        <v>1876</v>
      </c>
      <c r="FX85" s="81">
        <v>1812</v>
      </c>
      <c r="FY85" s="81">
        <v>1557</v>
      </c>
      <c r="FZ85" s="81">
        <v>1472</v>
      </c>
      <c r="GA85" s="81">
        <v>1437</v>
      </c>
      <c r="GB85" s="81">
        <v>1501</v>
      </c>
      <c r="GC85" s="81">
        <v>1493</v>
      </c>
      <c r="GD85" s="81">
        <v>1448</v>
      </c>
      <c r="GE85" s="81">
        <v>1362</v>
      </c>
      <c r="GF85" s="81">
        <v>1164</v>
      </c>
      <c r="GG85" s="81">
        <v>1137</v>
      </c>
      <c r="GH85" s="81">
        <v>987</v>
      </c>
      <c r="GI85" s="81">
        <v>933</v>
      </c>
      <c r="GJ85" s="81">
        <v>766</v>
      </c>
      <c r="GK85" s="81">
        <v>739</v>
      </c>
      <c r="GL85" s="82">
        <v>2714</v>
      </c>
    </row>
    <row r="86" spans="1:194" s="1" customFormat="1" hidden="1" x14ac:dyDescent="0.2">
      <c r="A86" s="83" t="s">
        <v>220</v>
      </c>
      <c r="B86" s="262" t="s">
        <v>296</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0">
        <v>4581</v>
      </c>
      <c r="N86" s="80">
        <v>4822</v>
      </c>
      <c r="O86" s="80">
        <v>5157</v>
      </c>
      <c r="P86" s="80">
        <v>5516</v>
      </c>
      <c r="Q86" s="80">
        <v>5547</v>
      </c>
      <c r="R86" s="80">
        <v>5679</v>
      </c>
      <c r="S86" s="80">
        <v>5577</v>
      </c>
      <c r="T86" s="80">
        <v>5922</v>
      </c>
      <c r="U86" s="80">
        <v>5905</v>
      </c>
      <c r="V86" s="80">
        <v>6055</v>
      </c>
      <c r="W86" s="80">
        <v>5903</v>
      </c>
      <c r="X86" s="80">
        <v>5850</v>
      </c>
      <c r="Y86" s="80">
        <v>6099</v>
      </c>
      <c r="Z86" s="80">
        <v>5827</v>
      </c>
      <c r="AA86" s="80">
        <v>5555</v>
      </c>
      <c r="AB86" s="80">
        <v>5451</v>
      </c>
      <c r="AC86" s="80">
        <v>5291</v>
      </c>
      <c r="AD86" s="80">
        <v>5219</v>
      </c>
      <c r="AE86" s="80">
        <v>5203</v>
      </c>
      <c r="AF86" s="80">
        <v>5621</v>
      </c>
      <c r="AG86" s="80">
        <v>5831</v>
      </c>
      <c r="AH86" s="80">
        <v>5743</v>
      </c>
      <c r="AI86" s="80">
        <v>5916</v>
      </c>
      <c r="AJ86" s="80">
        <v>5799</v>
      </c>
      <c r="AK86" s="80">
        <v>5926</v>
      </c>
      <c r="AL86" s="80">
        <v>5877</v>
      </c>
      <c r="AM86" s="80">
        <v>6205</v>
      </c>
      <c r="AN86" s="80">
        <v>5902</v>
      </c>
      <c r="AO86" s="80">
        <v>5764</v>
      </c>
      <c r="AP86" s="80">
        <v>5832</v>
      </c>
      <c r="AQ86" s="80">
        <v>5920</v>
      </c>
      <c r="AR86" s="80">
        <v>5838</v>
      </c>
      <c r="AS86" s="80">
        <v>5935</v>
      </c>
      <c r="AT86" s="80">
        <v>5748</v>
      </c>
      <c r="AU86" s="80">
        <v>5729</v>
      </c>
      <c r="AV86" s="80">
        <v>5846</v>
      </c>
      <c r="AW86" s="80">
        <v>5707</v>
      </c>
      <c r="AX86" s="80">
        <v>5595</v>
      </c>
      <c r="AY86" s="80">
        <v>5585</v>
      </c>
      <c r="AZ86" s="80">
        <v>5719</v>
      </c>
      <c r="BA86" s="80">
        <v>5723</v>
      </c>
      <c r="BB86" s="80">
        <v>5539</v>
      </c>
      <c r="BC86" s="80">
        <v>5108</v>
      </c>
      <c r="BD86" s="80">
        <v>5001</v>
      </c>
      <c r="BE86" s="80">
        <v>5202</v>
      </c>
      <c r="BF86" s="80">
        <v>5470</v>
      </c>
      <c r="BG86" s="80">
        <v>5736</v>
      </c>
      <c r="BH86" s="80">
        <v>6133</v>
      </c>
      <c r="BI86" s="80">
        <v>6438</v>
      </c>
      <c r="BJ86" s="80">
        <v>6688</v>
      </c>
      <c r="BK86" s="80">
        <v>6730</v>
      </c>
      <c r="BL86" s="80">
        <v>7037</v>
      </c>
      <c r="BM86" s="80">
        <v>6861</v>
      </c>
      <c r="BN86" s="80">
        <v>7005</v>
      </c>
      <c r="BO86" s="80">
        <v>7222</v>
      </c>
      <c r="BP86" s="80">
        <v>7266</v>
      </c>
      <c r="BQ86" s="80">
        <v>7288</v>
      </c>
      <c r="BR86" s="80">
        <v>7147</v>
      </c>
      <c r="BS86" s="80">
        <v>6982</v>
      </c>
      <c r="BT86" s="80">
        <v>7013</v>
      </c>
      <c r="BU86" s="80">
        <v>6687</v>
      </c>
      <c r="BV86" s="80">
        <v>6535</v>
      </c>
      <c r="BW86" s="80">
        <v>6416</v>
      </c>
      <c r="BX86" s="80">
        <v>6329</v>
      </c>
      <c r="BY86" s="80">
        <v>6199</v>
      </c>
      <c r="BZ86" s="80">
        <v>5946</v>
      </c>
      <c r="CA86" s="80">
        <v>6284</v>
      </c>
      <c r="CB86" s="80">
        <v>6119</v>
      </c>
      <c r="CC86" s="80">
        <v>6063</v>
      </c>
      <c r="CD86" s="80">
        <v>6251</v>
      </c>
      <c r="CE86" s="80">
        <v>6394</v>
      </c>
      <c r="CF86" s="80">
        <v>6581</v>
      </c>
      <c r="CG86" s="80">
        <v>7149</v>
      </c>
      <c r="CH86" s="80">
        <v>7941</v>
      </c>
      <c r="CI86" s="80">
        <v>6052</v>
      </c>
      <c r="CJ86" s="80">
        <v>5738</v>
      </c>
      <c r="CK86" s="80">
        <v>5585</v>
      </c>
      <c r="CL86" s="80">
        <v>5056</v>
      </c>
      <c r="CM86" s="80">
        <v>4493</v>
      </c>
      <c r="CN86" s="80">
        <v>3655</v>
      </c>
      <c r="CO86" s="80">
        <v>3741</v>
      </c>
      <c r="CP86" s="80">
        <v>3594</v>
      </c>
      <c r="CQ86" s="80">
        <v>3473</v>
      </c>
      <c r="CR86" s="80">
        <v>3128</v>
      </c>
      <c r="CS86" s="80">
        <v>2693</v>
      </c>
      <c r="CT86" s="80">
        <v>2450</v>
      </c>
      <c r="CU86" s="80">
        <v>2087</v>
      </c>
      <c r="CV86" s="80">
        <v>1853</v>
      </c>
      <c r="CW86" s="80">
        <v>1646</v>
      </c>
      <c r="CX86" s="80">
        <v>1306</v>
      </c>
      <c r="CY86" s="80">
        <v>4365</v>
      </c>
      <c r="CZ86" s="81">
        <v>4282</v>
      </c>
      <c r="DA86" s="81">
        <v>4578</v>
      </c>
      <c r="DB86" s="81">
        <v>4802</v>
      </c>
      <c r="DC86" s="81">
        <v>5104</v>
      </c>
      <c r="DD86" s="81">
        <v>5326</v>
      </c>
      <c r="DE86" s="81">
        <v>5239</v>
      </c>
      <c r="DF86" s="81">
        <v>5487</v>
      </c>
      <c r="DG86" s="81">
        <v>5701</v>
      </c>
      <c r="DH86" s="81">
        <v>5840</v>
      </c>
      <c r="DI86" s="81">
        <v>5724</v>
      </c>
      <c r="DJ86" s="81">
        <v>5706</v>
      </c>
      <c r="DK86" s="81">
        <v>5630</v>
      </c>
      <c r="DL86" s="81">
        <v>5662</v>
      </c>
      <c r="DM86" s="81">
        <v>5457</v>
      </c>
      <c r="DN86" s="81">
        <v>5225</v>
      </c>
      <c r="DO86" s="81">
        <v>5016</v>
      </c>
      <c r="DP86" s="81">
        <v>5059</v>
      </c>
      <c r="DQ86" s="81">
        <v>4900</v>
      </c>
      <c r="DR86" s="81">
        <v>4973</v>
      </c>
      <c r="DS86" s="81">
        <v>5690</v>
      </c>
      <c r="DT86" s="81">
        <v>5556</v>
      </c>
      <c r="DU86" s="81">
        <v>5769</v>
      </c>
      <c r="DV86" s="81">
        <v>5520</v>
      </c>
      <c r="DW86" s="81">
        <v>5843</v>
      </c>
      <c r="DX86" s="81">
        <v>5869</v>
      </c>
      <c r="DY86" s="81">
        <v>5612</v>
      </c>
      <c r="DZ86" s="81">
        <v>5743</v>
      </c>
      <c r="EA86" s="81">
        <v>5387</v>
      </c>
      <c r="EB86" s="81">
        <v>5698</v>
      </c>
      <c r="EC86" s="81">
        <v>5844</v>
      </c>
      <c r="ED86" s="81">
        <v>5656</v>
      </c>
      <c r="EE86" s="81">
        <v>5905</v>
      </c>
      <c r="EF86" s="81">
        <v>5968</v>
      </c>
      <c r="EG86" s="81">
        <v>6026</v>
      </c>
      <c r="EH86" s="81">
        <v>6019</v>
      </c>
      <c r="EI86" s="81">
        <v>5844</v>
      </c>
      <c r="EJ86" s="81">
        <v>5729</v>
      </c>
      <c r="EK86" s="81">
        <v>5842</v>
      </c>
      <c r="EL86" s="81">
        <v>6052</v>
      </c>
      <c r="EM86" s="81">
        <v>5858</v>
      </c>
      <c r="EN86" s="81">
        <v>5673</v>
      </c>
      <c r="EO86" s="81">
        <v>5557</v>
      </c>
      <c r="EP86" s="81">
        <v>5244</v>
      </c>
      <c r="EQ86" s="81">
        <v>5231</v>
      </c>
      <c r="ER86" s="81">
        <v>5427</v>
      </c>
      <c r="ES86" s="81">
        <v>5658</v>
      </c>
      <c r="ET86" s="81">
        <v>6099</v>
      </c>
      <c r="EU86" s="81">
        <v>6241</v>
      </c>
      <c r="EV86" s="81">
        <v>6652</v>
      </c>
      <c r="EW86" s="81">
        <v>7025</v>
      </c>
      <c r="EX86" s="81">
        <v>6918</v>
      </c>
      <c r="EY86" s="81">
        <v>7139</v>
      </c>
      <c r="EZ86" s="81">
        <v>7332</v>
      </c>
      <c r="FA86" s="81">
        <v>7286</v>
      </c>
      <c r="FB86" s="81">
        <v>7543</v>
      </c>
      <c r="FC86" s="81">
        <v>7647</v>
      </c>
      <c r="FD86" s="81">
        <v>7600</v>
      </c>
      <c r="FE86" s="81">
        <v>7346</v>
      </c>
      <c r="FF86" s="81">
        <v>7391</v>
      </c>
      <c r="FG86" s="81">
        <v>7254</v>
      </c>
      <c r="FH86" s="81">
        <v>7008</v>
      </c>
      <c r="FI86" s="81">
        <v>6950</v>
      </c>
      <c r="FJ86" s="81">
        <v>6907</v>
      </c>
      <c r="FK86" s="81">
        <v>6823</v>
      </c>
      <c r="FL86" s="81">
        <v>6762</v>
      </c>
      <c r="FM86" s="81">
        <v>6541</v>
      </c>
      <c r="FN86" s="81">
        <v>6603</v>
      </c>
      <c r="FO86" s="81">
        <v>6787</v>
      </c>
      <c r="FP86" s="81">
        <v>6712</v>
      </c>
      <c r="FQ86" s="81">
        <v>6577</v>
      </c>
      <c r="FR86" s="81">
        <v>6831</v>
      </c>
      <c r="FS86" s="81">
        <v>6975</v>
      </c>
      <c r="FT86" s="81">
        <v>7701</v>
      </c>
      <c r="FU86" s="81">
        <v>8727</v>
      </c>
      <c r="FV86" s="81">
        <v>6395</v>
      </c>
      <c r="FW86" s="81">
        <v>6025</v>
      </c>
      <c r="FX86" s="81">
        <v>6000</v>
      </c>
      <c r="FY86" s="81">
        <v>5561</v>
      </c>
      <c r="FZ86" s="81">
        <v>4738</v>
      </c>
      <c r="GA86" s="81">
        <v>4280</v>
      </c>
      <c r="GB86" s="81">
        <v>4232</v>
      </c>
      <c r="GC86" s="81">
        <v>4065</v>
      </c>
      <c r="GD86" s="81">
        <v>3974</v>
      </c>
      <c r="GE86" s="81">
        <v>3731</v>
      </c>
      <c r="GF86" s="81">
        <v>3456</v>
      </c>
      <c r="GG86" s="81">
        <v>3125</v>
      </c>
      <c r="GH86" s="81">
        <v>2838</v>
      </c>
      <c r="GI86" s="81">
        <v>2602</v>
      </c>
      <c r="GJ86" s="81">
        <v>2402</v>
      </c>
      <c r="GK86" s="81">
        <v>2168</v>
      </c>
      <c r="GL86" s="82">
        <v>9166</v>
      </c>
    </row>
    <row r="87" spans="1:194" s="1" customFormat="1" hidden="1" x14ac:dyDescent="0.2">
      <c r="A87" s="83" t="s">
        <v>220</v>
      </c>
      <c r="B87" s="262" t="s">
        <v>297</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0">
        <v>9302</v>
      </c>
      <c r="N87" s="80">
        <v>9275</v>
      </c>
      <c r="O87" s="80">
        <v>9788</v>
      </c>
      <c r="P87" s="80">
        <v>9863</v>
      </c>
      <c r="Q87" s="80">
        <v>9982</v>
      </c>
      <c r="R87" s="80">
        <v>9977</v>
      </c>
      <c r="S87" s="80">
        <v>9964</v>
      </c>
      <c r="T87" s="80">
        <v>10165</v>
      </c>
      <c r="U87" s="80">
        <v>10344</v>
      </c>
      <c r="V87" s="80">
        <v>9955</v>
      </c>
      <c r="W87" s="80">
        <v>9877</v>
      </c>
      <c r="X87" s="80">
        <v>9568</v>
      </c>
      <c r="Y87" s="80">
        <v>9717</v>
      </c>
      <c r="Z87" s="80">
        <v>9467</v>
      </c>
      <c r="AA87" s="80">
        <v>9212</v>
      </c>
      <c r="AB87" s="80">
        <v>8961</v>
      </c>
      <c r="AC87" s="80">
        <v>8544</v>
      </c>
      <c r="AD87" s="80">
        <v>8404</v>
      </c>
      <c r="AE87" s="80">
        <v>8454</v>
      </c>
      <c r="AF87" s="80">
        <v>8416</v>
      </c>
      <c r="AG87" s="80">
        <v>8864</v>
      </c>
      <c r="AH87" s="80">
        <v>9634</v>
      </c>
      <c r="AI87" s="80">
        <v>10563</v>
      </c>
      <c r="AJ87" s="80">
        <v>12124</v>
      </c>
      <c r="AK87" s="80">
        <v>13209</v>
      </c>
      <c r="AL87" s="80">
        <v>13493</v>
      </c>
      <c r="AM87" s="80">
        <v>14095</v>
      </c>
      <c r="AN87" s="80">
        <v>13944</v>
      </c>
      <c r="AO87" s="80">
        <v>14752</v>
      </c>
      <c r="AP87" s="80">
        <v>14677</v>
      </c>
      <c r="AQ87" s="80">
        <v>15016</v>
      </c>
      <c r="AR87" s="80">
        <v>14458</v>
      </c>
      <c r="AS87" s="80">
        <v>14778</v>
      </c>
      <c r="AT87" s="80">
        <v>14103</v>
      </c>
      <c r="AU87" s="80">
        <v>14032</v>
      </c>
      <c r="AV87" s="80">
        <v>13772</v>
      </c>
      <c r="AW87" s="80">
        <v>13280</v>
      </c>
      <c r="AX87" s="80">
        <v>13298</v>
      </c>
      <c r="AY87" s="80">
        <v>12836</v>
      </c>
      <c r="AZ87" s="80">
        <v>12984</v>
      </c>
      <c r="BA87" s="80">
        <v>12736</v>
      </c>
      <c r="BB87" s="80">
        <v>12178</v>
      </c>
      <c r="BC87" s="80">
        <v>11239</v>
      </c>
      <c r="BD87" s="80">
        <v>10688</v>
      </c>
      <c r="BE87" s="80">
        <v>10438</v>
      </c>
      <c r="BF87" s="80">
        <v>10077</v>
      </c>
      <c r="BG87" s="80">
        <v>10131</v>
      </c>
      <c r="BH87" s="80">
        <v>10094</v>
      </c>
      <c r="BI87" s="80">
        <v>9923</v>
      </c>
      <c r="BJ87" s="80">
        <v>10215</v>
      </c>
      <c r="BK87" s="80">
        <v>9678</v>
      </c>
      <c r="BL87" s="80">
        <v>9581</v>
      </c>
      <c r="BM87" s="80">
        <v>9641</v>
      </c>
      <c r="BN87" s="80">
        <v>9607</v>
      </c>
      <c r="BO87" s="80">
        <v>9457</v>
      </c>
      <c r="BP87" s="80">
        <v>8921</v>
      </c>
      <c r="BQ87" s="80">
        <v>8631</v>
      </c>
      <c r="BR87" s="80">
        <v>8407</v>
      </c>
      <c r="BS87" s="80">
        <v>7833</v>
      </c>
      <c r="BT87" s="80">
        <v>7445</v>
      </c>
      <c r="BU87" s="80">
        <v>7124</v>
      </c>
      <c r="BV87" s="80">
        <v>6808</v>
      </c>
      <c r="BW87" s="80">
        <v>6498</v>
      </c>
      <c r="BX87" s="80">
        <v>6207</v>
      </c>
      <c r="BY87" s="80">
        <v>5904</v>
      </c>
      <c r="BZ87" s="80">
        <v>5609</v>
      </c>
      <c r="CA87" s="80">
        <v>5116</v>
      </c>
      <c r="CB87" s="80">
        <v>5091</v>
      </c>
      <c r="CC87" s="80">
        <v>4753</v>
      </c>
      <c r="CD87" s="80">
        <v>4585</v>
      </c>
      <c r="CE87" s="80">
        <v>4596</v>
      </c>
      <c r="CF87" s="80">
        <v>4560</v>
      </c>
      <c r="CG87" s="80">
        <v>4580</v>
      </c>
      <c r="CH87" s="80">
        <v>4630</v>
      </c>
      <c r="CI87" s="80">
        <v>3720</v>
      </c>
      <c r="CJ87" s="80">
        <v>3579</v>
      </c>
      <c r="CK87" s="80">
        <v>3635</v>
      </c>
      <c r="CL87" s="80">
        <v>3103</v>
      </c>
      <c r="CM87" s="80">
        <v>2719</v>
      </c>
      <c r="CN87" s="80">
        <v>2379</v>
      </c>
      <c r="CO87" s="80">
        <v>2509</v>
      </c>
      <c r="CP87" s="80">
        <v>2384</v>
      </c>
      <c r="CQ87" s="80">
        <v>2196</v>
      </c>
      <c r="CR87" s="80">
        <v>2029</v>
      </c>
      <c r="CS87" s="80">
        <v>1812</v>
      </c>
      <c r="CT87" s="80">
        <v>1632</v>
      </c>
      <c r="CU87" s="80">
        <v>1519</v>
      </c>
      <c r="CV87" s="80">
        <v>1274</v>
      </c>
      <c r="CW87" s="80">
        <v>1079</v>
      </c>
      <c r="CX87" s="80">
        <v>973</v>
      </c>
      <c r="CY87" s="80">
        <v>3586</v>
      </c>
      <c r="CZ87" s="81">
        <v>8613</v>
      </c>
      <c r="DA87" s="81">
        <v>8970</v>
      </c>
      <c r="DB87" s="81">
        <v>9205</v>
      </c>
      <c r="DC87" s="81">
        <v>9409</v>
      </c>
      <c r="DD87" s="81">
        <v>9549</v>
      </c>
      <c r="DE87" s="81">
        <v>9407</v>
      </c>
      <c r="DF87" s="81">
        <v>9353</v>
      </c>
      <c r="DG87" s="81">
        <v>9554</v>
      </c>
      <c r="DH87" s="81">
        <v>9929</v>
      </c>
      <c r="DI87" s="81">
        <v>9656</v>
      </c>
      <c r="DJ87" s="81">
        <v>9357</v>
      </c>
      <c r="DK87" s="81">
        <v>9214</v>
      </c>
      <c r="DL87" s="81">
        <v>9208</v>
      </c>
      <c r="DM87" s="81">
        <v>8775</v>
      </c>
      <c r="DN87" s="81">
        <v>8625</v>
      </c>
      <c r="DO87" s="81">
        <v>8185</v>
      </c>
      <c r="DP87" s="81">
        <v>8299</v>
      </c>
      <c r="DQ87" s="81">
        <v>8192</v>
      </c>
      <c r="DR87" s="81">
        <v>7878</v>
      </c>
      <c r="DS87" s="81">
        <v>8016</v>
      </c>
      <c r="DT87" s="81">
        <v>8325</v>
      </c>
      <c r="DU87" s="81">
        <v>8984</v>
      </c>
      <c r="DV87" s="81">
        <v>10602</v>
      </c>
      <c r="DW87" s="81">
        <v>11972</v>
      </c>
      <c r="DX87" s="81">
        <v>12884</v>
      </c>
      <c r="DY87" s="81">
        <v>13211</v>
      </c>
      <c r="DZ87" s="81">
        <v>13660</v>
      </c>
      <c r="EA87" s="81">
        <v>13462</v>
      </c>
      <c r="EB87" s="81">
        <v>14069</v>
      </c>
      <c r="EC87" s="81">
        <v>14001</v>
      </c>
      <c r="ED87" s="81">
        <v>13638</v>
      </c>
      <c r="EE87" s="81">
        <v>13616</v>
      </c>
      <c r="EF87" s="81">
        <v>13575</v>
      </c>
      <c r="EG87" s="81">
        <v>12709</v>
      </c>
      <c r="EH87" s="81">
        <v>12666</v>
      </c>
      <c r="EI87" s="81">
        <v>12734</v>
      </c>
      <c r="EJ87" s="81">
        <v>12034</v>
      </c>
      <c r="EK87" s="81">
        <v>11719</v>
      </c>
      <c r="EL87" s="81">
        <v>11848</v>
      </c>
      <c r="EM87" s="81">
        <v>11713</v>
      </c>
      <c r="EN87" s="81">
        <v>11356</v>
      </c>
      <c r="EO87" s="81">
        <v>10998</v>
      </c>
      <c r="EP87" s="81">
        <v>10532</v>
      </c>
      <c r="EQ87" s="81">
        <v>10255</v>
      </c>
      <c r="ER87" s="81">
        <v>10345</v>
      </c>
      <c r="ES87" s="81">
        <v>9963</v>
      </c>
      <c r="ET87" s="81">
        <v>10006</v>
      </c>
      <c r="EU87" s="81">
        <v>9844</v>
      </c>
      <c r="EV87" s="81">
        <v>9846</v>
      </c>
      <c r="EW87" s="81">
        <v>10079</v>
      </c>
      <c r="EX87" s="81">
        <v>9885</v>
      </c>
      <c r="EY87" s="81">
        <v>10092</v>
      </c>
      <c r="EZ87" s="81">
        <v>9844</v>
      </c>
      <c r="FA87" s="81">
        <v>9323</v>
      </c>
      <c r="FB87" s="81">
        <v>9636</v>
      </c>
      <c r="FC87" s="81">
        <v>9429</v>
      </c>
      <c r="FD87" s="81">
        <v>9108</v>
      </c>
      <c r="FE87" s="81">
        <v>8744</v>
      </c>
      <c r="FF87" s="81">
        <v>8334</v>
      </c>
      <c r="FG87" s="81">
        <v>7970</v>
      </c>
      <c r="FH87" s="81">
        <v>7690</v>
      </c>
      <c r="FI87" s="81">
        <v>7144</v>
      </c>
      <c r="FJ87" s="81">
        <v>6897</v>
      </c>
      <c r="FK87" s="81">
        <v>6445</v>
      </c>
      <c r="FL87" s="81">
        <v>6325</v>
      </c>
      <c r="FM87" s="81">
        <v>5904</v>
      </c>
      <c r="FN87" s="81">
        <v>5813</v>
      </c>
      <c r="FO87" s="81">
        <v>5524</v>
      </c>
      <c r="FP87" s="81">
        <v>5523</v>
      </c>
      <c r="FQ87" s="81">
        <v>5216</v>
      </c>
      <c r="FR87" s="81">
        <v>5376</v>
      </c>
      <c r="FS87" s="81">
        <v>5283</v>
      </c>
      <c r="FT87" s="81">
        <v>5084</v>
      </c>
      <c r="FU87" s="81">
        <v>5299</v>
      </c>
      <c r="FV87" s="81">
        <v>4709</v>
      </c>
      <c r="FW87" s="81">
        <v>4360</v>
      </c>
      <c r="FX87" s="81">
        <v>4222</v>
      </c>
      <c r="FY87" s="81">
        <v>3889</v>
      </c>
      <c r="FZ87" s="81">
        <v>3504</v>
      </c>
      <c r="GA87" s="81">
        <v>3093</v>
      </c>
      <c r="GB87" s="81">
        <v>3160</v>
      </c>
      <c r="GC87" s="81">
        <v>3208</v>
      </c>
      <c r="GD87" s="81">
        <v>2930</v>
      </c>
      <c r="GE87" s="81">
        <v>2613</v>
      </c>
      <c r="GF87" s="81">
        <v>2561</v>
      </c>
      <c r="GG87" s="81">
        <v>2353</v>
      </c>
      <c r="GH87" s="81">
        <v>2050</v>
      </c>
      <c r="GI87" s="81">
        <v>1994</v>
      </c>
      <c r="GJ87" s="81">
        <v>1721</v>
      </c>
      <c r="GK87" s="81">
        <v>1554</v>
      </c>
      <c r="GL87" s="82">
        <v>6477</v>
      </c>
    </row>
    <row r="88" spans="1:194" s="1" customFormat="1" hidden="1" x14ac:dyDescent="0.2">
      <c r="A88" s="83" t="s">
        <v>220</v>
      </c>
      <c r="B88" s="262" t="s">
        <v>298</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0">
        <v>1424</v>
      </c>
      <c r="N88" s="80">
        <v>1469</v>
      </c>
      <c r="O88" s="80">
        <v>1524</v>
      </c>
      <c r="P88" s="80">
        <v>1634</v>
      </c>
      <c r="Q88" s="80">
        <v>1681</v>
      </c>
      <c r="R88" s="80">
        <v>1708</v>
      </c>
      <c r="S88" s="80">
        <v>1693</v>
      </c>
      <c r="T88" s="80">
        <v>1822</v>
      </c>
      <c r="U88" s="80">
        <v>1853</v>
      </c>
      <c r="V88" s="80">
        <v>1812</v>
      </c>
      <c r="W88" s="80">
        <v>1817</v>
      </c>
      <c r="X88" s="80">
        <v>1914</v>
      </c>
      <c r="Y88" s="80">
        <v>1872</v>
      </c>
      <c r="Z88" s="80">
        <v>1761</v>
      </c>
      <c r="AA88" s="80">
        <v>1849</v>
      </c>
      <c r="AB88" s="80">
        <v>1687</v>
      </c>
      <c r="AC88" s="80">
        <v>1751</v>
      </c>
      <c r="AD88" s="80">
        <v>1714</v>
      </c>
      <c r="AE88" s="80">
        <v>1507</v>
      </c>
      <c r="AF88" s="80">
        <v>1316</v>
      </c>
      <c r="AG88" s="80">
        <v>1377</v>
      </c>
      <c r="AH88" s="80">
        <v>1412</v>
      </c>
      <c r="AI88" s="80">
        <v>1542</v>
      </c>
      <c r="AJ88" s="80">
        <v>1665</v>
      </c>
      <c r="AK88" s="80">
        <v>1671</v>
      </c>
      <c r="AL88" s="80">
        <v>1702</v>
      </c>
      <c r="AM88" s="80">
        <v>1739</v>
      </c>
      <c r="AN88" s="80">
        <v>1833</v>
      </c>
      <c r="AO88" s="80">
        <v>1969</v>
      </c>
      <c r="AP88" s="80">
        <v>1791</v>
      </c>
      <c r="AQ88" s="80">
        <v>1636</v>
      </c>
      <c r="AR88" s="80">
        <v>1760</v>
      </c>
      <c r="AS88" s="80">
        <v>1695</v>
      </c>
      <c r="AT88" s="80">
        <v>1582</v>
      </c>
      <c r="AU88" s="80">
        <v>1703</v>
      </c>
      <c r="AV88" s="80">
        <v>1679</v>
      </c>
      <c r="AW88" s="80">
        <v>1624</v>
      </c>
      <c r="AX88" s="80">
        <v>1714</v>
      </c>
      <c r="AY88" s="80">
        <v>1746</v>
      </c>
      <c r="AZ88" s="80">
        <v>1691</v>
      </c>
      <c r="BA88" s="80">
        <v>1771</v>
      </c>
      <c r="BB88" s="80">
        <v>1688</v>
      </c>
      <c r="BC88" s="80">
        <v>1641</v>
      </c>
      <c r="BD88" s="80">
        <v>1518</v>
      </c>
      <c r="BE88" s="80">
        <v>1582</v>
      </c>
      <c r="BF88" s="80">
        <v>1735</v>
      </c>
      <c r="BG88" s="80">
        <v>1765</v>
      </c>
      <c r="BH88" s="80">
        <v>1994</v>
      </c>
      <c r="BI88" s="80">
        <v>2119</v>
      </c>
      <c r="BJ88" s="80">
        <v>2291</v>
      </c>
      <c r="BK88" s="80">
        <v>2218</v>
      </c>
      <c r="BL88" s="80">
        <v>2429</v>
      </c>
      <c r="BM88" s="80">
        <v>2379</v>
      </c>
      <c r="BN88" s="80">
        <v>2493</v>
      </c>
      <c r="BO88" s="80">
        <v>2444</v>
      </c>
      <c r="BP88" s="80">
        <v>2609</v>
      </c>
      <c r="BQ88" s="80">
        <v>2487</v>
      </c>
      <c r="BR88" s="80">
        <v>2567</v>
      </c>
      <c r="BS88" s="80">
        <v>2480</v>
      </c>
      <c r="BT88" s="80">
        <v>2400</v>
      </c>
      <c r="BU88" s="80">
        <v>2463</v>
      </c>
      <c r="BV88" s="80">
        <v>2392</v>
      </c>
      <c r="BW88" s="80">
        <v>2348</v>
      </c>
      <c r="BX88" s="80">
        <v>2223</v>
      </c>
      <c r="BY88" s="80">
        <v>2081</v>
      </c>
      <c r="BZ88" s="80">
        <v>2047</v>
      </c>
      <c r="CA88" s="80">
        <v>2111</v>
      </c>
      <c r="CB88" s="80">
        <v>2005</v>
      </c>
      <c r="CC88" s="80">
        <v>2009</v>
      </c>
      <c r="CD88" s="80">
        <v>2087</v>
      </c>
      <c r="CE88" s="80">
        <v>2011</v>
      </c>
      <c r="CF88" s="80">
        <v>2173</v>
      </c>
      <c r="CG88" s="80">
        <v>2135</v>
      </c>
      <c r="CH88" s="80">
        <v>2330</v>
      </c>
      <c r="CI88" s="80">
        <v>1689</v>
      </c>
      <c r="CJ88" s="80">
        <v>1549</v>
      </c>
      <c r="CK88" s="80">
        <v>1614</v>
      </c>
      <c r="CL88" s="80">
        <v>1460</v>
      </c>
      <c r="CM88" s="80">
        <v>1304</v>
      </c>
      <c r="CN88" s="80">
        <v>1172</v>
      </c>
      <c r="CO88" s="80">
        <v>1143</v>
      </c>
      <c r="CP88" s="80">
        <v>1037</v>
      </c>
      <c r="CQ88" s="80">
        <v>987</v>
      </c>
      <c r="CR88" s="80">
        <v>893</v>
      </c>
      <c r="CS88" s="80">
        <v>796</v>
      </c>
      <c r="CT88" s="80">
        <v>610</v>
      </c>
      <c r="CU88" s="80">
        <v>534</v>
      </c>
      <c r="CV88" s="80">
        <v>525</v>
      </c>
      <c r="CW88" s="80">
        <v>491</v>
      </c>
      <c r="CX88" s="80">
        <v>329</v>
      </c>
      <c r="CY88" s="80">
        <v>1064</v>
      </c>
      <c r="CZ88" s="81">
        <v>1320</v>
      </c>
      <c r="DA88" s="81">
        <v>1381</v>
      </c>
      <c r="DB88" s="81">
        <v>1434</v>
      </c>
      <c r="DC88" s="81">
        <v>1543</v>
      </c>
      <c r="DD88" s="81">
        <v>1629</v>
      </c>
      <c r="DE88" s="81">
        <v>1600</v>
      </c>
      <c r="DF88" s="81">
        <v>1749</v>
      </c>
      <c r="DG88" s="81">
        <v>1622</v>
      </c>
      <c r="DH88" s="81">
        <v>1763</v>
      </c>
      <c r="DI88" s="81">
        <v>1804</v>
      </c>
      <c r="DJ88" s="81">
        <v>1755</v>
      </c>
      <c r="DK88" s="81">
        <v>1624</v>
      </c>
      <c r="DL88" s="81">
        <v>1725</v>
      </c>
      <c r="DM88" s="81">
        <v>1665</v>
      </c>
      <c r="DN88" s="81">
        <v>1679</v>
      </c>
      <c r="DO88" s="81">
        <v>1599</v>
      </c>
      <c r="DP88" s="81">
        <v>1625</v>
      </c>
      <c r="DQ88" s="81">
        <v>1539</v>
      </c>
      <c r="DR88" s="81">
        <v>1538</v>
      </c>
      <c r="DS88" s="81">
        <v>1328</v>
      </c>
      <c r="DT88" s="81">
        <v>1288</v>
      </c>
      <c r="DU88" s="81">
        <v>1481</v>
      </c>
      <c r="DV88" s="81">
        <v>1460</v>
      </c>
      <c r="DW88" s="81">
        <v>1646</v>
      </c>
      <c r="DX88" s="81">
        <v>1579</v>
      </c>
      <c r="DY88" s="81">
        <v>1486</v>
      </c>
      <c r="DZ88" s="81">
        <v>1663</v>
      </c>
      <c r="EA88" s="81">
        <v>1639</v>
      </c>
      <c r="EB88" s="81">
        <v>1832</v>
      </c>
      <c r="EC88" s="81">
        <v>1854</v>
      </c>
      <c r="ED88" s="81">
        <v>1761</v>
      </c>
      <c r="EE88" s="81">
        <v>1651</v>
      </c>
      <c r="EF88" s="81">
        <v>1732</v>
      </c>
      <c r="EG88" s="81">
        <v>1641</v>
      </c>
      <c r="EH88" s="81">
        <v>1745</v>
      </c>
      <c r="EI88" s="81">
        <v>1772</v>
      </c>
      <c r="EJ88" s="81">
        <v>1726</v>
      </c>
      <c r="EK88" s="81">
        <v>1898</v>
      </c>
      <c r="EL88" s="81">
        <v>1777</v>
      </c>
      <c r="EM88" s="81">
        <v>1889</v>
      </c>
      <c r="EN88" s="81">
        <v>1909</v>
      </c>
      <c r="EO88" s="81">
        <v>1710</v>
      </c>
      <c r="EP88" s="81">
        <v>1605</v>
      </c>
      <c r="EQ88" s="81">
        <v>1593</v>
      </c>
      <c r="ER88" s="81">
        <v>1786</v>
      </c>
      <c r="ES88" s="81">
        <v>1779</v>
      </c>
      <c r="ET88" s="81">
        <v>2001</v>
      </c>
      <c r="EU88" s="81">
        <v>2096</v>
      </c>
      <c r="EV88" s="81">
        <v>2176</v>
      </c>
      <c r="EW88" s="81">
        <v>2463</v>
      </c>
      <c r="EX88" s="81">
        <v>2406</v>
      </c>
      <c r="EY88" s="81">
        <v>2543</v>
      </c>
      <c r="EZ88" s="81">
        <v>2492</v>
      </c>
      <c r="FA88" s="81">
        <v>2569</v>
      </c>
      <c r="FB88" s="81">
        <v>2608</v>
      </c>
      <c r="FC88" s="81">
        <v>2527</v>
      </c>
      <c r="FD88" s="81">
        <v>2669</v>
      </c>
      <c r="FE88" s="81">
        <v>2568</v>
      </c>
      <c r="FF88" s="81">
        <v>2573</v>
      </c>
      <c r="FG88" s="81">
        <v>2481</v>
      </c>
      <c r="FH88" s="81">
        <v>2334</v>
      </c>
      <c r="FI88" s="81">
        <v>2452</v>
      </c>
      <c r="FJ88" s="81">
        <v>2421</v>
      </c>
      <c r="FK88" s="81">
        <v>2222</v>
      </c>
      <c r="FL88" s="81">
        <v>2249</v>
      </c>
      <c r="FM88" s="81">
        <v>2046</v>
      </c>
      <c r="FN88" s="81">
        <v>2010</v>
      </c>
      <c r="FO88" s="81">
        <v>2160</v>
      </c>
      <c r="FP88" s="81">
        <v>1994</v>
      </c>
      <c r="FQ88" s="81">
        <v>2177</v>
      </c>
      <c r="FR88" s="81">
        <v>2109</v>
      </c>
      <c r="FS88" s="81">
        <v>2105</v>
      </c>
      <c r="FT88" s="81">
        <v>2283</v>
      </c>
      <c r="FU88" s="81">
        <v>2269</v>
      </c>
      <c r="FV88" s="81">
        <v>1692</v>
      </c>
      <c r="FW88" s="81">
        <v>1643</v>
      </c>
      <c r="FX88" s="81">
        <v>1711</v>
      </c>
      <c r="FY88" s="81">
        <v>1496</v>
      </c>
      <c r="FZ88" s="81">
        <v>1427</v>
      </c>
      <c r="GA88" s="81">
        <v>1239</v>
      </c>
      <c r="GB88" s="81">
        <v>1237</v>
      </c>
      <c r="GC88" s="81">
        <v>1212</v>
      </c>
      <c r="GD88" s="81">
        <v>1256</v>
      </c>
      <c r="GE88" s="81">
        <v>1125</v>
      </c>
      <c r="GF88" s="81">
        <v>958</v>
      </c>
      <c r="GG88" s="81">
        <v>919</v>
      </c>
      <c r="GH88" s="81">
        <v>759</v>
      </c>
      <c r="GI88" s="81">
        <v>729</v>
      </c>
      <c r="GJ88" s="81">
        <v>695</v>
      </c>
      <c r="GK88" s="81">
        <v>600</v>
      </c>
      <c r="GL88" s="82">
        <v>2583</v>
      </c>
    </row>
    <row r="89" spans="1:194" s="1" customFormat="1" hidden="1" x14ac:dyDescent="0.2">
      <c r="A89" s="83" t="s">
        <v>220</v>
      </c>
      <c r="B89" s="262" t="s">
        <v>299</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0">
        <v>1726</v>
      </c>
      <c r="N89" s="80">
        <v>1730</v>
      </c>
      <c r="O89" s="80">
        <v>1937</v>
      </c>
      <c r="P89" s="80">
        <v>1907</v>
      </c>
      <c r="Q89" s="80">
        <v>1884</v>
      </c>
      <c r="R89" s="80">
        <v>2063</v>
      </c>
      <c r="S89" s="80">
        <v>2075</v>
      </c>
      <c r="T89" s="80">
        <v>2045</v>
      </c>
      <c r="U89" s="80">
        <v>2098</v>
      </c>
      <c r="V89" s="80">
        <v>2135</v>
      </c>
      <c r="W89" s="80">
        <v>2102</v>
      </c>
      <c r="X89" s="80">
        <v>1998</v>
      </c>
      <c r="Y89" s="80">
        <v>2001</v>
      </c>
      <c r="Z89" s="80">
        <v>1869</v>
      </c>
      <c r="AA89" s="80">
        <v>1913</v>
      </c>
      <c r="AB89" s="80">
        <v>1840</v>
      </c>
      <c r="AC89" s="80">
        <v>1842</v>
      </c>
      <c r="AD89" s="80">
        <v>1723</v>
      </c>
      <c r="AE89" s="80">
        <v>1845</v>
      </c>
      <c r="AF89" s="80">
        <v>2394</v>
      </c>
      <c r="AG89" s="80">
        <v>2542</v>
      </c>
      <c r="AH89" s="80">
        <v>2552</v>
      </c>
      <c r="AI89" s="80">
        <v>2571</v>
      </c>
      <c r="AJ89" s="80">
        <v>2334</v>
      </c>
      <c r="AK89" s="80">
        <v>2286</v>
      </c>
      <c r="AL89" s="80">
        <v>2046</v>
      </c>
      <c r="AM89" s="80">
        <v>2199</v>
      </c>
      <c r="AN89" s="80">
        <v>2237</v>
      </c>
      <c r="AO89" s="80">
        <v>2314</v>
      </c>
      <c r="AP89" s="80">
        <v>2479</v>
      </c>
      <c r="AQ89" s="80">
        <v>2180</v>
      </c>
      <c r="AR89" s="80">
        <v>2118</v>
      </c>
      <c r="AS89" s="80">
        <v>2085</v>
      </c>
      <c r="AT89" s="80">
        <v>1920</v>
      </c>
      <c r="AU89" s="80">
        <v>1826</v>
      </c>
      <c r="AV89" s="80">
        <v>1899</v>
      </c>
      <c r="AW89" s="80">
        <v>1844</v>
      </c>
      <c r="AX89" s="80">
        <v>1929</v>
      </c>
      <c r="AY89" s="80">
        <v>1851</v>
      </c>
      <c r="AZ89" s="80">
        <v>1894</v>
      </c>
      <c r="BA89" s="80">
        <v>1927</v>
      </c>
      <c r="BB89" s="80">
        <v>1842</v>
      </c>
      <c r="BC89" s="80">
        <v>1771</v>
      </c>
      <c r="BD89" s="80">
        <v>1854</v>
      </c>
      <c r="BE89" s="80">
        <v>1789</v>
      </c>
      <c r="BF89" s="80">
        <v>1897</v>
      </c>
      <c r="BG89" s="80">
        <v>1883</v>
      </c>
      <c r="BH89" s="80">
        <v>2011</v>
      </c>
      <c r="BI89" s="80">
        <v>2184</v>
      </c>
      <c r="BJ89" s="80">
        <v>2163</v>
      </c>
      <c r="BK89" s="80">
        <v>2109</v>
      </c>
      <c r="BL89" s="80">
        <v>2286</v>
      </c>
      <c r="BM89" s="80">
        <v>2286</v>
      </c>
      <c r="BN89" s="80">
        <v>2285</v>
      </c>
      <c r="BO89" s="80">
        <v>2287</v>
      </c>
      <c r="BP89" s="80">
        <v>2231</v>
      </c>
      <c r="BQ89" s="80">
        <v>2237</v>
      </c>
      <c r="BR89" s="80">
        <v>2132</v>
      </c>
      <c r="BS89" s="80">
        <v>2247</v>
      </c>
      <c r="BT89" s="80">
        <v>2229</v>
      </c>
      <c r="BU89" s="80">
        <v>2019</v>
      </c>
      <c r="BV89" s="80">
        <v>2018</v>
      </c>
      <c r="BW89" s="80">
        <v>1999</v>
      </c>
      <c r="BX89" s="80">
        <v>1905</v>
      </c>
      <c r="BY89" s="80">
        <v>1842</v>
      </c>
      <c r="BZ89" s="80">
        <v>1802</v>
      </c>
      <c r="CA89" s="80">
        <v>1784</v>
      </c>
      <c r="CB89" s="80">
        <v>1942</v>
      </c>
      <c r="CC89" s="80">
        <v>1866</v>
      </c>
      <c r="CD89" s="80">
        <v>1798</v>
      </c>
      <c r="CE89" s="80">
        <v>1837</v>
      </c>
      <c r="CF89" s="80">
        <v>2004</v>
      </c>
      <c r="CG89" s="80">
        <v>2132</v>
      </c>
      <c r="CH89" s="80">
        <v>2436</v>
      </c>
      <c r="CI89" s="80">
        <v>1771</v>
      </c>
      <c r="CJ89" s="80">
        <v>1701</v>
      </c>
      <c r="CK89" s="80">
        <v>1693</v>
      </c>
      <c r="CL89" s="80">
        <v>1543</v>
      </c>
      <c r="CM89" s="80">
        <v>1288</v>
      </c>
      <c r="CN89" s="80">
        <v>1069</v>
      </c>
      <c r="CO89" s="80">
        <v>1152</v>
      </c>
      <c r="CP89" s="80">
        <v>1097</v>
      </c>
      <c r="CQ89" s="80">
        <v>1024</v>
      </c>
      <c r="CR89" s="80">
        <v>921</v>
      </c>
      <c r="CS89" s="80">
        <v>778</v>
      </c>
      <c r="CT89" s="80">
        <v>754</v>
      </c>
      <c r="CU89" s="80">
        <v>599</v>
      </c>
      <c r="CV89" s="80">
        <v>561</v>
      </c>
      <c r="CW89" s="80">
        <v>457</v>
      </c>
      <c r="CX89" s="80">
        <v>361</v>
      </c>
      <c r="CY89" s="80">
        <v>1239</v>
      </c>
      <c r="CZ89" s="81">
        <v>1601</v>
      </c>
      <c r="DA89" s="81">
        <v>1646</v>
      </c>
      <c r="DB89" s="81">
        <v>1797</v>
      </c>
      <c r="DC89" s="81">
        <v>1847</v>
      </c>
      <c r="DD89" s="81">
        <v>1894</v>
      </c>
      <c r="DE89" s="81">
        <v>1878</v>
      </c>
      <c r="DF89" s="81">
        <v>1982</v>
      </c>
      <c r="DG89" s="81">
        <v>1999</v>
      </c>
      <c r="DH89" s="81">
        <v>2116</v>
      </c>
      <c r="DI89" s="81">
        <v>1881</v>
      </c>
      <c r="DJ89" s="81">
        <v>1921</v>
      </c>
      <c r="DK89" s="81">
        <v>1931</v>
      </c>
      <c r="DL89" s="81">
        <v>1936</v>
      </c>
      <c r="DM89" s="81">
        <v>1838</v>
      </c>
      <c r="DN89" s="81">
        <v>1770</v>
      </c>
      <c r="DO89" s="81">
        <v>1732</v>
      </c>
      <c r="DP89" s="81">
        <v>1714</v>
      </c>
      <c r="DQ89" s="81">
        <v>1639</v>
      </c>
      <c r="DR89" s="81">
        <v>1688</v>
      </c>
      <c r="DS89" s="81">
        <v>2088</v>
      </c>
      <c r="DT89" s="81">
        <v>2197</v>
      </c>
      <c r="DU89" s="81">
        <v>2319</v>
      </c>
      <c r="DV89" s="81">
        <v>2080</v>
      </c>
      <c r="DW89" s="81">
        <v>2032</v>
      </c>
      <c r="DX89" s="81">
        <v>1934</v>
      </c>
      <c r="DY89" s="81">
        <v>1821</v>
      </c>
      <c r="DZ89" s="81">
        <v>2152</v>
      </c>
      <c r="EA89" s="81">
        <v>2146</v>
      </c>
      <c r="EB89" s="81">
        <v>2270</v>
      </c>
      <c r="EC89" s="81">
        <v>2304</v>
      </c>
      <c r="ED89" s="81">
        <v>2283</v>
      </c>
      <c r="EE89" s="81">
        <v>2203</v>
      </c>
      <c r="EF89" s="81">
        <v>2165</v>
      </c>
      <c r="EG89" s="81">
        <v>1981</v>
      </c>
      <c r="EH89" s="81">
        <v>2045</v>
      </c>
      <c r="EI89" s="81">
        <v>1993</v>
      </c>
      <c r="EJ89" s="81">
        <v>1896</v>
      </c>
      <c r="EK89" s="81">
        <v>2032</v>
      </c>
      <c r="EL89" s="81">
        <v>1949</v>
      </c>
      <c r="EM89" s="81">
        <v>2051</v>
      </c>
      <c r="EN89" s="81">
        <v>1992</v>
      </c>
      <c r="EO89" s="81">
        <v>1933</v>
      </c>
      <c r="EP89" s="81">
        <v>1884</v>
      </c>
      <c r="EQ89" s="81">
        <v>1812</v>
      </c>
      <c r="ER89" s="81">
        <v>1887</v>
      </c>
      <c r="ES89" s="81">
        <v>2012</v>
      </c>
      <c r="ET89" s="81">
        <v>1989</v>
      </c>
      <c r="EU89" s="81">
        <v>2078</v>
      </c>
      <c r="EV89" s="81">
        <v>2147</v>
      </c>
      <c r="EW89" s="81">
        <v>2284</v>
      </c>
      <c r="EX89" s="81">
        <v>2209</v>
      </c>
      <c r="EY89" s="81">
        <v>2353</v>
      </c>
      <c r="EZ89" s="81">
        <v>2368</v>
      </c>
      <c r="FA89" s="81">
        <v>2355</v>
      </c>
      <c r="FB89" s="81">
        <v>2484</v>
      </c>
      <c r="FC89" s="81">
        <v>2370</v>
      </c>
      <c r="FD89" s="81">
        <v>2429</v>
      </c>
      <c r="FE89" s="81">
        <v>2345</v>
      </c>
      <c r="FF89" s="81">
        <v>2362</v>
      </c>
      <c r="FG89" s="81">
        <v>2168</v>
      </c>
      <c r="FH89" s="81">
        <v>2217</v>
      </c>
      <c r="FI89" s="81">
        <v>2131</v>
      </c>
      <c r="FJ89" s="81">
        <v>2186</v>
      </c>
      <c r="FK89" s="81">
        <v>2036</v>
      </c>
      <c r="FL89" s="81">
        <v>1998</v>
      </c>
      <c r="FM89" s="81">
        <v>1983</v>
      </c>
      <c r="FN89" s="81">
        <v>2070</v>
      </c>
      <c r="FO89" s="81">
        <v>2103</v>
      </c>
      <c r="FP89" s="81">
        <v>1996</v>
      </c>
      <c r="FQ89" s="81">
        <v>2040</v>
      </c>
      <c r="FR89" s="81">
        <v>2221</v>
      </c>
      <c r="FS89" s="81">
        <v>2359</v>
      </c>
      <c r="FT89" s="81">
        <v>2510</v>
      </c>
      <c r="FU89" s="81">
        <v>2778</v>
      </c>
      <c r="FV89" s="81">
        <v>2006</v>
      </c>
      <c r="FW89" s="81">
        <v>1882</v>
      </c>
      <c r="FX89" s="81">
        <v>1948</v>
      </c>
      <c r="FY89" s="81">
        <v>1685</v>
      </c>
      <c r="FZ89" s="81">
        <v>1500</v>
      </c>
      <c r="GA89" s="81">
        <v>1286</v>
      </c>
      <c r="GB89" s="81">
        <v>1327</v>
      </c>
      <c r="GC89" s="81">
        <v>1291</v>
      </c>
      <c r="GD89" s="81">
        <v>1157</v>
      </c>
      <c r="GE89" s="81">
        <v>1071</v>
      </c>
      <c r="GF89" s="81">
        <v>977</v>
      </c>
      <c r="GG89" s="81">
        <v>956</v>
      </c>
      <c r="GH89" s="81">
        <v>846</v>
      </c>
      <c r="GI89" s="81">
        <v>773</v>
      </c>
      <c r="GJ89" s="81">
        <v>662</v>
      </c>
      <c r="GK89" s="81">
        <v>603</v>
      </c>
      <c r="GL89" s="82">
        <v>2468</v>
      </c>
    </row>
    <row r="90" spans="1:194" s="1" customFormat="1" hidden="1" x14ac:dyDescent="0.2">
      <c r="A90" s="83" t="s">
        <v>220</v>
      </c>
      <c r="B90" s="262" t="s">
        <v>300</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0">
        <v>873</v>
      </c>
      <c r="N90" s="80">
        <v>807</v>
      </c>
      <c r="O90" s="80">
        <v>916</v>
      </c>
      <c r="P90" s="80">
        <v>981</v>
      </c>
      <c r="Q90" s="80">
        <v>977</v>
      </c>
      <c r="R90" s="80">
        <v>1009</v>
      </c>
      <c r="S90" s="80">
        <v>970</v>
      </c>
      <c r="T90" s="80">
        <v>1006</v>
      </c>
      <c r="U90" s="80">
        <v>1009</v>
      </c>
      <c r="V90" s="80">
        <v>1069</v>
      </c>
      <c r="W90" s="80">
        <v>1043</v>
      </c>
      <c r="X90" s="80">
        <v>1016</v>
      </c>
      <c r="Y90" s="80">
        <v>1029</v>
      </c>
      <c r="Z90" s="80">
        <v>1040</v>
      </c>
      <c r="AA90" s="80">
        <v>1059</v>
      </c>
      <c r="AB90" s="80">
        <v>967</v>
      </c>
      <c r="AC90" s="80">
        <v>886</v>
      </c>
      <c r="AD90" s="80">
        <v>826</v>
      </c>
      <c r="AE90" s="80">
        <v>866</v>
      </c>
      <c r="AF90" s="80">
        <v>690</v>
      </c>
      <c r="AG90" s="80">
        <v>738</v>
      </c>
      <c r="AH90" s="80">
        <v>813</v>
      </c>
      <c r="AI90" s="80">
        <v>785</v>
      </c>
      <c r="AJ90" s="80">
        <v>851</v>
      </c>
      <c r="AK90" s="80">
        <v>931</v>
      </c>
      <c r="AL90" s="80">
        <v>867</v>
      </c>
      <c r="AM90" s="80">
        <v>941</v>
      </c>
      <c r="AN90" s="80">
        <v>967</v>
      </c>
      <c r="AO90" s="80">
        <v>1056</v>
      </c>
      <c r="AP90" s="80">
        <v>1065</v>
      </c>
      <c r="AQ90" s="80">
        <v>991</v>
      </c>
      <c r="AR90" s="80">
        <v>1070</v>
      </c>
      <c r="AS90" s="80">
        <v>1121</v>
      </c>
      <c r="AT90" s="80">
        <v>1000</v>
      </c>
      <c r="AU90" s="80">
        <v>1049</v>
      </c>
      <c r="AV90" s="80">
        <v>928</v>
      </c>
      <c r="AW90" s="80">
        <v>827</v>
      </c>
      <c r="AX90" s="80">
        <v>863</v>
      </c>
      <c r="AY90" s="80">
        <v>907</v>
      </c>
      <c r="AZ90" s="80">
        <v>914</v>
      </c>
      <c r="BA90" s="80">
        <v>854</v>
      </c>
      <c r="BB90" s="80">
        <v>901</v>
      </c>
      <c r="BC90" s="80">
        <v>792</v>
      </c>
      <c r="BD90" s="80">
        <v>746</v>
      </c>
      <c r="BE90" s="80">
        <v>865</v>
      </c>
      <c r="BF90" s="80">
        <v>892</v>
      </c>
      <c r="BG90" s="80">
        <v>896</v>
      </c>
      <c r="BH90" s="80">
        <v>993</v>
      </c>
      <c r="BI90" s="80">
        <v>1041</v>
      </c>
      <c r="BJ90" s="80">
        <v>1106</v>
      </c>
      <c r="BK90" s="80">
        <v>1053</v>
      </c>
      <c r="BL90" s="80">
        <v>1052</v>
      </c>
      <c r="BM90" s="80">
        <v>1038</v>
      </c>
      <c r="BN90" s="80">
        <v>1116</v>
      </c>
      <c r="BO90" s="80">
        <v>1090</v>
      </c>
      <c r="BP90" s="80">
        <v>1140</v>
      </c>
      <c r="BQ90" s="80">
        <v>1165</v>
      </c>
      <c r="BR90" s="80">
        <v>1129</v>
      </c>
      <c r="BS90" s="80">
        <v>1154</v>
      </c>
      <c r="BT90" s="80">
        <v>1119</v>
      </c>
      <c r="BU90" s="80">
        <v>1083</v>
      </c>
      <c r="BV90" s="80">
        <v>972</v>
      </c>
      <c r="BW90" s="80">
        <v>1013</v>
      </c>
      <c r="BX90" s="80">
        <v>941</v>
      </c>
      <c r="BY90" s="80">
        <v>934</v>
      </c>
      <c r="BZ90" s="80">
        <v>915</v>
      </c>
      <c r="CA90" s="80">
        <v>906</v>
      </c>
      <c r="CB90" s="80">
        <v>872</v>
      </c>
      <c r="CC90" s="80">
        <v>833</v>
      </c>
      <c r="CD90" s="80">
        <v>837</v>
      </c>
      <c r="CE90" s="80">
        <v>810</v>
      </c>
      <c r="CF90" s="80">
        <v>852</v>
      </c>
      <c r="CG90" s="80">
        <v>895</v>
      </c>
      <c r="CH90" s="80">
        <v>1001</v>
      </c>
      <c r="CI90" s="80">
        <v>704</v>
      </c>
      <c r="CJ90" s="80">
        <v>670</v>
      </c>
      <c r="CK90" s="80">
        <v>640</v>
      </c>
      <c r="CL90" s="80">
        <v>581</v>
      </c>
      <c r="CM90" s="80">
        <v>536</v>
      </c>
      <c r="CN90" s="80">
        <v>496</v>
      </c>
      <c r="CO90" s="80">
        <v>442</v>
      </c>
      <c r="CP90" s="80">
        <v>403</v>
      </c>
      <c r="CQ90" s="80">
        <v>400</v>
      </c>
      <c r="CR90" s="80">
        <v>421</v>
      </c>
      <c r="CS90" s="80">
        <v>298</v>
      </c>
      <c r="CT90" s="80">
        <v>358</v>
      </c>
      <c r="CU90" s="80">
        <v>290</v>
      </c>
      <c r="CV90" s="80">
        <v>241</v>
      </c>
      <c r="CW90" s="80">
        <v>181</v>
      </c>
      <c r="CX90" s="80">
        <v>165</v>
      </c>
      <c r="CY90" s="80">
        <v>508</v>
      </c>
      <c r="CZ90" s="81">
        <v>788</v>
      </c>
      <c r="DA90" s="81">
        <v>815</v>
      </c>
      <c r="DB90" s="81">
        <v>870</v>
      </c>
      <c r="DC90" s="81">
        <v>910</v>
      </c>
      <c r="DD90" s="81">
        <v>926</v>
      </c>
      <c r="DE90" s="81">
        <v>986</v>
      </c>
      <c r="DF90" s="81">
        <v>994</v>
      </c>
      <c r="DG90" s="81">
        <v>998</v>
      </c>
      <c r="DH90" s="81">
        <v>1085</v>
      </c>
      <c r="DI90" s="81">
        <v>996</v>
      </c>
      <c r="DJ90" s="81">
        <v>1053</v>
      </c>
      <c r="DK90" s="81">
        <v>1027</v>
      </c>
      <c r="DL90" s="81">
        <v>929</v>
      </c>
      <c r="DM90" s="81">
        <v>915</v>
      </c>
      <c r="DN90" s="81">
        <v>928</v>
      </c>
      <c r="DO90" s="81">
        <v>985</v>
      </c>
      <c r="DP90" s="81">
        <v>860</v>
      </c>
      <c r="DQ90" s="81">
        <v>912</v>
      </c>
      <c r="DR90" s="81">
        <v>843</v>
      </c>
      <c r="DS90" s="81">
        <v>677</v>
      </c>
      <c r="DT90" s="81">
        <v>595</v>
      </c>
      <c r="DU90" s="81">
        <v>700</v>
      </c>
      <c r="DV90" s="81">
        <v>750</v>
      </c>
      <c r="DW90" s="81">
        <v>868</v>
      </c>
      <c r="DX90" s="81">
        <v>837</v>
      </c>
      <c r="DY90" s="81">
        <v>771</v>
      </c>
      <c r="DZ90" s="81">
        <v>965</v>
      </c>
      <c r="EA90" s="81">
        <v>921</v>
      </c>
      <c r="EB90" s="81">
        <v>1040</v>
      </c>
      <c r="EC90" s="81">
        <v>1045</v>
      </c>
      <c r="ED90" s="81">
        <v>1045</v>
      </c>
      <c r="EE90" s="81">
        <v>1102</v>
      </c>
      <c r="EF90" s="81">
        <v>1144</v>
      </c>
      <c r="EG90" s="81">
        <v>1039</v>
      </c>
      <c r="EH90" s="81">
        <v>1066</v>
      </c>
      <c r="EI90" s="81">
        <v>1003</v>
      </c>
      <c r="EJ90" s="81">
        <v>1044</v>
      </c>
      <c r="EK90" s="81">
        <v>982</v>
      </c>
      <c r="EL90" s="81">
        <v>977</v>
      </c>
      <c r="EM90" s="81">
        <v>969</v>
      </c>
      <c r="EN90" s="81">
        <v>909</v>
      </c>
      <c r="EO90" s="81">
        <v>847</v>
      </c>
      <c r="EP90" s="81">
        <v>808</v>
      </c>
      <c r="EQ90" s="81">
        <v>808</v>
      </c>
      <c r="ER90" s="81">
        <v>833</v>
      </c>
      <c r="ES90" s="81">
        <v>876</v>
      </c>
      <c r="ET90" s="81">
        <v>917</v>
      </c>
      <c r="EU90" s="81">
        <v>954</v>
      </c>
      <c r="EV90" s="81">
        <v>1131</v>
      </c>
      <c r="EW90" s="81">
        <v>1154</v>
      </c>
      <c r="EX90" s="81">
        <v>1044</v>
      </c>
      <c r="EY90" s="81">
        <v>1213</v>
      </c>
      <c r="EZ90" s="81">
        <v>1148</v>
      </c>
      <c r="FA90" s="81">
        <v>1141</v>
      </c>
      <c r="FB90" s="81">
        <v>1216</v>
      </c>
      <c r="FC90" s="81">
        <v>1166</v>
      </c>
      <c r="FD90" s="81">
        <v>1153</v>
      </c>
      <c r="FE90" s="81">
        <v>1253</v>
      </c>
      <c r="FF90" s="81">
        <v>1161</v>
      </c>
      <c r="FG90" s="81">
        <v>1108</v>
      </c>
      <c r="FH90" s="81">
        <v>1048</v>
      </c>
      <c r="FI90" s="81">
        <v>1091</v>
      </c>
      <c r="FJ90" s="81">
        <v>1051</v>
      </c>
      <c r="FK90" s="81">
        <v>934</v>
      </c>
      <c r="FL90" s="81">
        <v>974</v>
      </c>
      <c r="FM90" s="81">
        <v>901</v>
      </c>
      <c r="FN90" s="81">
        <v>935</v>
      </c>
      <c r="FO90" s="81">
        <v>876</v>
      </c>
      <c r="FP90" s="81">
        <v>898</v>
      </c>
      <c r="FQ90" s="81">
        <v>880</v>
      </c>
      <c r="FR90" s="81">
        <v>887</v>
      </c>
      <c r="FS90" s="81">
        <v>886</v>
      </c>
      <c r="FT90" s="81">
        <v>953</v>
      </c>
      <c r="FU90" s="81">
        <v>1070</v>
      </c>
      <c r="FV90" s="81">
        <v>815</v>
      </c>
      <c r="FW90" s="81">
        <v>746</v>
      </c>
      <c r="FX90" s="81">
        <v>730</v>
      </c>
      <c r="FY90" s="81">
        <v>669</v>
      </c>
      <c r="FZ90" s="81">
        <v>569</v>
      </c>
      <c r="GA90" s="81">
        <v>582</v>
      </c>
      <c r="GB90" s="81">
        <v>619</v>
      </c>
      <c r="GC90" s="81">
        <v>595</v>
      </c>
      <c r="GD90" s="81">
        <v>562</v>
      </c>
      <c r="GE90" s="81">
        <v>517</v>
      </c>
      <c r="GF90" s="81">
        <v>467</v>
      </c>
      <c r="GG90" s="81">
        <v>434</v>
      </c>
      <c r="GH90" s="81">
        <v>379</v>
      </c>
      <c r="GI90" s="81">
        <v>334</v>
      </c>
      <c r="GJ90" s="81">
        <v>310</v>
      </c>
      <c r="GK90" s="81">
        <v>280</v>
      </c>
      <c r="GL90" s="82">
        <v>1109</v>
      </c>
    </row>
    <row r="91" spans="1:194" s="1" customFormat="1" hidden="1" x14ac:dyDescent="0.2">
      <c r="A91" s="83" t="s">
        <v>220</v>
      </c>
      <c r="B91" s="262" t="s">
        <v>301</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0">
        <v>15005</v>
      </c>
      <c r="N91" s="80">
        <v>15129</v>
      </c>
      <c r="O91" s="80">
        <v>15277</v>
      </c>
      <c r="P91" s="80">
        <v>15295</v>
      </c>
      <c r="Q91" s="80">
        <v>15333</v>
      </c>
      <c r="R91" s="80">
        <v>15058</v>
      </c>
      <c r="S91" s="80">
        <v>14917</v>
      </c>
      <c r="T91" s="80">
        <v>14974</v>
      </c>
      <c r="U91" s="80">
        <v>15433</v>
      </c>
      <c r="V91" s="80">
        <v>14057</v>
      </c>
      <c r="W91" s="80">
        <v>13669</v>
      </c>
      <c r="X91" s="80">
        <v>13095</v>
      </c>
      <c r="Y91" s="80">
        <v>13419</v>
      </c>
      <c r="Z91" s="80">
        <v>13211</v>
      </c>
      <c r="AA91" s="80">
        <v>12704</v>
      </c>
      <c r="AB91" s="80">
        <v>12470</v>
      </c>
      <c r="AC91" s="80">
        <v>11870</v>
      </c>
      <c r="AD91" s="80">
        <v>12122</v>
      </c>
      <c r="AE91" s="80">
        <v>11500</v>
      </c>
      <c r="AF91" s="80">
        <v>11039</v>
      </c>
      <c r="AG91" s="80">
        <v>11422</v>
      </c>
      <c r="AH91" s="80">
        <v>12105</v>
      </c>
      <c r="AI91" s="80">
        <v>13331</v>
      </c>
      <c r="AJ91" s="80">
        <v>15015</v>
      </c>
      <c r="AK91" s="80">
        <v>16418</v>
      </c>
      <c r="AL91" s="80">
        <v>17117</v>
      </c>
      <c r="AM91" s="80">
        <v>17792</v>
      </c>
      <c r="AN91" s="80">
        <v>18216</v>
      </c>
      <c r="AO91" s="80">
        <v>19057</v>
      </c>
      <c r="AP91" s="80">
        <v>20660</v>
      </c>
      <c r="AQ91" s="80">
        <v>21747</v>
      </c>
      <c r="AR91" s="80">
        <v>21680</v>
      </c>
      <c r="AS91" s="80">
        <v>22490</v>
      </c>
      <c r="AT91" s="80">
        <v>21769</v>
      </c>
      <c r="AU91" s="80">
        <v>22179</v>
      </c>
      <c r="AV91" s="80">
        <v>22355</v>
      </c>
      <c r="AW91" s="80">
        <v>21180</v>
      </c>
      <c r="AX91" s="80">
        <v>20606</v>
      </c>
      <c r="AY91" s="80">
        <v>19530</v>
      </c>
      <c r="AZ91" s="80">
        <v>18613</v>
      </c>
      <c r="BA91" s="80">
        <v>17689</v>
      </c>
      <c r="BB91" s="80">
        <v>16268</v>
      </c>
      <c r="BC91" s="80">
        <v>15388</v>
      </c>
      <c r="BD91" s="80">
        <v>14787</v>
      </c>
      <c r="BE91" s="80">
        <v>14183</v>
      </c>
      <c r="BF91" s="80">
        <v>13921</v>
      </c>
      <c r="BG91" s="80">
        <v>13381</v>
      </c>
      <c r="BH91" s="80">
        <v>12825</v>
      </c>
      <c r="BI91" s="80">
        <v>13100</v>
      </c>
      <c r="BJ91" s="80">
        <v>12834</v>
      </c>
      <c r="BK91" s="80">
        <v>12443</v>
      </c>
      <c r="BL91" s="80">
        <v>12041</v>
      </c>
      <c r="BM91" s="80">
        <v>12115</v>
      </c>
      <c r="BN91" s="80">
        <v>11568</v>
      </c>
      <c r="BO91" s="80">
        <v>11083</v>
      </c>
      <c r="BP91" s="80">
        <v>10759</v>
      </c>
      <c r="BQ91" s="80">
        <v>10680</v>
      </c>
      <c r="BR91" s="80">
        <v>10049</v>
      </c>
      <c r="BS91" s="80">
        <v>9557</v>
      </c>
      <c r="BT91" s="80">
        <v>9132</v>
      </c>
      <c r="BU91" s="80">
        <v>9094</v>
      </c>
      <c r="BV91" s="80">
        <v>8565</v>
      </c>
      <c r="BW91" s="80">
        <v>8204</v>
      </c>
      <c r="BX91" s="80">
        <v>7723</v>
      </c>
      <c r="BY91" s="80">
        <v>7301</v>
      </c>
      <c r="BZ91" s="80">
        <v>6847</v>
      </c>
      <c r="CA91" s="80">
        <v>6374</v>
      </c>
      <c r="CB91" s="80">
        <v>5961</v>
      </c>
      <c r="CC91" s="80">
        <v>5705</v>
      </c>
      <c r="CD91" s="80">
        <v>5405</v>
      </c>
      <c r="CE91" s="80">
        <v>5159</v>
      </c>
      <c r="CF91" s="80">
        <v>4896</v>
      </c>
      <c r="CG91" s="80">
        <v>5011</v>
      </c>
      <c r="CH91" s="80">
        <v>5152</v>
      </c>
      <c r="CI91" s="80">
        <v>4162</v>
      </c>
      <c r="CJ91" s="80">
        <v>3731</v>
      </c>
      <c r="CK91" s="80">
        <v>3448</v>
      </c>
      <c r="CL91" s="80">
        <v>3269</v>
      </c>
      <c r="CM91" s="80">
        <v>3051</v>
      </c>
      <c r="CN91" s="80">
        <v>2691</v>
      </c>
      <c r="CO91" s="80">
        <v>2844</v>
      </c>
      <c r="CP91" s="80">
        <v>2640</v>
      </c>
      <c r="CQ91" s="80">
        <v>2506</v>
      </c>
      <c r="CR91" s="80">
        <v>2257</v>
      </c>
      <c r="CS91" s="80">
        <v>2085</v>
      </c>
      <c r="CT91" s="80">
        <v>1804</v>
      </c>
      <c r="CU91" s="80">
        <v>1577</v>
      </c>
      <c r="CV91" s="80">
        <v>1357</v>
      </c>
      <c r="CW91" s="80">
        <v>1269</v>
      </c>
      <c r="CX91" s="80">
        <v>1040</v>
      </c>
      <c r="CY91" s="80">
        <v>3814</v>
      </c>
      <c r="CZ91" s="81">
        <v>14168</v>
      </c>
      <c r="DA91" s="81">
        <v>14308</v>
      </c>
      <c r="DB91" s="81">
        <v>14501</v>
      </c>
      <c r="DC91" s="81">
        <v>14858</v>
      </c>
      <c r="DD91" s="81">
        <v>14832</v>
      </c>
      <c r="DE91" s="81">
        <v>14383</v>
      </c>
      <c r="DF91" s="81">
        <v>14068</v>
      </c>
      <c r="DG91" s="81">
        <v>14670</v>
      </c>
      <c r="DH91" s="81">
        <v>14454</v>
      </c>
      <c r="DI91" s="81">
        <v>13214</v>
      </c>
      <c r="DJ91" s="81">
        <v>12614</v>
      </c>
      <c r="DK91" s="81">
        <v>12669</v>
      </c>
      <c r="DL91" s="81">
        <v>12697</v>
      </c>
      <c r="DM91" s="81">
        <v>12408</v>
      </c>
      <c r="DN91" s="81">
        <v>12076</v>
      </c>
      <c r="DO91" s="81">
        <v>11485</v>
      </c>
      <c r="DP91" s="81">
        <v>11253</v>
      </c>
      <c r="DQ91" s="81">
        <v>11217</v>
      </c>
      <c r="DR91" s="81">
        <v>10791</v>
      </c>
      <c r="DS91" s="81">
        <v>9993</v>
      </c>
      <c r="DT91" s="81">
        <v>9959</v>
      </c>
      <c r="DU91" s="81">
        <v>10797</v>
      </c>
      <c r="DV91" s="81">
        <v>12296</v>
      </c>
      <c r="DW91" s="81">
        <v>14389</v>
      </c>
      <c r="DX91" s="81">
        <v>15565</v>
      </c>
      <c r="DY91" s="81">
        <v>16538</v>
      </c>
      <c r="DZ91" s="81">
        <v>16842</v>
      </c>
      <c r="EA91" s="81">
        <v>17600</v>
      </c>
      <c r="EB91" s="81">
        <v>18257</v>
      </c>
      <c r="EC91" s="81">
        <v>19247</v>
      </c>
      <c r="ED91" s="81">
        <v>18739</v>
      </c>
      <c r="EE91" s="81">
        <v>19432</v>
      </c>
      <c r="EF91" s="81">
        <v>20325</v>
      </c>
      <c r="EG91" s="81">
        <v>20095</v>
      </c>
      <c r="EH91" s="81">
        <v>19353</v>
      </c>
      <c r="EI91" s="81">
        <v>18689</v>
      </c>
      <c r="EJ91" s="81">
        <v>18100</v>
      </c>
      <c r="EK91" s="81">
        <v>17538</v>
      </c>
      <c r="EL91" s="81">
        <v>17154</v>
      </c>
      <c r="EM91" s="81">
        <v>16412</v>
      </c>
      <c r="EN91" s="81">
        <v>16041</v>
      </c>
      <c r="EO91" s="81">
        <v>15161</v>
      </c>
      <c r="EP91" s="81">
        <v>14207</v>
      </c>
      <c r="EQ91" s="81">
        <v>13698</v>
      </c>
      <c r="ER91" s="81">
        <v>13160</v>
      </c>
      <c r="ES91" s="81">
        <v>12585</v>
      </c>
      <c r="ET91" s="81">
        <v>12280</v>
      </c>
      <c r="EU91" s="81">
        <v>12085</v>
      </c>
      <c r="EV91" s="81">
        <v>12127</v>
      </c>
      <c r="EW91" s="81">
        <v>12047</v>
      </c>
      <c r="EX91" s="81">
        <v>12039</v>
      </c>
      <c r="EY91" s="81">
        <v>11941</v>
      </c>
      <c r="EZ91" s="81">
        <v>11741</v>
      </c>
      <c r="FA91" s="81">
        <v>11657</v>
      </c>
      <c r="FB91" s="81">
        <v>11394</v>
      </c>
      <c r="FC91" s="81">
        <v>10995</v>
      </c>
      <c r="FD91" s="81">
        <v>10841</v>
      </c>
      <c r="FE91" s="81">
        <v>10398</v>
      </c>
      <c r="FF91" s="81">
        <v>9756</v>
      </c>
      <c r="FG91" s="81">
        <v>9587</v>
      </c>
      <c r="FH91" s="81">
        <v>9040</v>
      </c>
      <c r="FI91" s="81">
        <v>8676</v>
      </c>
      <c r="FJ91" s="81">
        <v>8189</v>
      </c>
      <c r="FK91" s="81">
        <v>7992</v>
      </c>
      <c r="FL91" s="81">
        <v>7411</v>
      </c>
      <c r="FM91" s="81">
        <v>7052</v>
      </c>
      <c r="FN91" s="81">
        <v>6965</v>
      </c>
      <c r="FO91" s="81">
        <v>6546</v>
      </c>
      <c r="FP91" s="81">
        <v>6461</v>
      </c>
      <c r="FQ91" s="81">
        <v>6023</v>
      </c>
      <c r="FR91" s="81">
        <v>6059</v>
      </c>
      <c r="FS91" s="81">
        <v>5785</v>
      </c>
      <c r="FT91" s="81">
        <v>5785</v>
      </c>
      <c r="FU91" s="81">
        <v>5923</v>
      </c>
      <c r="FV91" s="81">
        <v>4842</v>
      </c>
      <c r="FW91" s="81">
        <v>4506</v>
      </c>
      <c r="FX91" s="81">
        <v>4301</v>
      </c>
      <c r="FY91" s="81">
        <v>4227</v>
      </c>
      <c r="FZ91" s="81">
        <v>3772</v>
      </c>
      <c r="GA91" s="81">
        <v>3311</v>
      </c>
      <c r="GB91" s="81">
        <v>3510</v>
      </c>
      <c r="GC91" s="81">
        <v>3393</v>
      </c>
      <c r="GD91" s="81">
        <v>3327</v>
      </c>
      <c r="GE91" s="81">
        <v>3036</v>
      </c>
      <c r="GF91" s="81">
        <v>2750</v>
      </c>
      <c r="GG91" s="81">
        <v>2663</v>
      </c>
      <c r="GH91" s="81">
        <v>2345</v>
      </c>
      <c r="GI91" s="81">
        <v>2078</v>
      </c>
      <c r="GJ91" s="81">
        <v>1904</v>
      </c>
      <c r="GK91" s="81">
        <v>1670</v>
      </c>
      <c r="GL91" s="82">
        <v>7598</v>
      </c>
    </row>
    <row r="92" spans="1:194" s="1" customFormat="1" hidden="1" x14ac:dyDescent="0.2">
      <c r="A92" s="83" t="s">
        <v>220</v>
      </c>
      <c r="B92" s="262" t="s">
        <v>302</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0">
        <v>800</v>
      </c>
      <c r="N92" s="80">
        <v>796</v>
      </c>
      <c r="O92" s="80">
        <v>884</v>
      </c>
      <c r="P92" s="80">
        <v>942</v>
      </c>
      <c r="Q92" s="80">
        <v>939</v>
      </c>
      <c r="R92" s="80">
        <v>969</v>
      </c>
      <c r="S92" s="80">
        <v>1035</v>
      </c>
      <c r="T92" s="80">
        <v>1010</v>
      </c>
      <c r="U92" s="80">
        <v>1070</v>
      </c>
      <c r="V92" s="80">
        <v>1052</v>
      </c>
      <c r="W92" s="80">
        <v>1150</v>
      </c>
      <c r="X92" s="80">
        <v>1181</v>
      </c>
      <c r="Y92" s="80">
        <v>1103</v>
      </c>
      <c r="Z92" s="80">
        <v>1080</v>
      </c>
      <c r="AA92" s="80">
        <v>1110</v>
      </c>
      <c r="AB92" s="80">
        <v>1029</v>
      </c>
      <c r="AC92" s="80">
        <v>993</v>
      </c>
      <c r="AD92" s="80">
        <v>957</v>
      </c>
      <c r="AE92" s="80">
        <v>966</v>
      </c>
      <c r="AF92" s="80">
        <v>738</v>
      </c>
      <c r="AG92" s="80">
        <v>752</v>
      </c>
      <c r="AH92" s="80">
        <v>765</v>
      </c>
      <c r="AI92" s="80">
        <v>864</v>
      </c>
      <c r="AJ92" s="80">
        <v>880</v>
      </c>
      <c r="AK92" s="80">
        <v>968</v>
      </c>
      <c r="AL92" s="80">
        <v>985</v>
      </c>
      <c r="AM92" s="80">
        <v>957</v>
      </c>
      <c r="AN92" s="80">
        <v>1014</v>
      </c>
      <c r="AO92" s="80">
        <v>1000</v>
      </c>
      <c r="AP92" s="80">
        <v>1057</v>
      </c>
      <c r="AQ92" s="80">
        <v>976</v>
      </c>
      <c r="AR92" s="80">
        <v>997</v>
      </c>
      <c r="AS92" s="80">
        <v>1044</v>
      </c>
      <c r="AT92" s="80">
        <v>1022</v>
      </c>
      <c r="AU92" s="80">
        <v>1059</v>
      </c>
      <c r="AV92" s="80">
        <v>1086</v>
      </c>
      <c r="AW92" s="80">
        <v>1085</v>
      </c>
      <c r="AX92" s="80">
        <v>1032</v>
      </c>
      <c r="AY92" s="80">
        <v>969</v>
      </c>
      <c r="AZ92" s="80">
        <v>1018</v>
      </c>
      <c r="BA92" s="80">
        <v>1029</v>
      </c>
      <c r="BB92" s="80">
        <v>979</v>
      </c>
      <c r="BC92" s="80">
        <v>921</v>
      </c>
      <c r="BD92" s="80">
        <v>920</v>
      </c>
      <c r="BE92" s="80">
        <v>911</v>
      </c>
      <c r="BF92" s="80">
        <v>980</v>
      </c>
      <c r="BG92" s="80">
        <v>999</v>
      </c>
      <c r="BH92" s="80">
        <v>1054</v>
      </c>
      <c r="BI92" s="80">
        <v>1192</v>
      </c>
      <c r="BJ92" s="80">
        <v>1145</v>
      </c>
      <c r="BK92" s="80">
        <v>1174</v>
      </c>
      <c r="BL92" s="80">
        <v>1286</v>
      </c>
      <c r="BM92" s="80">
        <v>1209</v>
      </c>
      <c r="BN92" s="80">
        <v>1323</v>
      </c>
      <c r="BO92" s="80">
        <v>1261</v>
      </c>
      <c r="BP92" s="80">
        <v>1297</v>
      </c>
      <c r="BQ92" s="80">
        <v>1356</v>
      </c>
      <c r="BR92" s="80">
        <v>1348</v>
      </c>
      <c r="BS92" s="80">
        <v>1305</v>
      </c>
      <c r="BT92" s="80">
        <v>1220</v>
      </c>
      <c r="BU92" s="80">
        <v>1213</v>
      </c>
      <c r="BV92" s="80">
        <v>1166</v>
      </c>
      <c r="BW92" s="80">
        <v>1169</v>
      </c>
      <c r="BX92" s="80">
        <v>1111</v>
      </c>
      <c r="BY92" s="80">
        <v>1134</v>
      </c>
      <c r="BZ92" s="80">
        <v>1031</v>
      </c>
      <c r="CA92" s="80">
        <v>976</v>
      </c>
      <c r="CB92" s="80">
        <v>1038</v>
      </c>
      <c r="CC92" s="80">
        <v>1008</v>
      </c>
      <c r="CD92" s="80">
        <v>1017</v>
      </c>
      <c r="CE92" s="80">
        <v>1018</v>
      </c>
      <c r="CF92" s="80">
        <v>998</v>
      </c>
      <c r="CG92" s="80">
        <v>1057</v>
      </c>
      <c r="CH92" s="80">
        <v>1135</v>
      </c>
      <c r="CI92" s="80">
        <v>808</v>
      </c>
      <c r="CJ92" s="80">
        <v>821</v>
      </c>
      <c r="CK92" s="80">
        <v>730</v>
      </c>
      <c r="CL92" s="80">
        <v>669</v>
      </c>
      <c r="CM92" s="80">
        <v>592</v>
      </c>
      <c r="CN92" s="80">
        <v>513</v>
      </c>
      <c r="CO92" s="80">
        <v>522</v>
      </c>
      <c r="CP92" s="80">
        <v>480</v>
      </c>
      <c r="CQ92" s="80">
        <v>463</v>
      </c>
      <c r="CR92" s="80">
        <v>394</v>
      </c>
      <c r="CS92" s="80">
        <v>407</v>
      </c>
      <c r="CT92" s="80">
        <v>333</v>
      </c>
      <c r="CU92" s="80">
        <v>272</v>
      </c>
      <c r="CV92" s="80">
        <v>241</v>
      </c>
      <c r="CW92" s="80">
        <v>158</v>
      </c>
      <c r="CX92" s="80">
        <v>178</v>
      </c>
      <c r="CY92" s="80">
        <v>461</v>
      </c>
      <c r="CZ92" s="81">
        <v>789</v>
      </c>
      <c r="DA92" s="81">
        <v>835</v>
      </c>
      <c r="DB92" s="81">
        <v>890</v>
      </c>
      <c r="DC92" s="81">
        <v>937</v>
      </c>
      <c r="DD92" s="81">
        <v>973</v>
      </c>
      <c r="DE92" s="81">
        <v>923</v>
      </c>
      <c r="DF92" s="81">
        <v>959</v>
      </c>
      <c r="DG92" s="81">
        <v>1071</v>
      </c>
      <c r="DH92" s="81">
        <v>1008</v>
      </c>
      <c r="DI92" s="81">
        <v>1094</v>
      </c>
      <c r="DJ92" s="81">
        <v>1040</v>
      </c>
      <c r="DK92" s="81">
        <v>1049</v>
      </c>
      <c r="DL92" s="81">
        <v>1101</v>
      </c>
      <c r="DM92" s="81">
        <v>1033</v>
      </c>
      <c r="DN92" s="81">
        <v>1027</v>
      </c>
      <c r="DO92" s="81">
        <v>989</v>
      </c>
      <c r="DP92" s="81">
        <v>974</v>
      </c>
      <c r="DQ92" s="81">
        <v>885</v>
      </c>
      <c r="DR92" s="81">
        <v>801</v>
      </c>
      <c r="DS92" s="81">
        <v>708</v>
      </c>
      <c r="DT92" s="81">
        <v>669</v>
      </c>
      <c r="DU92" s="81">
        <v>631</v>
      </c>
      <c r="DV92" s="81">
        <v>816</v>
      </c>
      <c r="DW92" s="81">
        <v>838</v>
      </c>
      <c r="DX92" s="81">
        <v>843</v>
      </c>
      <c r="DY92" s="81">
        <v>904</v>
      </c>
      <c r="DZ92" s="81">
        <v>944</v>
      </c>
      <c r="EA92" s="81">
        <v>942</v>
      </c>
      <c r="EB92" s="81">
        <v>982</v>
      </c>
      <c r="EC92" s="81">
        <v>1020</v>
      </c>
      <c r="ED92" s="81">
        <v>1075</v>
      </c>
      <c r="EE92" s="81">
        <v>1058</v>
      </c>
      <c r="EF92" s="81">
        <v>1092</v>
      </c>
      <c r="EG92" s="81">
        <v>1137</v>
      </c>
      <c r="EH92" s="81">
        <v>1157</v>
      </c>
      <c r="EI92" s="81">
        <v>1052</v>
      </c>
      <c r="EJ92" s="81">
        <v>1102</v>
      </c>
      <c r="EK92" s="81">
        <v>1090</v>
      </c>
      <c r="EL92" s="81">
        <v>1030</v>
      </c>
      <c r="EM92" s="81">
        <v>1056</v>
      </c>
      <c r="EN92" s="81">
        <v>1043</v>
      </c>
      <c r="EO92" s="81">
        <v>1030</v>
      </c>
      <c r="EP92" s="81">
        <v>872</v>
      </c>
      <c r="EQ92" s="81">
        <v>849</v>
      </c>
      <c r="ER92" s="81">
        <v>988</v>
      </c>
      <c r="ES92" s="81">
        <v>986</v>
      </c>
      <c r="ET92" s="81">
        <v>1051</v>
      </c>
      <c r="EU92" s="81">
        <v>1040</v>
      </c>
      <c r="EV92" s="81">
        <v>1104</v>
      </c>
      <c r="EW92" s="81">
        <v>1200</v>
      </c>
      <c r="EX92" s="81">
        <v>1307</v>
      </c>
      <c r="EY92" s="81">
        <v>1328</v>
      </c>
      <c r="EZ92" s="81">
        <v>1258</v>
      </c>
      <c r="FA92" s="81">
        <v>1299</v>
      </c>
      <c r="FB92" s="81">
        <v>1326</v>
      </c>
      <c r="FC92" s="81">
        <v>1328</v>
      </c>
      <c r="FD92" s="81">
        <v>1338</v>
      </c>
      <c r="FE92" s="81">
        <v>1274</v>
      </c>
      <c r="FF92" s="81">
        <v>1294</v>
      </c>
      <c r="FG92" s="81">
        <v>1258</v>
      </c>
      <c r="FH92" s="81">
        <v>1185</v>
      </c>
      <c r="FI92" s="81">
        <v>1190</v>
      </c>
      <c r="FJ92" s="81">
        <v>1131</v>
      </c>
      <c r="FK92" s="81">
        <v>1105</v>
      </c>
      <c r="FL92" s="81">
        <v>1110</v>
      </c>
      <c r="FM92" s="81">
        <v>1091</v>
      </c>
      <c r="FN92" s="81">
        <v>1070</v>
      </c>
      <c r="FO92" s="81">
        <v>1087</v>
      </c>
      <c r="FP92" s="81">
        <v>1016</v>
      </c>
      <c r="FQ92" s="81">
        <v>1001</v>
      </c>
      <c r="FR92" s="81">
        <v>1100</v>
      </c>
      <c r="FS92" s="81">
        <v>1062</v>
      </c>
      <c r="FT92" s="81">
        <v>1061</v>
      </c>
      <c r="FU92" s="81">
        <v>1123</v>
      </c>
      <c r="FV92" s="81">
        <v>862</v>
      </c>
      <c r="FW92" s="81">
        <v>876</v>
      </c>
      <c r="FX92" s="81">
        <v>827</v>
      </c>
      <c r="FY92" s="81">
        <v>761</v>
      </c>
      <c r="FZ92" s="81">
        <v>718</v>
      </c>
      <c r="GA92" s="81">
        <v>609</v>
      </c>
      <c r="GB92" s="81">
        <v>617</v>
      </c>
      <c r="GC92" s="81">
        <v>590</v>
      </c>
      <c r="GD92" s="81">
        <v>516</v>
      </c>
      <c r="GE92" s="81">
        <v>505</v>
      </c>
      <c r="GF92" s="81">
        <v>469</v>
      </c>
      <c r="GG92" s="81">
        <v>428</v>
      </c>
      <c r="GH92" s="81">
        <v>372</v>
      </c>
      <c r="GI92" s="81">
        <v>351</v>
      </c>
      <c r="GJ92" s="81">
        <v>345</v>
      </c>
      <c r="GK92" s="81">
        <v>277</v>
      </c>
      <c r="GL92" s="82">
        <v>1240</v>
      </c>
    </row>
    <row r="93" spans="1:194" s="1" customFormat="1" hidden="1" x14ac:dyDescent="0.2">
      <c r="A93" s="83" t="s">
        <v>220</v>
      </c>
      <c r="B93" s="262" t="s">
        <v>303</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0">
        <v>935</v>
      </c>
      <c r="N93" s="80">
        <v>878</v>
      </c>
      <c r="O93" s="80">
        <v>1004</v>
      </c>
      <c r="P93" s="80">
        <v>1071</v>
      </c>
      <c r="Q93" s="80">
        <v>1044</v>
      </c>
      <c r="R93" s="80">
        <v>1165</v>
      </c>
      <c r="S93" s="80">
        <v>1163</v>
      </c>
      <c r="T93" s="80">
        <v>1155</v>
      </c>
      <c r="U93" s="80">
        <v>1145</v>
      </c>
      <c r="V93" s="80">
        <v>1281</v>
      </c>
      <c r="W93" s="80">
        <v>1246</v>
      </c>
      <c r="X93" s="80">
        <v>1289</v>
      </c>
      <c r="Y93" s="80">
        <v>1266</v>
      </c>
      <c r="Z93" s="80">
        <v>1168</v>
      </c>
      <c r="AA93" s="80">
        <v>1173</v>
      </c>
      <c r="AB93" s="80">
        <v>1266</v>
      </c>
      <c r="AC93" s="80">
        <v>1188</v>
      </c>
      <c r="AD93" s="80">
        <v>1175</v>
      </c>
      <c r="AE93" s="80">
        <v>1197</v>
      </c>
      <c r="AF93" s="80">
        <v>1440</v>
      </c>
      <c r="AG93" s="80">
        <v>1564</v>
      </c>
      <c r="AH93" s="80">
        <v>1513</v>
      </c>
      <c r="AI93" s="80">
        <v>1547</v>
      </c>
      <c r="AJ93" s="80">
        <v>1479</v>
      </c>
      <c r="AK93" s="80">
        <v>1314</v>
      </c>
      <c r="AL93" s="80">
        <v>1340</v>
      </c>
      <c r="AM93" s="80">
        <v>1331</v>
      </c>
      <c r="AN93" s="80">
        <v>1329</v>
      </c>
      <c r="AO93" s="80">
        <v>1435</v>
      </c>
      <c r="AP93" s="80">
        <v>1593</v>
      </c>
      <c r="AQ93" s="80">
        <v>1538</v>
      </c>
      <c r="AR93" s="80">
        <v>1449</v>
      </c>
      <c r="AS93" s="80">
        <v>1203</v>
      </c>
      <c r="AT93" s="80">
        <v>1176</v>
      </c>
      <c r="AU93" s="80">
        <v>1252</v>
      </c>
      <c r="AV93" s="80">
        <v>1186</v>
      </c>
      <c r="AW93" s="80">
        <v>1178</v>
      </c>
      <c r="AX93" s="80">
        <v>1156</v>
      </c>
      <c r="AY93" s="80">
        <v>1210</v>
      </c>
      <c r="AZ93" s="80">
        <v>1141</v>
      </c>
      <c r="BA93" s="80">
        <v>1273</v>
      </c>
      <c r="BB93" s="80">
        <v>1006</v>
      </c>
      <c r="BC93" s="80">
        <v>1131</v>
      </c>
      <c r="BD93" s="80">
        <v>1156</v>
      </c>
      <c r="BE93" s="80">
        <v>1140</v>
      </c>
      <c r="BF93" s="80">
        <v>1270</v>
      </c>
      <c r="BG93" s="80">
        <v>1313</v>
      </c>
      <c r="BH93" s="80">
        <v>1414</v>
      </c>
      <c r="BI93" s="80">
        <v>1474</v>
      </c>
      <c r="BJ93" s="80">
        <v>1607</v>
      </c>
      <c r="BK93" s="80">
        <v>1626</v>
      </c>
      <c r="BL93" s="80">
        <v>1584</v>
      </c>
      <c r="BM93" s="80">
        <v>1604</v>
      </c>
      <c r="BN93" s="80">
        <v>1680</v>
      </c>
      <c r="BO93" s="80">
        <v>1664</v>
      </c>
      <c r="BP93" s="80">
        <v>1529</v>
      </c>
      <c r="BQ93" s="80">
        <v>1584</v>
      </c>
      <c r="BR93" s="80">
        <v>1636</v>
      </c>
      <c r="BS93" s="80">
        <v>1595</v>
      </c>
      <c r="BT93" s="80">
        <v>1516</v>
      </c>
      <c r="BU93" s="80">
        <v>1367</v>
      </c>
      <c r="BV93" s="80">
        <v>1453</v>
      </c>
      <c r="BW93" s="80">
        <v>1452</v>
      </c>
      <c r="BX93" s="80">
        <v>1307</v>
      </c>
      <c r="BY93" s="80">
        <v>1272</v>
      </c>
      <c r="BZ93" s="80">
        <v>1232</v>
      </c>
      <c r="CA93" s="80">
        <v>1291</v>
      </c>
      <c r="CB93" s="80">
        <v>1293</v>
      </c>
      <c r="CC93" s="80">
        <v>1205</v>
      </c>
      <c r="CD93" s="80">
        <v>1227</v>
      </c>
      <c r="CE93" s="80">
        <v>1293</v>
      </c>
      <c r="CF93" s="80">
        <v>1365</v>
      </c>
      <c r="CG93" s="80">
        <v>1465</v>
      </c>
      <c r="CH93" s="80">
        <v>1491</v>
      </c>
      <c r="CI93" s="80">
        <v>1091</v>
      </c>
      <c r="CJ93" s="80">
        <v>1092</v>
      </c>
      <c r="CK93" s="80">
        <v>1111</v>
      </c>
      <c r="CL93" s="80">
        <v>985</v>
      </c>
      <c r="CM93" s="80">
        <v>882</v>
      </c>
      <c r="CN93" s="80">
        <v>740</v>
      </c>
      <c r="CO93" s="80">
        <v>677</v>
      </c>
      <c r="CP93" s="80">
        <v>690</v>
      </c>
      <c r="CQ93" s="80">
        <v>620</v>
      </c>
      <c r="CR93" s="80">
        <v>601</v>
      </c>
      <c r="CS93" s="80">
        <v>480</v>
      </c>
      <c r="CT93" s="80">
        <v>410</v>
      </c>
      <c r="CU93" s="80">
        <v>362</v>
      </c>
      <c r="CV93" s="80">
        <v>292</v>
      </c>
      <c r="CW93" s="80">
        <v>290</v>
      </c>
      <c r="CX93" s="80">
        <v>218</v>
      </c>
      <c r="CY93" s="80">
        <v>706</v>
      </c>
      <c r="CZ93" s="81">
        <v>907</v>
      </c>
      <c r="DA93" s="81">
        <v>901</v>
      </c>
      <c r="DB93" s="81">
        <v>950</v>
      </c>
      <c r="DC93" s="81">
        <v>982</v>
      </c>
      <c r="DD93" s="81">
        <v>1041</v>
      </c>
      <c r="DE93" s="81">
        <v>978</v>
      </c>
      <c r="DF93" s="81">
        <v>1038</v>
      </c>
      <c r="DG93" s="81">
        <v>1053</v>
      </c>
      <c r="DH93" s="81">
        <v>1100</v>
      </c>
      <c r="DI93" s="81">
        <v>1185</v>
      </c>
      <c r="DJ93" s="81">
        <v>1122</v>
      </c>
      <c r="DK93" s="81">
        <v>1138</v>
      </c>
      <c r="DL93" s="81">
        <v>1205</v>
      </c>
      <c r="DM93" s="81">
        <v>1159</v>
      </c>
      <c r="DN93" s="81">
        <v>1174</v>
      </c>
      <c r="DO93" s="81">
        <v>1199</v>
      </c>
      <c r="DP93" s="81">
        <v>1128</v>
      </c>
      <c r="DQ93" s="81">
        <v>1099</v>
      </c>
      <c r="DR93" s="81">
        <v>1105</v>
      </c>
      <c r="DS93" s="81">
        <v>1497</v>
      </c>
      <c r="DT93" s="81">
        <v>1491</v>
      </c>
      <c r="DU93" s="81">
        <v>1496</v>
      </c>
      <c r="DV93" s="81">
        <v>1362</v>
      </c>
      <c r="DW93" s="81">
        <v>1274</v>
      </c>
      <c r="DX93" s="81">
        <v>1238</v>
      </c>
      <c r="DY93" s="81">
        <v>1216</v>
      </c>
      <c r="DZ93" s="81">
        <v>1326</v>
      </c>
      <c r="EA93" s="81">
        <v>1256</v>
      </c>
      <c r="EB93" s="81">
        <v>1400</v>
      </c>
      <c r="EC93" s="81">
        <v>1461</v>
      </c>
      <c r="ED93" s="81">
        <v>1357</v>
      </c>
      <c r="EE93" s="81">
        <v>1243</v>
      </c>
      <c r="EF93" s="81">
        <v>1273</v>
      </c>
      <c r="EG93" s="81">
        <v>1247</v>
      </c>
      <c r="EH93" s="81">
        <v>1267</v>
      </c>
      <c r="EI93" s="81">
        <v>1241</v>
      </c>
      <c r="EJ93" s="81">
        <v>1134</v>
      </c>
      <c r="EK93" s="81">
        <v>1235</v>
      </c>
      <c r="EL93" s="81">
        <v>1310</v>
      </c>
      <c r="EM93" s="81">
        <v>1206</v>
      </c>
      <c r="EN93" s="81">
        <v>1293</v>
      </c>
      <c r="EO93" s="81">
        <v>1203</v>
      </c>
      <c r="EP93" s="81">
        <v>1167</v>
      </c>
      <c r="EQ93" s="81">
        <v>1137</v>
      </c>
      <c r="ER93" s="81">
        <v>1247</v>
      </c>
      <c r="ES93" s="81">
        <v>1295</v>
      </c>
      <c r="ET93" s="81">
        <v>1350</v>
      </c>
      <c r="EU93" s="81">
        <v>1339</v>
      </c>
      <c r="EV93" s="81">
        <v>1509</v>
      </c>
      <c r="EW93" s="81">
        <v>1577</v>
      </c>
      <c r="EX93" s="81">
        <v>1605</v>
      </c>
      <c r="EY93" s="81">
        <v>1609</v>
      </c>
      <c r="EZ93" s="81">
        <v>1630</v>
      </c>
      <c r="FA93" s="81">
        <v>1648</v>
      </c>
      <c r="FB93" s="81">
        <v>1657</v>
      </c>
      <c r="FC93" s="81">
        <v>1637</v>
      </c>
      <c r="FD93" s="81">
        <v>1623</v>
      </c>
      <c r="FE93" s="81">
        <v>1574</v>
      </c>
      <c r="FF93" s="81">
        <v>1582</v>
      </c>
      <c r="FG93" s="81">
        <v>1612</v>
      </c>
      <c r="FH93" s="81">
        <v>1465</v>
      </c>
      <c r="FI93" s="81">
        <v>1417</v>
      </c>
      <c r="FJ93" s="81">
        <v>1453</v>
      </c>
      <c r="FK93" s="81">
        <v>1357</v>
      </c>
      <c r="FL93" s="81">
        <v>1372</v>
      </c>
      <c r="FM93" s="81">
        <v>1283</v>
      </c>
      <c r="FN93" s="81">
        <v>1357</v>
      </c>
      <c r="FO93" s="81">
        <v>1314</v>
      </c>
      <c r="FP93" s="81">
        <v>1267</v>
      </c>
      <c r="FQ93" s="81">
        <v>1339</v>
      </c>
      <c r="FR93" s="81">
        <v>1450</v>
      </c>
      <c r="FS93" s="81">
        <v>1376</v>
      </c>
      <c r="FT93" s="81">
        <v>1568</v>
      </c>
      <c r="FU93" s="81">
        <v>1570</v>
      </c>
      <c r="FV93" s="81">
        <v>1177</v>
      </c>
      <c r="FW93" s="81">
        <v>1209</v>
      </c>
      <c r="FX93" s="81">
        <v>1148</v>
      </c>
      <c r="FY93" s="81">
        <v>1004</v>
      </c>
      <c r="FZ93" s="81">
        <v>911</v>
      </c>
      <c r="GA93" s="81">
        <v>910</v>
      </c>
      <c r="GB93" s="81">
        <v>798</v>
      </c>
      <c r="GC93" s="81">
        <v>782</v>
      </c>
      <c r="GD93" s="81">
        <v>781</v>
      </c>
      <c r="GE93" s="81">
        <v>735</v>
      </c>
      <c r="GF93" s="81">
        <v>658</v>
      </c>
      <c r="GG93" s="81">
        <v>581</v>
      </c>
      <c r="GH93" s="81">
        <v>560</v>
      </c>
      <c r="GI93" s="81">
        <v>459</v>
      </c>
      <c r="GJ93" s="81">
        <v>443</v>
      </c>
      <c r="GK93" s="81">
        <v>360</v>
      </c>
      <c r="GL93" s="82">
        <v>1449</v>
      </c>
    </row>
    <row r="94" spans="1:194" s="1" customFormat="1" hidden="1" x14ac:dyDescent="0.2">
      <c r="A94" s="83" t="s">
        <v>220</v>
      </c>
      <c r="B94" s="262" t="s">
        <v>304</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0">
        <v>1083</v>
      </c>
      <c r="N94" s="80">
        <v>1171</v>
      </c>
      <c r="O94" s="80">
        <v>1139</v>
      </c>
      <c r="P94" s="80">
        <v>1164</v>
      </c>
      <c r="Q94" s="80">
        <v>1217</v>
      </c>
      <c r="R94" s="80">
        <v>1206</v>
      </c>
      <c r="S94" s="80">
        <v>1292</v>
      </c>
      <c r="T94" s="80">
        <v>1227</v>
      </c>
      <c r="U94" s="80">
        <v>1152</v>
      </c>
      <c r="V94" s="80">
        <v>1272</v>
      </c>
      <c r="W94" s="80">
        <v>1289</v>
      </c>
      <c r="X94" s="80">
        <v>1319</v>
      </c>
      <c r="Y94" s="80">
        <v>1282</v>
      </c>
      <c r="Z94" s="80">
        <v>1202</v>
      </c>
      <c r="AA94" s="80">
        <v>1298</v>
      </c>
      <c r="AB94" s="80">
        <v>1210</v>
      </c>
      <c r="AC94" s="80">
        <v>1110</v>
      </c>
      <c r="AD94" s="80">
        <v>1113</v>
      </c>
      <c r="AE94" s="80">
        <v>1058</v>
      </c>
      <c r="AF94" s="80">
        <v>916</v>
      </c>
      <c r="AG94" s="80">
        <v>833</v>
      </c>
      <c r="AH94" s="80">
        <v>913</v>
      </c>
      <c r="AI94" s="80">
        <v>1067</v>
      </c>
      <c r="AJ94" s="80">
        <v>1135</v>
      </c>
      <c r="AK94" s="80">
        <v>1113</v>
      </c>
      <c r="AL94" s="80">
        <v>1061</v>
      </c>
      <c r="AM94" s="80">
        <v>1197</v>
      </c>
      <c r="AN94" s="80">
        <v>1214</v>
      </c>
      <c r="AO94" s="80">
        <v>1187</v>
      </c>
      <c r="AP94" s="80">
        <v>1212</v>
      </c>
      <c r="AQ94" s="80">
        <v>1129</v>
      </c>
      <c r="AR94" s="80">
        <v>1221</v>
      </c>
      <c r="AS94" s="80">
        <v>1280</v>
      </c>
      <c r="AT94" s="80">
        <v>1348</v>
      </c>
      <c r="AU94" s="80">
        <v>1343</v>
      </c>
      <c r="AV94" s="80">
        <v>1312</v>
      </c>
      <c r="AW94" s="80">
        <v>1302</v>
      </c>
      <c r="AX94" s="80">
        <v>1326</v>
      </c>
      <c r="AY94" s="80">
        <v>1331</v>
      </c>
      <c r="AZ94" s="80">
        <v>1472</v>
      </c>
      <c r="BA94" s="80">
        <v>1458</v>
      </c>
      <c r="BB94" s="80">
        <v>1515</v>
      </c>
      <c r="BC94" s="80">
        <v>1263</v>
      </c>
      <c r="BD94" s="80">
        <v>1201</v>
      </c>
      <c r="BE94" s="80">
        <v>1257</v>
      </c>
      <c r="BF94" s="80">
        <v>1251</v>
      </c>
      <c r="BG94" s="80">
        <v>1220</v>
      </c>
      <c r="BH94" s="80">
        <v>1328</v>
      </c>
      <c r="BI94" s="80">
        <v>1509</v>
      </c>
      <c r="BJ94" s="80">
        <v>1449</v>
      </c>
      <c r="BK94" s="80">
        <v>1428</v>
      </c>
      <c r="BL94" s="80">
        <v>1348</v>
      </c>
      <c r="BM94" s="80">
        <v>1401</v>
      </c>
      <c r="BN94" s="80">
        <v>1413</v>
      </c>
      <c r="BO94" s="80">
        <v>1482</v>
      </c>
      <c r="BP94" s="80">
        <v>1554</v>
      </c>
      <c r="BQ94" s="80">
        <v>1539</v>
      </c>
      <c r="BR94" s="80">
        <v>1571</v>
      </c>
      <c r="BS94" s="80">
        <v>1392</v>
      </c>
      <c r="BT94" s="80">
        <v>1372</v>
      </c>
      <c r="BU94" s="80">
        <v>1290</v>
      </c>
      <c r="BV94" s="80">
        <v>1328</v>
      </c>
      <c r="BW94" s="80">
        <v>1358</v>
      </c>
      <c r="BX94" s="80">
        <v>1240</v>
      </c>
      <c r="BY94" s="80">
        <v>1199</v>
      </c>
      <c r="BZ94" s="80">
        <v>1173</v>
      </c>
      <c r="CA94" s="80">
        <v>1229</v>
      </c>
      <c r="CB94" s="80">
        <v>1173</v>
      </c>
      <c r="CC94" s="80">
        <v>1138</v>
      </c>
      <c r="CD94" s="80">
        <v>1068</v>
      </c>
      <c r="CE94" s="80">
        <v>1053</v>
      </c>
      <c r="CF94" s="80">
        <v>1083</v>
      </c>
      <c r="CG94" s="80">
        <v>1189</v>
      </c>
      <c r="CH94" s="80">
        <v>1237</v>
      </c>
      <c r="CI94" s="80">
        <v>932</v>
      </c>
      <c r="CJ94" s="80">
        <v>832</v>
      </c>
      <c r="CK94" s="80">
        <v>826</v>
      </c>
      <c r="CL94" s="80">
        <v>705</v>
      </c>
      <c r="CM94" s="80">
        <v>607</v>
      </c>
      <c r="CN94" s="80">
        <v>496</v>
      </c>
      <c r="CO94" s="80">
        <v>554</v>
      </c>
      <c r="CP94" s="80">
        <v>524</v>
      </c>
      <c r="CQ94" s="80">
        <v>499</v>
      </c>
      <c r="CR94" s="80">
        <v>406</v>
      </c>
      <c r="CS94" s="80">
        <v>381</v>
      </c>
      <c r="CT94" s="80">
        <v>379</v>
      </c>
      <c r="CU94" s="80">
        <v>315</v>
      </c>
      <c r="CV94" s="80">
        <v>264</v>
      </c>
      <c r="CW94" s="80">
        <v>230</v>
      </c>
      <c r="CX94" s="80">
        <v>176</v>
      </c>
      <c r="CY94" s="80">
        <v>538</v>
      </c>
      <c r="CZ94" s="81">
        <v>950</v>
      </c>
      <c r="DA94" s="81">
        <v>1106</v>
      </c>
      <c r="DB94" s="81">
        <v>1138</v>
      </c>
      <c r="DC94" s="81">
        <v>1117</v>
      </c>
      <c r="DD94" s="81">
        <v>1171</v>
      </c>
      <c r="DE94" s="81">
        <v>1085</v>
      </c>
      <c r="DF94" s="81">
        <v>1151</v>
      </c>
      <c r="DG94" s="81">
        <v>1159</v>
      </c>
      <c r="DH94" s="81">
        <v>1191</v>
      </c>
      <c r="DI94" s="81">
        <v>1193</v>
      </c>
      <c r="DJ94" s="81">
        <v>1188</v>
      </c>
      <c r="DK94" s="81">
        <v>1118</v>
      </c>
      <c r="DL94" s="81">
        <v>1200</v>
      </c>
      <c r="DM94" s="81">
        <v>1084</v>
      </c>
      <c r="DN94" s="81">
        <v>1182</v>
      </c>
      <c r="DO94" s="81">
        <v>1103</v>
      </c>
      <c r="DP94" s="81">
        <v>1089</v>
      </c>
      <c r="DQ94" s="81">
        <v>1046</v>
      </c>
      <c r="DR94" s="81">
        <v>1018</v>
      </c>
      <c r="DS94" s="81">
        <v>808</v>
      </c>
      <c r="DT94" s="81">
        <v>791</v>
      </c>
      <c r="DU94" s="81">
        <v>785</v>
      </c>
      <c r="DV94" s="81">
        <v>1021</v>
      </c>
      <c r="DW94" s="81">
        <v>1115</v>
      </c>
      <c r="DX94" s="81">
        <v>1157</v>
      </c>
      <c r="DY94" s="81">
        <v>1051</v>
      </c>
      <c r="DZ94" s="81">
        <v>1106</v>
      </c>
      <c r="EA94" s="81">
        <v>1182</v>
      </c>
      <c r="EB94" s="81">
        <v>1340</v>
      </c>
      <c r="EC94" s="81">
        <v>1361</v>
      </c>
      <c r="ED94" s="81">
        <v>1253</v>
      </c>
      <c r="EE94" s="81">
        <v>1419</v>
      </c>
      <c r="EF94" s="81">
        <v>1434</v>
      </c>
      <c r="EG94" s="81">
        <v>1535</v>
      </c>
      <c r="EH94" s="81">
        <v>1454</v>
      </c>
      <c r="EI94" s="81">
        <v>1550</v>
      </c>
      <c r="EJ94" s="81">
        <v>1462</v>
      </c>
      <c r="EK94" s="81">
        <v>1434</v>
      </c>
      <c r="EL94" s="81">
        <v>1439</v>
      </c>
      <c r="EM94" s="81">
        <v>1578</v>
      </c>
      <c r="EN94" s="81">
        <v>1543</v>
      </c>
      <c r="EO94" s="81">
        <v>1449</v>
      </c>
      <c r="EP94" s="81">
        <v>1188</v>
      </c>
      <c r="EQ94" s="81">
        <v>1279</v>
      </c>
      <c r="ER94" s="81">
        <v>1323</v>
      </c>
      <c r="ES94" s="81">
        <v>1325</v>
      </c>
      <c r="ET94" s="81">
        <v>1414</v>
      </c>
      <c r="EU94" s="81">
        <v>1424</v>
      </c>
      <c r="EV94" s="81">
        <v>1552</v>
      </c>
      <c r="EW94" s="81">
        <v>1525</v>
      </c>
      <c r="EX94" s="81">
        <v>1519</v>
      </c>
      <c r="EY94" s="81">
        <v>1561</v>
      </c>
      <c r="EZ94" s="81">
        <v>1504</v>
      </c>
      <c r="FA94" s="81">
        <v>1548</v>
      </c>
      <c r="FB94" s="81">
        <v>1525</v>
      </c>
      <c r="FC94" s="81">
        <v>1636</v>
      </c>
      <c r="FD94" s="81">
        <v>1606</v>
      </c>
      <c r="FE94" s="81">
        <v>1603</v>
      </c>
      <c r="FF94" s="81">
        <v>1571</v>
      </c>
      <c r="FG94" s="81">
        <v>1469</v>
      </c>
      <c r="FH94" s="81">
        <v>1451</v>
      </c>
      <c r="FI94" s="81">
        <v>1413</v>
      </c>
      <c r="FJ94" s="81">
        <v>1453</v>
      </c>
      <c r="FK94" s="81">
        <v>1368</v>
      </c>
      <c r="FL94" s="81">
        <v>1327</v>
      </c>
      <c r="FM94" s="81">
        <v>1293</v>
      </c>
      <c r="FN94" s="81">
        <v>1290</v>
      </c>
      <c r="FO94" s="81">
        <v>1290</v>
      </c>
      <c r="FP94" s="81">
        <v>1151</v>
      </c>
      <c r="FQ94" s="81">
        <v>1224</v>
      </c>
      <c r="FR94" s="81">
        <v>1237</v>
      </c>
      <c r="FS94" s="81">
        <v>1217</v>
      </c>
      <c r="FT94" s="81">
        <v>1328</v>
      </c>
      <c r="FU94" s="81">
        <v>1391</v>
      </c>
      <c r="FV94" s="81">
        <v>1063</v>
      </c>
      <c r="FW94" s="81">
        <v>966</v>
      </c>
      <c r="FX94" s="81">
        <v>981</v>
      </c>
      <c r="FY94" s="81">
        <v>833</v>
      </c>
      <c r="FZ94" s="81">
        <v>731</v>
      </c>
      <c r="GA94" s="81">
        <v>665</v>
      </c>
      <c r="GB94" s="81">
        <v>768</v>
      </c>
      <c r="GC94" s="81">
        <v>692</v>
      </c>
      <c r="GD94" s="81">
        <v>723</v>
      </c>
      <c r="GE94" s="81">
        <v>644</v>
      </c>
      <c r="GF94" s="81">
        <v>587</v>
      </c>
      <c r="GG94" s="81">
        <v>527</v>
      </c>
      <c r="GH94" s="81">
        <v>472</v>
      </c>
      <c r="GI94" s="81">
        <v>444</v>
      </c>
      <c r="GJ94" s="81">
        <v>392</v>
      </c>
      <c r="GK94" s="81">
        <v>335</v>
      </c>
      <c r="GL94" s="82">
        <v>1398</v>
      </c>
    </row>
    <row r="95" spans="1:194" s="1" customFormat="1" hidden="1" x14ac:dyDescent="0.2">
      <c r="A95" s="83" t="s">
        <v>220</v>
      </c>
      <c r="B95" s="262" t="s">
        <v>305</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0">
        <v>13413</v>
      </c>
      <c r="N95" s="80">
        <v>14002</v>
      </c>
      <c r="O95" s="80">
        <v>14286</v>
      </c>
      <c r="P95" s="80">
        <v>14512</v>
      </c>
      <c r="Q95" s="80">
        <v>14876</v>
      </c>
      <c r="R95" s="80">
        <v>14398</v>
      </c>
      <c r="S95" s="80">
        <v>14735</v>
      </c>
      <c r="T95" s="80">
        <v>14829</v>
      </c>
      <c r="U95" s="80">
        <v>15259</v>
      </c>
      <c r="V95" s="80">
        <v>14151</v>
      </c>
      <c r="W95" s="80">
        <v>13609</v>
      </c>
      <c r="X95" s="80">
        <v>13185</v>
      </c>
      <c r="Y95" s="80">
        <v>13195</v>
      </c>
      <c r="Z95" s="80">
        <v>12809</v>
      </c>
      <c r="AA95" s="80">
        <v>12502</v>
      </c>
      <c r="AB95" s="80">
        <v>11904</v>
      </c>
      <c r="AC95" s="80">
        <v>11769</v>
      </c>
      <c r="AD95" s="80">
        <v>11676</v>
      </c>
      <c r="AE95" s="80">
        <v>11602</v>
      </c>
      <c r="AF95" s="80">
        <v>11368</v>
      </c>
      <c r="AG95" s="80">
        <v>11685</v>
      </c>
      <c r="AH95" s="80">
        <v>12934</v>
      </c>
      <c r="AI95" s="80">
        <v>13918</v>
      </c>
      <c r="AJ95" s="80">
        <v>15234</v>
      </c>
      <c r="AK95" s="80">
        <v>15995</v>
      </c>
      <c r="AL95" s="80">
        <v>16346</v>
      </c>
      <c r="AM95" s="80">
        <v>17465</v>
      </c>
      <c r="AN95" s="80">
        <v>17058</v>
      </c>
      <c r="AO95" s="80">
        <v>17267</v>
      </c>
      <c r="AP95" s="80">
        <v>18071</v>
      </c>
      <c r="AQ95" s="80">
        <v>18099</v>
      </c>
      <c r="AR95" s="80">
        <v>18267</v>
      </c>
      <c r="AS95" s="80">
        <v>18349</v>
      </c>
      <c r="AT95" s="80">
        <v>18260</v>
      </c>
      <c r="AU95" s="80">
        <v>19317</v>
      </c>
      <c r="AV95" s="80">
        <v>18752</v>
      </c>
      <c r="AW95" s="80">
        <v>18197</v>
      </c>
      <c r="AX95" s="80">
        <v>18035</v>
      </c>
      <c r="AY95" s="80">
        <v>18136</v>
      </c>
      <c r="AZ95" s="80">
        <v>18215</v>
      </c>
      <c r="BA95" s="80">
        <v>18090</v>
      </c>
      <c r="BB95" s="80">
        <v>17599</v>
      </c>
      <c r="BC95" s="80">
        <v>16284</v>
      </c>
      <c r="BD95" s="80">
        <v>16172</v>
      </c>
      <c r="BE95" s="80">
        <v>15486</v>
      </c>
      <c r="BF95" s="80">
        <v>14999</v>
      </c>
      <c r="BG95" s="80">
        <v>14749</v>
      </c>
      <c r="BH95" s="80">
        <v>14772</v>
      </c>
      <c r="BI95" s="80">
        <v>14687</v>
      </c>
      <c r="BJ95" s="80">
        <v>14015</v>
      </c>
      <c r="BK95" s="80">
        <v>13986</v>
      </c>
      <c r="BL95" s="80">
        <v>13604</v>
      </c>
      <c r="BM95" s="80">
        <v>13672</v>
      </c>
      <c r="BN95" s="80">
        <v>13454</v>
      </c>
      <c r="BO95" s="80">
        <v>13051</v>
      </c>
      <c r="BP95" s="80">
        <v>13096</v>
      </c>
      <c r="BQ95" s="80">
        <v>12741</v>
      </c>
      <c r="BR95" s="80">
        <v>12214</v>
      </c>
      <c r="BS95" s="80">
        <v>11736</v>
      </c>
      <c r="BT95" s="80">
        <v>11183</v>
      </c>
      <c r="BU95" s="80">
        <v>10923</v>
      </c>
      <c r="BV95" s="80">
        <v>10272</v>
      </c>
      <c r="BW95" s="80">
        <v>9843</v>
      </c>
      <c r="BX95" s="80">
        <v>9445</v>
      </c>
      <c r="BY95" s="80">
        <v>9426</v>
      </c>
      <c r="BZ95" s="80">
        <v>8831</v>
      </c>
      <c r="CA95" s="80">
        <v>8165</v>
      </c>
      <c r="CB95" s="80">
        <v>7947</v>
      </c>
      <c r="CC95" s="80">
        <v>7614</v>
      </c>
      <c r="CD95" s="80">
        <v>7230</v>
      </c>
      <c r="CE95" s="80">
        <v>7292</v>
      </c>
      <c r="CF95" s="80">
        <v>6917</v>
      </c>
      <c r="CG95" s="80">
        <v>6801</v>
      </c>
      <c r="CH95" s="80">
        <v>6973</v>
      </c>
      <c r="CI95" s="80">
        <v>5711</v>
      </c>
      <c r="CJ95" s="80">
        <v>5255</v>
      </c>
      <c r="CK95" s="80">
        <v>5139</v>
      </c>
      <c r="CL95" s="80">
        <v>4635</v>
      </c>
      <c r="CM95" s="80">
        <v>4245</v>
      </c>
      <c r="CN95" s="80">
        <v>3739</v>
      </c>
      <c r="CO95" s="80">
        <v>4122</v>
      </c>
      <c r="CP95" s="80">
        <v>3894</v>
      </c>
      <c r="CQ95" s="80">
        <v>3591</v>
      </c>
      <c r="CR95" s="80">
        <v>3194</v>
      </c>
      <c r="CS95" s="80">
        <v>2963</v>
      </c>
      <c r="CT95" s="80">
        <v>2692</v>
      </c>
      <c r="CU95" s="80">
        <v>2346</v>
      </c>
      <c r="CV95" s="80">
        <v>2041</v>
      </c>
      <c r="CW95" s="80">
        <v>1804</v>
      </c>
      <c r="CX95" s="80">
        <v>1441</v>
      </c>
      <c r="CY95" s="80">
        <v>5598</v>
      </c>
      <c r="CZ95" s="81">
        <v>13124</v>
      </c>
      <c r="DA95" s="81">
        <v>13370</v>
      </c>
      <c r="DB95" s="81">
        <v>13524</v>
      </c>
      <c r="DC95" s="81">
        <v>13791</v>
      </c>
      <c r="DD95" s="81">
        <v>14099</v>
      </c>
      <c r="DE95" s="81">
        <v>13858</v>
      </c>
      <c r="DF95" s="81">
        <v>13771</v>
      </c>
      <c r="DG95" s="81">
        <v>14147</v>
      </c>
      <c r="DH95" s="81">
        <v>14428</v>
      </c>
      <c r="DI95" s="81">
        <v>13256</v>
      </c>
      <c r="DJ95" s="81">
        <v>12948</v>
      </c>
      <c r="DK95" s="81">
        <v>12615</v>
      </c>
      <c r="DL95" s="81">
        <v>12561</v>
      </c>
      <c r="DM95" s="81">
        <v>11912</v>
      </c>
      <c r="DN95" s="81">
        <v>11721</v>
      </c>
      <c r="DO95" s="81">
        <v>11212</v>
      </c>
      <c r="DP95" s="81">
        <v>10918</v>
      </c>
      <c r="DQ95" s="81">
        <v>11029</v>
      </c>
      <c r="DR95" s="81">
        <v>10275</v>
      </c>
      <c r="DS95" s="81">
        <v>9853</v>
      </c>
      <c r="DT95" s="81">
        <v>10107</v>
      </c>
      <c r="DU95" s="81">
        <v>10363</v>
      </c>
      <c r="DV95" s="81">
        <v>12444</v>
      </c>
      <c r="DW95" s="81">
        <v>13966</v>
      </c>
      <c r="DX95" s="81">
        <v>15098</v>
      </c>
      <c r="DY95" s="81">
        <v>15378</v>
      </c>
      <c r="DZ95" s="81">
        <v>15474</v>
      </c>
      <c r="EA95" s="81">
        <v>15509</v>
      </c>
      <c r="EB95" s="81">
        <v>14757</v>
      </c>
      <c r="EC95" s="81">
        <v>14982</v>
      </c>
      <c r="ED95" s="81">
        <v>15282</v>
      </c>
      <c r="EE95" s="81">
        <v>15983</v>
      </c>
      <c r="EF95" s="81">
        <v>16034</v>
      </c>
      <c r="EG95" s="81">
        <v>16133</v>
      </c>
      <c r="EH95" s="81">
        <v>16996</v>
      </c>
      <c r="EI95" s="81">
        <v>16432</v>
      </c>
      <c r="EJ95" s="81">
        <v>15993</v>
      </c>
      <c r="EK95" s="81">
        <v>16376</v>
      </c>
      <c r="EL95" s="81">
        <v>16614</v>
      </c>
      <c r="EM95" s="81">
        <v>16555</v>
      </c>
      <c r="EN95" s="81">
        <v>16342</v>
      </c>
      <c r="EO95" s="81">
        <v>15793</v>
      </c>
      <c r="EP95" s="81">
        <v>14780</v>
      </c>
      <c r="EQ95" s="81">
        <v>14475</v>
      </c>
      <c r="ER95" s="81">
        <v>14438</v>
      </c>
      <c r="ES95" s="81">
        <v>14571</v>
      </c>
      <c r="ET95" s="81">
        <v>14480</v>
      </c>
      <c r="EU95" s="81">
        <v>14102</v>
      </c>
      <c r="EV95" s="81">
        <v>13906</v>
      </c>
      <c r="EW95" s="81">
        <v>13699</v>
      </c>
      <c r="EX95" s="81">
        <v>13842</v>
      </c>
      <c r="EY95" s="81">
        <v>13709</v>
      </c>
      <c r="EZ95" s="81">
        <v>13700</v>
      </c>
      <c r="FA95" s="81">
        <v>13525</v>
      </c>
      <c r="FB95" s="81">
        <v>13503</v>
      </c>
      <c r="FC95" s="81">
        <v>13347</v>
      </c>
      <c r="FD95" s="81">
        <v>13047</v>
      </c>
      <c r="FE95" s="81">
        <v>12605</v>
      </c>
      <c r="FF95" s="81">
        <v>12200</v>
      </c>
      <c r="FG95" s="81">
        <v>11660</v>
      </c>
      <c r="FH95" s="81">
        <v>11513</v>
      </c>
      <c r="FI95" s="81">
        <v>11095</v>
      </c>
      <c r="FJ95" s="81">
        <v>10690</v>
      </c>
      <c r="FK95" s="81">
        <v>10027</v>
      </c>
      <c r="FL95" s="81">
        <v>9700</v>
      </c>
      <c r="FM95" s="81">
        <v>9516</v>
      </c>
      <c r="FN95" s="81">
        <v>9022</v>
      </c>
      <c r="FO95" s="81">
        <v>8865</v>
      </c>
      <c r="FP95" s="81">
        <v>8337</v>
      </c>
      <c r="FQ95" s="81">
        <v>8028</v>
      </c>
      <c r="FR95" s="81">
        <v>8148</v>
      </c>
      <c r="FS95" s="81">
        <v>7873</v>
      </c>
      <c r="FT95" s="81">
        <v>7853</v>
      </c>
      <c r="FU95" s="81">
        <v>7782</v>
      </c>
      <c r="FV95" s="81">
        <v>6818</v>
      </c>
      <c r="FW95" s="81">
        <v>6280</v>
      </c>
      <c r="FX95" s="81">
        <v>6064</v>
      </c>
      <c r="FY95" s="81">
        <v>5642</v>
      </c>
      <c r="FZ95" s="81">
        <v>5199</v>
      </c>
      <c r="GA95" s="81">
        <v>4618</v>
      </c>
      <c r="GB95" s="81">
        <v>4656</v>
      </c>
      <c r="GC95" s="81">
        <v>4608</v>
      </c>
      <c r="GD95" s="81">
        <v>4418</v>
      </c>
      <c r="GE95" s="81">
        <v>4135</v>
      </c>
      <c r="GF95" s="81">
        <v>3786</v>
      </c>
      <c r="GG95" s="81">
        <v>3513</v>
      </c>
      <c r="GH95" s="81">
        <v>3037</v>
      </c>
      <c r="GI95" s="81">
        <v>2744</v>
      </c>
      <c r="GJ95" s="81">
        <v>2349</v>
      </c>
      <c r="GK95" s="81">
        <v>2217</v>
      </c>
      <c r="GL95" s="82">
        <v>8965</v>
      </c>
    </row>
    <row r="96" spans="1:194" s="1" customFormat="1" hidden="1" x14ac:dyDescent="0.2">
      <c r="A96" s="83" t="s">
        <v>220</v>
      </c>
      <c r="B96" s="262" t="s">
        <v>306</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0">
        <v>1698</v>
      </c>
      <c r="N96" s="80">
        <v>1912</v>
      </c>
      <c r="O96" s="80">
        <v>1951</v>
      </c>
      <c r="P96" s="80">
        <v>2172</v>
      </c>
      <c r="Q96" s="80">
        <v>2288</v>
      </c>
      <c r="R96" s="80">
        <v>2266</v>
      </c>
      <c r="S96" s="80">
        <v>2310</v>
      </c>
      <c r="T96" s="80">
        <v>2294</v>
      </c>
      <c r="U96" s="80">
        <v>2335</v>
      </c>
      <c r="V96" s="80">
        <v>2521</v>
      </c>
      <c r="W96" s="80">
        <v>2610</v>
      </c>
      <c r="X96" s="80">
        <v>2438</v>
      </c>
      <c r="Y96" s="80">
        <v>2462</v>
      </c>
      <c r="Z96" s="80">
        <v>2483</v>
      </c>
      <c r="AA96" s="80">
        <v>2384</v>
      </c>
      <c r="AB96" s="80">
        <v>2372</v>
      </c>
      <c r="AC96" s="80">
        <v>2474</v>
      </c>
      <c r="AD96" s="80">
        <v>3035</v>
      </c>
      <c r="AE96" s="80">
        <v>2399</v>
      </c>
      <c r="AF96" s="80">
        <v>2007</v>
      </c>
      <c r="AG96" s="80">
        <v>1783</v>
      </c>
      <c r="AH96" s="80">
        <v>1769</v>
      </c>
      <c r="AI96" s="80">
        <v>1827</v>
      </c>
      <c r="AJ96" s="80">
        <v>2193</v>
      </c>
      <c r="AK96" s="80">
        <v>2057</v>
      </c>
      <c r="AL96" s="80">
        <v>1999</v>
      </c>
      <c r="AM96" s="80">
        <v>1821</v>
      </c>
      <c r="AN96" s="80">
        <v>2225</v>
      </c>
      <c r="AO96" s="80">
        <v>2456</v>
      </c>
      <c r="AP96" s="80">
        <v>2638</v>
      </c>
      <c r="AQ96" s="80">
        <v>2591</v>
      </c>
      <c r="AR96" s="80">
        <v>2393</v>
      </c>
      <c r="AS96" s="80">
        <v>2524</v>
      </c>
      <c r="AT96" s="80">
        <v>2282</v>
      </c>
      <c r="AU96" s="80">
        <v>2434</v>
      </c>
      <c r="AV96" s="80">
        <v>2198</v>
      </c>
      <c r="AW96" s="80">
        <v>2193</v>
      </c>
      <c r="AX96" s="80">
        <v>2187</v>
      </c>
      <c r="AY96" s="80">
        <v>2369</v>
      </c>
      <c r="AZ96" s="80">
        <v>2406</v>
      </c>
      <c r="BA96" s="80">
        <v>2328</v>
      </c>
      <c r="BB96" s="80">
        <v>2208</v>
      </c>
      <c r="BC96" s="80">
        <v>2133</v>
      </c>
      <c r="BD96" s="80">
        <v>2060</v>
      </c>
      <c r="BE96" s="80">
        <v>2228</v>
      </c>
      <c r="BF96" s="80">
        <v>2332</v>
      </c>
      <c r="BG96" s="80">
        <v>2459</v>
      </c>
      <c r="BH96" s="80">
        <v>2649</v>
      </c>
      <c r="BI96" s="80">
        <v>2875</v>
      </c>
      <c r="BJ96" s="80">
        <v>3013</v>
      </c>
      <c r="BK96" s="80">
        <v>2954</v>
      </c>
      <c r="BL96" s="80">
        <v>3047</v>
      </c>
      <c r="BM96" s="80">
        <v>3155</v>
      </c>
      <c r="BN96" s="80">
        <v>3350</v>
      </c>
      <c r="BO96" s="80">
        <v>3207</v>
      </c>
      <c r="BP96" s="80">
        <v>3422</v>
      </c>
      <c r="BQ96" s="80">
        <v>3468</v>
      </c>
      <c r="BR96" s="80">
        <v>3454</v>
      </c>
      <c r="BS96" s="80">
        <v>3383</v>
      </c>
      <c r="BT96" s="80">
        <v>3297</v>
      </c>
      <c r="BU96" s="80">
        <v>3199</v>
      </c>
      <c r="BV96" s="80">
        <v>3054</v>
      </c>
      <c r="BW96" s="80">
        <v>2932</v>
      </c>
      <c r="BX96" s="80">
        <v>2982</v>
      </c>
      <c r="BY96" s="80">
        <v>2847</v>
      </c>
      <c r="BZ96" s="80">
        <v>2773</v>
      </c>
      <c r="CA96" s="80">
        <v>2817</v>
      </c>
      <c r="CB96" s="80">
        <v>2752</v>
      </c>
      <c r="CC96" s="80">
        <v>2653</v>
      </c>
      <c r="CD96" s="80">
        <v>2594</v>
      </c>
      <c r="CE96" s="80">
        <v>2646</v>
      </c>
      <c r="CF96" s="80">
        <v>2841</v>
      </c>
      <c r="CG96" s="80">
        <v>3023</v>
      </c>
      <c r="CH96" s="80">
        <v>3279</v>
      </c>
      <c r="CI96" s="80">
        <v>2409</v>
      </c>
      <c r="CJ96" s="80">
        <v>2343</v>
      </c>
      <c r="CK96" s="80">
        <v>2324</v>
      </c>
      <c r="CL96" s="80">
        <v>2035</v>
      </c>
      <c r="CM96" s="80">
        <v>1615</v>
      </c>
      <c r="CN96" s="80">
        <v>1432</v>
      </c>
      <c r="CO96" s="80">
        <v>1551</v>
      </c>
      <c r="CP96" s="80">
        <v>1480</v>
      </c>
      <c r="CQ96" s="80">
        <v>1415</v>
      </c>
      <c r="CR96" s="80">
        <v>1112</v>
      </c>
      <c r="CS96" s="80">
        <v>1148</v>
      </c>
      <c r="CT96" s="80">
        <v>978</v>
      </c>
      <c r="CU96" s="80">
        <v>845</v>
      </c>
      <c r="CV96" s="80">
        <v>718</v>
      </c>
      <c r="CW96" s="80">
        <v>639</v>
      </c>
      <c r="CX96" s="80">
        <v>539</v>
      </c>
      <c r="CY96" s="80">
        <v>1670</v>
      </c>
      <c r="CZ96" s="81">
        <v>1690</v>
      </c>
      <c r="DA96" s="81">
        <v>1770</v>
      </c>
      <c r="DB96" s="81">
        <v>1938</v>
      </c>
      <c r="DC96" s="81">
        <v>2008</v>
      </c>
      <c r="DD96" s="81">
        <v>2049</v>
      </c>
      <c r="DE96" s="81">
        <v>2188</v>
      </c>
      <c r="DF96" s="81">
        <v>2133</v>
      </c>
      <c r="DG96" s="81">
        <v>2276</v>
      </c>
      <c r="DH96" s="81">
        <v>2408</v>
      </c>
      <c r="DI96" s="81">
        <v>2315</v>
      </c>
      <c r="DJ96" s="81">
        <v>2365</v>
      </c>
      <c r="DK96" s="81">
        <v>2359</v>
      </c>
      <c r="DL96" s="81">
        <v>2394</v>
      </c>
      <c r="DM96" s="81">
        <v>2365</v>
      </c>
      <c r="DN96" s="81">
        <v>2288</v>
      </c>
      <c r="DO96" s="81">
        <v>2282</v>
      </c>
      <c r="DP96" s="81">
        <v>2228</v>
      </c>
      <c r="DQ96" s="81">
        <v>2309</v>
      </c>
      <c r="DR96" s="81">
        <v>2045</v>
      </c>
      <c r="DS96" s="81">
        <v>1252</v>
      </c>
      <c r="DT96" s="81">
        <v>1199</v>
      </c>
      <c r="DU96" s="81">
        <v>1323</v>
      </c>
      <c r="DV96" s="81">
        <v>1595</v>
      </c>
      <c r="DW96" s="81">
        <v>1841</v>
      </c>
      <c r="DX96" s="81">
        <v>1938</v>
      </c>
      <c r="DY96" s="81">
        <v>1903</v>
      </c>
      <c r="DZ96" s="81">
        <v>1850</v>
      </c>
      <c r="EA96" s="81">
        <v>2075</v>
      </c>
      <c r="EB96" s="81">
        <v>1957</v>
      </c>
      <c r="EC96" s="81">
        <v>2072</v>
      </c>
      <c r="ED96" s="81">
        <v>2189</v>
      </c>
      <c r="EE96" s="81">
        <v>2057</v>
      </c>
      <c r="EF96" s="81">
        <v>2274</v>
      </c>
      <c r="EG96" s="81">
        <v>2188</v>
      </c>
      <c r="EH96" s="81">
        <v>2242</v>
      </c>
      <c r="EI96" s="81">
        <v>2294</v>
      </c>
      <c r="EJ96" s="81">
        <v>2236</v>
      </c>
      <c r="EK96" s="81">
        <v>2238</v>
      </c>
      <c r="EL96" s="81">
        <v>2258</v>
      </c>
      <c r="EM96" s="81">
        <v>2393</v>
      </c>
      <c r="EN96" s="81">
        <v>2259</v>
      </c>
      <c r="EO96" s="81">
        <v>2416</v>
      </c>
      <c r="EP96" s="81">
        <v>2144</v>
      </c>
      <c r="EQ96" s="81">
        <v>2241</v>
      </c>
      <c r="ER96" s="81">
        <v>2451</v>
      </c>
      <c r="ES96" s="81">
        <v>2429</v>
      </c>
      <c r="ET96" s="81">
        <v>2626</v>
      </c>
      <c r="EU96" s="81">
        <v>2822</v>
      </c>
      <c r="EV96" s="81">
        <v>2983</v>
      </c>
      <c r="EW96" s="81">
        <v>3214</v>
      </c>
      <c r="EX96" s="81">
        <v>3095</v>
      </c>
      <c r="EY96" s="81">
        <v>3328</v>
      </c>
      <c r="EZ96" s="81">
        <v>3354</v>
      </c>
      <c r="FA96" s="81">
        <v>3469</v>
      </c>
      <c r="FB96" s="81">
        <v>3392</v>
      </c>
      <c r="FC96" s="81">
        <v>3692</v>
      </c>
      <c r="FD96" s="81">
        <v>3579</v>
      </c>
      <c r="FE96" s="81">
        <v>3530</v>
      </c>
      <c r="FF96" s="81">
        <v>3408</v>
      </c>
      <c r="FG96" s="81">
        <v>3413</v>
      </c>
      <c r="FH96" s="81">
        <v>3296</v>
      </c>
      <c r="FI96" s="81">
        <v>3272</v>
      </c>
      <c r="FJ96" s="81">
        <v>3198</v>
      </c>
      <c r="FK96" s="81">
        <v>2959</v>
      </c>
      <c r="FL96" s="81">
        <v>3038</v>
      </c>
      <c r="FM96" s="81">
        <v>2856</v>
      </c>
      <c r="FN96" s="81">
        <v>2896</v>
      </c>
      <c r="FO96" s="81">
        <v>2835</v>
      </c>
      <c r="FP96" s="81">
        <v>2817</v>
      </c>
      <c r="FQ96" s="81">
        <v>2998</v>
      </c>
      <c r="FR96" s="81">
        <v>2882</v>
      </c>
      <c r="FS96" s="81">
        <v>2986</v>
      </c>
      <c r="FT96" s="81">
        <v>3108</v>
      </c>
      <c r="FU96" s="81">
        <v>3412</v>
      </c>
      <c r="FV96" s="81">
        <v>2627</v>
      </c>
      <c r="FW96" s="81">
        <v>2684</v>
      </c>
      <c r="FX96" s="81">
        <v>2424</v>
      </c>
      <c r="FY96" s="81">
        <v>2202</v>
      </c>
      <c r="FZ96" s="81">
        <v>2065</v>
      </c>
      <c r="GA96" s="81">
        <v>1902</v>
      </c>
      <c r="GB96" s="81">
        <v>1842</v>
      </c>
      <c r="GC96" s="81">
        <v>1885</v>
      </c>
      <c r="GD96" s="81">
        <v>1719</v>
      </c>
      <c r="GE96" s="81">
        <v>1587</v>
      </c>
      <c r="GF96" s="81">
        <v>1502</v>
      </c>
      <c r="GG96" s="81">
        <v>1377</v>
      </c>
      <c r="GH96" s="81">
        <v>1213</v>
      </c>
      <c r="GI96" s="81">
        <v>1063</v>
      </c>
      <c r="GJ96" s="81">
        <v>895</v>
      </c>
      <c r="GK96" s="81">
        <v>941</v>
      </c>
      <c r="GL96" s="82">
        <v>3674</v>
      </c>
    </row>
    <row r="97" spans="1:194" s="1" customFormat="1" hidden="1" x14ac:dyDescent="0.2">
      <c r="A97" s="83" t="s">
        <v>220</v>
      </c>
      <c r="B97" s="262" t="s">
        <v>307</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0">
        <v>4287</v>
      </c>
      <c r="N97" s="80">
        <v>4404</v>
      </c>
      <c r="O97" s="80">
        <v>4570</v>
      </c>
      <c r="P97" s="80">
        <v>4740</v>
      </c>
      <c r="Q97" s="80">
        <v>4972</v>
      </c>
      <c r="R97" s="80">
        <v>5022</v>
      </c>
      <c r="S97" s="80">
        <v>5053</v>
      </c>
      <c r="T97" s="80">
        <v>5102</v>
      </c>
      <c r="U97" s="80">
        <v>5273</v>
      </c>
      <c r="V97" s="80">
        <v>5204</v>
      </c>
      <c r="W97" s="80">
        <v>5124</v>
      </c>
      <c r="X97" s="80">
        <v>5039</v>
      </c>
      <c r="Y97" s="80">
        <v>5070</v>
      </c>
      <c r="Z97" s="80">
        <v>4786</v>
      </c>
      <c r="AA97" s="80">
        <v>4571</v>
      </c>
      <c r="AB97" s="80">
        <v>4277</v>
      </c>
      <c r="AC97" s="80">
        <v>4393</v>
      </c>
      <c r="AD97" s="80">
        <v>4279</v>
      </c>
      <c r="AE97" s="80">
        <v>3979</v>
      </c>
      <c r="AF97" s="80">
        <v>3547</v>
      </c>
      <c r="AG97" s="80">
        <v>3603</v>
      </c>
      <c r="AH97" s="80">
        <v>3638</v>
      </c>
      <c r="AI97" s="80">
        <v>3738</v>
      </c>
      <c r="AJ97" s="80">
        <v>4216</v>
      </c>
      <c r="AK97" s="80">
        <v>4223</v>
      </c>
      <c r="AL97" s="80">
        <v>4380</v>
      </c>
      <c r="AM97" s="80">
        <v>4183</v>
      </c>
      <c r="AN97" s="80">
        <v>4459</v>
      </c>
      <c r="AO97" s="80">
        <v>4454</v>
      </c>
      <c r="AP97" s="80">
        <v>4639</v>
      </c>
      <c r="AQ97" s="80">
        <v>4492</v>
      </c>
      <c r="AR97" s="80">
        <v>4362</v>
      </c>
      <c r="AS97" s="80">
        <v>4805</v>
      </c>
      <c r="AT97" s="80">
        <v>4486</v>
      </c>
      <c r="AU97" s="80">
        <v>4697</v>
      </c>
      <c r="AV97" s="80">
        <v>4700</v>
      </c>
      <c r="AW97" s="80">
        <v>4634</v>
      </c>
      <c r="AX97" s="80">
        <v>4883</v>
      </c>
      <c r="AY97" s="80">
        <v>4860</v>
      </c>
      <c r="AZ97" s="80">
        <v>4979</v>
      </c>
      <c r="BA97" s="80">
        <v>5087</v>
      </c>
      <c r="BB97" s="80">
        <v>4971</v>
      </c>
      <c r="BC97" s="80">
        <v>4487</v>
      </c>
      <c r="BD97" s="80">
        <v>4469</v>
      </c>
      <c r="BE97" s="80">
        <v>4592</v>
      </c>
      <c r="BF97" s="80">
        <v>4707</v>
      </c>
      <c r="BG97" s="80">
        <v>4983</v>
      </c>
      <c r="BH97" s="80">
        <v>5081</v>
      </c>
      <c r="BI97" s="80">
        <v>5226</v>
      </c>
      <c r="BJ97" s="80">
        <v>5425</v>
      </c>
      <c r="BK97" s="80">
        <v>5175</v>
      </c>
      <c r="BL97" s="80">
        <v>5353</v>
      </c>
      <c r="BM97" s="80">
        <v>5306</v>
      </c>
      <c r="BN97" s="80">
        <v>5447</v>
      </c>
      <c r="BO97" s="80">
        <v>5379</v>
      </c>
      <c r="BP97" s="80">
        <v>5582</v>
      </c>
      <c r="BQ97" s="80">
        <v>5265</v>
      </c>
      <c r="BR97" s="80">
        <v>5108</v>
      </c>
      <c r="BS97" s="80">
        <v>4897</v>
      </c>
      <c r="BT97" s="80">
        <v>4579</v>
      </c>
      <c r="BU97" s="80">
        <v>4431</v>
      </c>
      <c r="BV97" s="80">
        <v>4228</v>
      </c>
      <c r="BW97" s="80">
        <v>4162</v>
      </c>
      <c r="BX97" s="80">
        <v>4033</v>
      </c>
      <c r="BY97" s="80">
        <v>3764</v>
      </c>
      <c r="BZ97" s="80">
        <v>3752</v>
      </c>
      <c r="CA97" s="80">
        <v>3801</v>
      </c>
      <c r="CB97" s="80">
        <v>3563</v>
      </c>
      <c r="CC97" s="80">
        <v>3504</v>
      </c>
      <c r="CD97" s="80">
        <v>3495</v>
      </c>
      <c r="CE97" s="80">
        <v>3533</v>
      </c>
      <c r="CF97" s="80">
        <v>3616</v>
      </c>
      <c r="CG97" s="80">
        <v>3812</v>
      </c>
      <c r="CH97" s="80">
        <v>4042</v>
      </c>
      <c r="CI97" s="80">
        <v>3121</v>
      </c>
      <c r="CJ97" s="80">
        <v>2969</v>
      </c>
      <c r="CK97" s="80">
        <v>2827</v>
      </c>
      <c r="CL97" s="80">
        <v>2356</v>
      </c>
      <c r="CM97" s="80">
        <v>2274</v>
      </c>
      <c r="CN97" s="80">
        <v>1880</v>
      </c>
      <c r="CO97" s="80">
        <v>1736</v>
      </c>
      <c r="CP97" s="80">
        <v>1725</v>
      </c>
      <c r="CQ97" s="80">
        <v>1556</v>
      </c>
      <c r="CR97" s="80">
        <v>1318</v>
      </c>
      <c r="CS97" s="80">
        <v>1302</v>
      </c>
      <c r="CT97" s="80">
        <v>1132</v>
      </c>
      <c r="CU97" s="80">
        <v>890</v>
      </c>
      <c r="CV97" s="80">
        <v>851</v>
      </c>
      <c r="CW97" s="80">
        <v>759</v>
      </c>
      <c r="CX97" s="80">
        <v>595</v>
      </c>
      <c r="CY97" s="80">
        <v>1928</v>
      </c>
      <c r="CZ97" s="81">
        <v>4154</v>
      </c>
      <c r="DA97" s="81">
        <v>4211</v>
      </c>
      <c r="DB97" s="81">
        <v>4524</v>
      </c>
      <c r="DC97" s="81">
        <v>4592</v>
      </c>
      <c r="DD97" s="81">
        <v>4798</v>
      </c>
      <c r="DE97" s="81">
        <v>4699</v>
      </c>
      <c r="DF97" s="81">
        <v>4874</v>
      </c>
      <c r="DG97" s="81">
        <v>4983</v>
      </c>
      <c r="DH97" s="81">
        <v>5021</v>
      </c>
      <c r="DI97" s="81">
        <v>4824</v>
      </c>
      <c r="DJ97" s="81">
        <v>4840</v>
      </c>
      <c r="DK97" s="81">
        <v>4809</v>
      </c>
      <c r="DL97" s="81">
        <v>4861</v>
      </c>
      <c r="DM97" s="81">
        <v>4823</v>
      </c>
      <c r="DN97" s="81">
        <v>4616</v>
      </c>
      <c r="DO97" s="81">
        <v>4318</v>
      </c>
      <c r="DP97" s="81">
        <v>4182</v>
      </c>
      <c r="DQ97" s="81">
        <v>3992</v>
      </c>
      <c r="DR97" s="81">
        <v>3899</v>
      </c>
      <c r="DS97" s="81">
        <v>3407</v>
      </c>
      <c r="DT97" s="81">
        <v>3174</v>
      </c>
      <c r="DU97" s="81">
        <v>3473</v>
      </c>
      <c r="DV97" s="81">
        <v>3661</v>
      </c>
      <c r="DW97" s="81">
        <v>3802</v>
      </c>
      <c r="DX97" s="81">
        <v>3813</v>
      </c>
      <c r="DY97" s="81">
        <v>3663</v>
      </c>
      <c r="DZ97" s="81">
        <v>4101</v>
      </c>
      <c r="EA97" s="81">
        <v>4087</v>
      </c>
      <c r="EB97" s="81">
        <v>4388</v>
      </c>
      <c r="EC97" s="81">
        <v>4428</v>
      </c>
      <c r="ED97" s="81">
        <v>4506</v>
      </c>
      <c r="EE97" s="81">
        <v>4814</v>
      </c>
      <c r="EF97" s="81">
        <v>4999</v>
      </c>
      <c r="EG97" s="81">
        <v>4913</v>
      </c>
      <c r="EH97" s="81">
        <v>5029</v>
      </c>
      <c r="EI97" s="81">
        <v>5218</v>
      </c>
      <c r="EJ97" s="81">
        <v>4984</v>
      </c>
      <c r="EK97" s="81">
        <v>5293</v>
      </c>
      <c r="EL97" s="81">
        <v>5012</v>
      </c>
      <c r="EM97" s="81">
        <v>5063</v>
      </c>
      <c r="EN97" s="81">
        <v>5235</v>
      </c>
      <c r="EO97" s="81">
        <v>4825</v>
      </c>
      <c r="EP97" s="81">
        <v>4488</v>
      </c>
      <c r="EQ97" s="81">
        <v>4367</v>
      </c>
      <c r="ER97" s="81">
        <v>4679</v>
      </c>
      <c r="ES97" s="81">
        <v>4872</v>
      </c>
      <c r="ET97" s="81">
        <v>5030</v>
      </c>
      <c r="EU97" s="81">
        <v>5108</v>
      </c>
      <c r="EV97" s="81">
        <v>5352</v>
      </c>
      <c r="EW97" s="81">
        <v>5563</v>
      </c>
      <c r="EX97" s="81">
        <v>5085</v>
      </c>
      <c r="EY97" s="81">
        <v>5532</v>
      </c>
      <c r="EZ97" s="81">
        <v>5508</v>
      </c>
      <c r="FA97" s="81">
        <v>5469</v>
      </c>
      <c r="FB97" s="81">
        <v>5288</v>
      </c>
      <c r="FC97" s="81">
        <v>5354</v>
      </c>
      <c r="FD97" s="81">
        <v>5333</v>
      </c>
      <c r="FE97" s="81">
        <v>5178</v>
      </c>
      <c r="FF97" s="81">
        <v>5031</v>
      </c>
      <c r="FG97" s="81">
        <v>4784</v>
      </c>
      <c r="FH97" s="81">
        <v>4581</v>
      </c>
      <c r="FI97" s="81">
        <v>4374</v>
      </c>
      <c r="FJ97" s="81">
        <v>4340</v>
      </c>
      <c r="FK97" s="81">
        <v>4039</v>
      </c>
      <c r="FL97" s="81">
        <v>4004</v>
      </c>
      <c r="FM97" s="81">
        <v>3810</v>
      </c>
      <c r="FN97" s="81">
        <v>3845</v>
      </c>
      <c r="FO97" s="81">
        <v>3834</v>
      </c>
      <c r="FP97" s="81">
        <v>3813</v>
      </c>
      <c r="FQ97" s="81">
        <v>3894</v>
      </c>
      <c r="FR97" s="81">
        <v>3937</v>
      </c>
      <c r="FS97" s="81">
        <v>4086</v>
      </c>
      <c r="FT97" s="81">
        <v>4316</v>
      </c>
      <c r="FU97" s="81">
        <v>4545</v>
      </c>
      <c r="FV97" s="81">
        <v>3310</v>
      </c>
      <c r="FW97" s="81">
        <v>3095</v>
      </c>
      <c r="FX97" s="81">
        <v>3129</v>
      </c>
      <c r="FY97" s="81">
        <v>2701</v>
      </c>
      <c r="FZ97" s="81">
        <v>2355</v>
      </c>
      <c r="GA97" s="81">
        <v>2043</v>
      </c>
      <c r="GB97" s="81">
        <v>2031</v>
      </c>
      <c r="GC97" s="81">
        <v>2013</v>
      </c>
      <c r="GD97" s="81">
        <v>1909</v>
      </c>
      <c r="GE97" s="81">
        <v>1706</v>
      </c>
      <c r="GF97" s="81">
        <v>1548</v>
      </c>
      <c r="GG97" s="81">
        <v>1349</v>
      </c>
      <c r="GH97" s="81">
        <v>1371</v>
      </c>
      <c r="GI97" s="81">
        <v>1126</v>
      </c>
      <c r="GJ97" s="81">
        <v>1062</v>
      </c>
      <c r="GK97" s="81">
        <v>871</v>
      </c>
      <c r="GL97" s="82">
        <v>3948</v>
      </c>
    </row>
    <row r="98" spans="1:194" s="1" customFormat="1" hidden="1" x14ac:dyDescent="0.2">
      <c r="A98" s="83" t="s">
        <v>220</v>
      </c>
      <c r="B98" s="262" t="s">
        <v>308</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0">
        <v>1252</v>
      </c>
      <c r="N98" s="80">
        <v>1390</v>
      </c>
      <c r="O98" s="80">
        <v>1614</v>
      </c>
      <c r="P98" s="80">
        <v>1497</v>
      </c>
      <c r="Q98" s="80">
        <v>1666</v>
      </c>
      <c r="R98" s="80">
        <v>1639</v>
      </c>
      <c r="S98" s="80">
        <v>1642</v>
      </c>
      <c r="T98" s="80">
        <v>1711</v>
      </c>
      <c r="U98" s="80">
        <v>1780</v>
      </c>
      <c r="V98" s="80">
        <v>1798</v>
      </c>
      <c r="W98" s="80">
        <v>1828</v>
      </c>
      <c r="X98" s="80">
        <v>1779</v>
      </c>
      <c r="Y98" s="80">
        <v>1914</v>
      </c>
      <c r="Z98" s="80">
        <v>1763</v>
      </c>
      <c r="AA98" s="80">
        <v>1835</v>
      </c>
      <c r="AB98" s="80">
        <v>1803</v>
      </c>
      <c r="AC98" s="80">
        <v>1810</v>
      </c>
      <c r="AD98" s="80">
        <v>1690</v>
      </c>
      <c r="AE98" s="80">
        <v>1641</v>
      </c>
      <c r="AF98" s="80">
        <v>1403</v>
      </c>
      <c r="AG98" s="80">
        <v>1357</v>
      </c>
      <c r="AH98" s="80">
        <v>1481</v>
      </c>
      <c r="AI98" s="80">
        <v>1449</v>
      </c>
      <c r="AJ98" s="80">
        <v>1645</v>
      </c>
      <c r="AK98" s="80">
        <v>1713</v>
      </c>
      <c r="AL98" s="80">
        <v>1617</v>
      </c>
      <c r="AM98" s="80">
        <v>1589</v>
      </c>
      <c r="AN98" s="80">
        <v>1653</v>
      </c>
      <c r="AO98" s="80">
        <v>1712</v>
      </c>
      <c r="AP98" s="80">
        <v>1702</v>
      </c>
      <c r="AQ98" s="80">
        <v>1600</v>
      </c>
      <c r="AR98" s="80">
        <v>1654</v>
      </c>
      <c r="AS98" s="80">
        <v>1728</v>
      </c>
      <c r="AT98" s="80">
        <v>1647</v>
      </c>
      <c r="AU98" s="80">
        <v>1671</v>
      </c>
      <c r="AV98" s="80">
        <v>1709</v>
      </c>
      <c r="AW98" s="80">
        <v>1597</v>
      </c>
      <c r="AX98" s="80">
        <v>1603</v>
      </c>
      <c r="AY98" s="80">
        <v>1577</v>
      </c>
      <c r="AZ98" s="80">
        <v>1732</v>
      </c>
      <c r="BA98" s="80">
        <v>1821</v>
      </c>
      <c r="BB98" s="80">
        <v>1915</v>
      </c>
      <c r="BC98" s="80">
        <v>1617</v>
      </c>
      <c r="BD98" s="80">
        <v>1635</v>
      </c>
      <c r="BE98" s="80">
        <v>1678</v>
      </c>
      <c r="BF98" s="80">
        <v>1743</v>
      </c>
      <c r="BG98" s="80">
        <v>1818</v>
      </c>
      <c r="BH98" s="80">
        <v>1920</v>
      </c>
      <c r="BI98" s="80">
        <v>1988</v>
      </c>
      <c r="BJ98" s="80">
        <v>2215</v>
      </c>
      <c r="BK98" s="80">
        <v>2070</v>
      </c>
      <c r="BL98" s="80">
        <v>2187</v>
      </c>
      <c r="BM98" s="80">
        <v>2224</v>
      </c>
      <c r="BN98" s="80">
        <v>2417</v>
      </c>
      <c r="BO98" s="80">
        <v>2384</v>
      </c>
      <c r="BP98" s="80">
        <v>2571</v>
      </c>
      <c r="BQ98" s="80">
        <v>2616</v>
      </c>
      <c r="BR98" s="80">
        <v>2472</v>
      </c>
      <c r="BS98" s="80">
        <v>2480</v>
      </c>
      <c r="BT98" s="80">
        <v>2461</v>
      </c>
      <c r="BU98" s="80">
        <v>2516</v>
      </c>
      <c r="BV98" s="80">
        <v>2516</v>
      </c>
      <c r="BW98" s="80">
        <v>2421</v>
      </c>
      <c r="BX98" s="80">
        <v>2309</v>
      </c>
      <c r="BY98" s="80">
        <v>2283</v>
      </c>
      <c r="BZ98" s="80">
        <v>2181</v>
      </c>
      <c r="CA98" s="80">
        <v>2282</v>
      </c>
      <c r="CB98" s="80">
        <v>2148</v>
      </c>
      <c r="CC98" s="80">
        <v>2134</v>
      </c>
      <c r="CD98" s="80">
        <v>2166</v>
      </c>
      <c r="CE98" s="80">
        <v>2092</v>
      </c>
      <c r="CF98" s="80">
        <v>2266</v>
      </c>
      <c r="CG98" s="80">
        <v>2328</v>
      </c>
      <c r="CH98" s="80">
        <v>2447</v>
      </c>
      <c r="CI98" s="80">
        <v>1804</v>
      </c>
      <c r="CJ98" s="80">
        <v>1785</v>
      </c>
      <c r="CK98" s="80">
        <v>1735</v>
      </c>
      <c r="CL98" s="80">
        <v>1484</v>
      </c>
      <c r="CM98" s="80">
        <v>1259</v>
      </c>
      <c r="CN98" s="80">
        <v>1189</v>
      </c>
      <c r="CO98" s="80">
        <v>1080</v>
      </c>
      <c r="CP98" s="80">
        <v>1032</v>
      </c>
      <c r="CQ98" s="80">
        <v>983</v>
      </c>
      <c r="CR98" s="80">
        <v>893</v>
      </c>
      <c r="CS98" s="80">
        <v>759</v>
      </c>
      <c r="CT98" s="80">
        <v>715</v>
      </c>
      <c r="CU98" s="80">
        <v>579</v>
      </c>
      <c r="CV98" s="80">
        <v>532</v>
      </c>
      <c r="CW98" s="80">
        <v>413</v>
      </c>
      <c r="CX98" s="80">
        <v>366</v>
      </c>
      <c r="CY98" s="80">
        <v>1204</v>
      </c>
      <c r="CZ98" s="81">
        <v>1203</v>
      </c>
      <c r="DA98" s="81">
        <v>1375</v>
      </c>
      <c r="DB98" s="81">
        <v>1420</v>
      </c>
      <c r="DC98" s="81">
        <v>1548</v>
      </c>
      <c r="DD98" s="81">
        <v>1541</v>
      </c>
      <c r="DE98" s="81">
        <v>1431</v>
      </c>
      <c r="DF98" s="81">
        <v>1527</v>
      </c>
      <c r="DG98" s="81">
        <v>1662</v>
      </c>
      <c r="DH98" s="81">
        <v>1692</v>
      </c>
      <c r="DI98" s="81">
        <v>1724</v>
      </c>
      <c r="DJ98" s="81">
        <v>1724</v>
      </c>
      <c r="DK98" s="81">
        <v>1708</v>
      </c>
      <c r="DL98" s="81">
        <v>1754</v>
      </c>
      <c r="DM98" s="81">
        <v>1600</v>
      </c>
      <c r="DN98" s="81">
        <v>1675</v>
      </c>
      <c r="DO98" s="81">
        <v>1573</v>
      </c>
      <c r="DP98" s="81">
        <v>1657</v>
      </c>
      <c r="DQ98" s="81">
        <v>1576</v>
      </c>
      <c r="DR98" s="81">
        <v>1596</v>
      </c>
      <c r="DS98" s="81">
        <v>1171</v>
      </c>
      <c r="DT98" s="81">
        <v>1133</v>
      </c>
      <c r="DU98" s="81">
        <v>1161</v>
      </c>
      <c r="DV98" s="81">
        <v>1332</v>
      </c>
      <c r="DW98" s="81">
        <v>1453</v>
      </c>
      <c r="DX98" s="81">
        <v>1529</v>
      </c>
      <c r="DY98" s="81">
        <v>1574</v>
      </c>
      <c r="DZ98" s="81">
        <v>1454</v>
      </c>
      <c r="EA98" s="81">
        <v>1548</v>
      </c>
      <c r="EB98" s="81">
        <v>1704</v>
      </c>
      <c r="EC98" s="81">
        <v>1733</v>
      </c>
      <c r="ED98" s="81">
        <v>1733</v>
      </c>
      <c r="EE98" s="81">
        <v>1752</v>
      </c>
      <c r="EF98" s="81">
        <v>1826</v>
      </c>
      <c r="EG98" s="81">
        <v>1754</v>
      </c>
      <c r="EH98" s="81">
        <v>1756</v>
      </c>
      <c r="EI98" s="81">
        <v>1879</v>
      </c>
      <c r="EJ98" s="81">
        <v>1813</v>
      </c>
      <c r="EK98" s="81">
        <v>1808</v>
      </c>
      <c r="EL98" s="81">
        <v>2007</v>
      </c>
      <c r="EM98" s="81">
        <v>1828</v>
      </c>
      <c r="EN98" s="81">
        <v>1985</v>
      </c>
      <c r="EO98" s="81">
        <v>1881</v>
      </c>
      <c r="EP98" s="81">
        <v>1743</v>
      </c>
      <c r="EQ98" s="81">
        <v>1677</v>
      </c>
      <c r="ER98" s="81">
        <v>1791</v>
      </c>
      <c r="ES98" s="81">
        <v>1840</v>
      </c>
      <c r="ET98" s="81">
        <v>1827</v>
      </c>
      <c r="EU98" s="81">
        <v>2021</v>
      </c>
      <c r="EV98" s="81">
        <v>2228</v>
      </c>
      <c r="EW98" s="81">
        <v>2441</v>
      </c>
      <c r="EX98" s="81">
        <v>2327</v>
      </c>
      <c r="EY98" s="81">
        <v>2390</v>
      </c>
      <c r="EZ98" s="81">
        <v>2442</v>
      </c>
      <c r="FA98" s="81">
        <v>2486</v>
      </c>
      <c r="FB98" s="81">
        <v>2550</v>
      </c>
      <c r="FC98" s="81">
        <v>2781</v>
      </c>
      <c r="FD98" s="81">
        <v>2735</v>
      </c>
      <c r="FE98" s="81">
        <v>2769</v>
      </c>
      <c r="FF98" s="81">
        <v>2711</v>
      </c>
      <c r="FG98" s="81">
        <v>2703</v>
      </c>
      <c r="FH98" s="81">
        <v>2706</v>
      </c>
      <c r="FI98" s="81">
        <v>2676</v>
      </c>
      <c r="FJ98" s="81">
        <v>2656</v>
      </c>
      <c r="FK98" s="81">
        <v>2540</v>
      </c>
      <c r="FL98" s="81">
        <v>2444</v>
      </c>
      <c r="FM98" s="81">
        <v>2341</v>
      </c>
      <c r="FN98" s="81">
        <v>2314</v>
      </c>
      <c r="FO98" s="81">
        <v>2294</v>
      </c>
      <c r="FP98" s="81">
        <v>2293</v>
      </c>
      <c r="FQ98" s="81">
        <v>2337</v>
      </c>
      <c r="FR98" s="81">
        <v>2425</v>
      </c>
      <c r="FS98" s="81">
        <v>2332</v>
      </c>
      <c r="FT98" s="81">
        <v>2574</v>
      </c>
      <c r="FU98" s="81">
        <v>2622</v>
      </c>
      <c r="FV98" s="81">
        <v>1968</v>
      </c>
      <c r="FW98" s="81">
        <v>1908</v>
      </c>
      <c r="FX98" s="81">
        <v>1778</v>
      </c>
      <c r="FY98" s="81">
        <v>1633</v>
      </c>
      <c r="FZ98" s="81">
        <v>1412</v>
      </c>
      <c r="GA98" s="81">
        <v>1303</v>
      </c>
      <c r="GB98" s="81">
        <v>1346</v>
      </c>
      <c r="GC98" s="81">
        <v>1276</v>
      </c>
      <c r="GD98" s="81">
        <v>1131</v>
      </c>
      <c r="GE98" s="81">
        <v>1128</v>
      </c>
      <c r="GF98" s="81">
        <v>1010</v>
      </c>
      <c r="GG98" s="81">
        <v>946</v>
      </c>
      <c r="GH98" s="81">
        <v>813</v>
      </c>
      <c r="GI98" s="81">
        <v>695</v>
      </c>
      <c r="GJ98" s="81">
        <v>697</v>
      </c>
      <c r="GK98" s="81">
        <v>580</v>
      </c>
      <c r="GL98" s="82">
        <v>2356</v>
      </c>
    </row>
    <row r="99" spans="1:194" s="1" customFormat="1" hidden="1" x14ac:dyDescent="0.2">
      <c r="A99" s="83" t="s">
        <v>220</v>
      </c>
      <c r="B99" s="262" t="s">
        <v>309</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0">
        <v>5296</v>
      </c>
      <c r="N99" s="80">
        <v>5520</v>
      </c>
      <c r="O99" s="80">
        <v>5837</v>
      </c>
      <c r="P99" s="80">
        <v>6122</v>
      </c>
      <c r="Q99" s="80">
        <v>6192</v>
      </c>
      <c r="R99" s="80">
        <v>6338</v>
      </c>
      <c r="S99" s="80">
        <v>6278</v>
      </c>
      <c r="T99" s="80">
        <v>6355</v>
      </c>
      <c r="U99" s="80">
        <v>6779</v>
      </c>
      <c r="V99" s="80">
        <v>6625</v>
      </c>
      <c r="W99" s="80">
        <v>6512</v>
      </c>
      <c r="X99" s="80">
        <v>6353</v>
      </c>
      <c r="Y99" s="80">
        <v>6329</v>
      </c>
      <c r="Z99" s="80">
        <v>6200</v>
      </c>
      <c r="AA99" s="80">
        <v>6102</v>
      </c>
      <c r="AB99" s="80">
        <v>5705</v>
      </c>
      <c r="AC99" s="80">
        <v>5699</v>
      </c>
      <c r="AD99" s="80">
        <v>5622</v>
      </c>
      <c r="AE99" s="80">
        <v>6130</v>
      </c>
      <c r="AF99" s="80">
        <v>10044</v>
      </c>
      <c r="AG99" s="80">
        <v>10407</v>
      </c>
      <c r="AH99" s="80">
        <v>9828</v>
      </c>
      <c r="AI99" s="80">
        <v>8909</v>
      </c>
      <c r="AJ99" s="80">
        <v>7996</v>
      </c>
      <c r="AK99" s="80">
        <v>7533</v>
      </c>
      <c r="AL99" s="80">
        <v>7437</v>
      </c>
      <c r="AM99" s="80">
        <v>8274</v>
      </c>
      <c r="AN99" s="80">
        <v>8045</v>
      </c>
      <c r="AO99" s="80">
        <v>7837</v>
      </c>
      <c r="AP99" s="80">
        <v>7937</v>
      </c>
      <c r="AQ99" s="80">
        <v>7914</v>
      </c>
      <c r="AR99" s="80">
        <v>7087</v>
      </c>
      <c r="AS99" s="80">
        <v>6780</v>
      </c>
      <c r="AT99" s="80">
        <v>6452</v>
      </c>
      <c r="AU99" s="80">
        <v>6787</v>
      </c>
      <c r="AV99" s="80">
        <v>6508</v>
      </c>
      <c r="AW99" s="80">
        <v>6495</v>
      </c>
      <c r="AX99" s="80">
        <v>6195</v>
      </c>
      <c r="AY99" s="80">
        <v>6278</v>
      </c>
      <c r="AZ99" s="80">
        <v>6403</v>
      </c>
      <c r="BA99" s="80">
        <v>6653</v>
      </c>
      <c r="BB99" s="80">
        <v>6195</v>
      </c>
      <c r="BC99" s="80">
        <v>5809</v>
      </c>
      <c r="BD99" s="80">
        <v>5736</v>
      </c>
      <c r="BE99" s="80">
        <v>5918</v>
      </c>
      <c r="BF99" s="80">
        <v>5878</v>
      </c>
      <c r="BG99" s="80">
        <v>5947</v>
      </c>
      <c r="BH99" s="80">
        <v>6494</v>
      </c>
      <c r="BI99" s="80">
        <v>6805</v>
      </c>
      <c r="BJ99" s="80">
        <v>6883</v>
      </c>
      <c r="BK99" s="80">
        <v>6799</v>
      </c>
      <c r="BL99" s="80">
        <v>7001</v>
      </c>
      <c r="BM99" s="80">
        <v>7005</v>
      </c>
      <c r="BN99" s="80">
        <v>6943</v>
      </c>
      <c r="BO99" s="80">
        <v>7044</v>
      </c>
      <c r="BP99" s="80">
        <v>6991</v>
      </c>
      <c r="BQ99" s="80">
        <v>6843</v>
      </c>
      <c r="BR99" s="80">
        <v>6988</v>
      </c>
      <c r="BS99" s="80">
        <v>6618</v>
      </c>
      <c r="BT99" s="80">
        <v>6361</v>
      </c>
      <c r="BU99" s="80">
        <v>6171</v>
      </c>
      <c r="BV99" s="80">
        <v>6051</v>
      </c>
      <c r="BW99" s="80">
        <v>5746</v>
      </c>
      <c r="BX99" s="80">
        <v>5530</v>
      </c>
      <c r="BY99" s="80">
        <v>5177</v>
      </c>
      <c r="BZ99" s="80">
        <v>5051</v>
      </c>
      <c r="CA99" s="80">
        <v>5044</v>
      </c>
      <c r="CB99" s="80">
        <v>4978</v>
      </c>
      <c r="CC99" s="80">
        <v>4872</v>
      </c>
      <c r="CD99" s="80">
        <v>5004</v>
      </c>
      <c r="CE99" s="80">
        <v>5014</v>
      </c>
      <c r="CF99" s="80">
        <v>4943</v>
      </c>
      <c r="CG99" s="80">
        <v>5062</v>
      </c>
      <c r="CH99" s="80">
        <v>5609</v>
      </c>
      <c r="CI99" s="80">
        <v>4110</v>
      </c>
      <c r="CJ99" s="80">
        <v>3833</v>
      </c>
      <c r="CK99" s="80">
        <v>3941</v>
      </c>
      <c r="CL99" s="80">
        <v>3526</v>
      </c>
      <c r="CM99" s="80">
        <v>2873</v>
      </c>
      <c r="CN99" s="80">
        <v>2619</v>
      </c>
      <c r="CO99" s="80">
        <v>2562</v>
      </c>
      <c r="CP99" s="80">
        <v>2487</v>
      </c>
      <c r="CQ99" s="80">
        <v>2360</v>
      </c>
      <c r="CR99" s="80">
        <v>2108</v>
      </c>
      <c r="CS99" s="80">
        <v>1828</v>
      </c>
      <c r="CT99" s="80">
        <v>1683</v>
      </c>
      <c r="CU99" s="80">
        <v>1347</v>
      </c>
      <c r="CV99" s="80">
        <v>1193</v>
      </c>
      <c r="CW99" s="80">
        <v>1110</v>
      </c>
      <c r="CX99" s="80">
        <v>915</v>
      </c>
      <c r="CY99" s="80">
        <v>2707</v>
      </c>
      <c r="CZ99" s="81">
        <v>5007</v>
      </c>
      <c r="DA99" s="81">
        <v>5296</v>
      </c>
      <c r="DB99" s="81">
        <v>5341</v>
      </c>
      <c r="DC99" s="81">
        <v>5875</v>
      </c>
      <c r="DD99" s="81">
        <v>6066</v>
      </c>
      <c r="DE99" s="81">
        <v>5951</v>
      </c>
      <c r="DF99" s="81">
        <v>6055</v>
      </c>
      <c r="DG99" s="81">
        <v>6230</v>
      </c>
      <c r="DH99" s="81">
        <v>6274</v>
      </c>
      <c r="DI99" s="81">
        <v>6213</v>
      </c>
      <c r="DJ99" s="81">
        <v>6083</v>
      </c>
      <c r="DK99" s="81">
        <v>6056</v>
      </c>
      <c r="DL99" s="81">
        <v>6145</v>
      </c>
      <c r="DM99" s="81">
        <v>5903</v>
      </c>
      <c r="DN99" s="81">
        <v>5738</v>
      </c>
      <c r="DO99" s="81">
        <v>5513</v>
      </c>
      <c r="DP99" s="81">
        <v>5230</v>
      </c>
      <c r="DQ99" s="81">
        <v>5098</v>
      </c>
      <c r="DR99" s="81">
        <v>5987</v>
      </c>
      <c r="DS99" s="81">
        <v>10232</v>
      </c>
      <c r="DT99" s="81">
        <v>10646</v>
      </c>
      <c r="DU99" s="81">
        <v>9558</v>
      </c>
      <c r="DV99" s="81">
        <v>8160</v>
      </c>
      <c r="DW99" s="81">
        <v>7195</v>
      </c>
      <c r="DX99" s="81">
        <v>6888</v>
      </c>
      <c r="DY99" s="81">
        <v>6880</v>
      </c>
      <c r="DZ99" s="81">
        <v>7338</v>
      </c>
      <c r="EA99" s="81">
        <v>7399</v>
      </c>
      <c r="EB99" s="81">
        <v>7793</v>
      </c>
      <c r="EC99" s="81">
        <v>7678</v>
      </c>
      <c r="ED99" s="81">
        <v>7235</v>
      </c>
      <c r="EE99" s="81">
        <v>6984</v>
      </c>
      <c r="EF99" s="81">
        <v>6640</v>
      </c>
      <c r="EG99" s="81">
        <v>6855</v>
      </c>
      <c r="EH99" s="81">
        <v>6548</v>
      </c>
      <c r="EI99" s="81">
        <v>6514</v>
      </c>
      <c r="EJ99" s="81">
        <v>6396</v>
      </c>
      <c r="EK99" s="81">
        <v>6588</v>
      </c>
      <c r="EL99" s="81">
        <v>6248</v>
      </c>
      <c r="EM99" s="81">
        <v>6374</v>
      </c>
      <c r="EN99" s="81">
        <v>6508</v>
      </c>
      <c r="EO99" s="81">
        <v>6111</v>
      </c>
      <c r="EP99" s="81">
        <v>5891</v>
      </c>
      <c r="EQ99" s="81">
        <v>5556</v>
      </c>
      <c r="ER99" s="81">
        <v>5777</v>
      </c>
      <c r="ES99" s="81">
        <v>6016</v>
      </c>
      <c r="ET99" s="81">
        <v>6158</v>
      </c>
      <c r="EU99" s="81">
        <v>6570</v>
      </c>
      <c r="EV99" s="81">
        <v>6642</v>
      </c>
      <c r="EW99" s="81">
        <v>7059</v>
      </c>
      <c r="EX99" s="81">
        <v>6826</v>
      </c>
      <c r="EY99" s="81">
        <v>7199</v>
      </c>
      <c r="EZ99" s="81">
        <v>6991</v>
      </c>
      <c r="FA99" s="81">
        <v>7109</v>
      </c>
      <c r="FB99" s="81">
        <v>7132</v>
      </c>
      <c r="FC99" s="81">
        <v>7236</v>
      </c>
      <c r="FD99" s="81">
        <v>7133</v>
      </c>
      <c r="FE99" s="81">
        <v>6987</v>
      </c>
      <c r="FF99" s="81">
        <v>6761</v>
      </c>
      <c r="FG99" s="81">
        <v>6521</v>
      </c>
      <c r="FH99" s="81">
        <v>6469</v>
      </c>
      <c r="FI99" s="81">
        <v>6084</v>
      </c>
      <c r="FJ99" s="81">
        <v>5846</v>
      </c>
      <c r="FK99" s="81">
        <v>5488</v>
      </c>
      <c r="FL99" s="81">
        <v>5394</v>
      </c>
      <c r="FM99" s="81">
        <v>5367</v>
      </c>
      <c r="FN99" s="81">
        <v>5458</v>
      </c>
      <c r="FO99" s="81">
        <v>5113</v>
      </c>
      <c r="FP99" s="81">
        <v>5089</v>
      </c>
      <c r="FQ99" s="81">
        <v>4945</v>
      </c>
      <c r="FR99" s="81">
        <v>5138</v>
      </c>
      <c r="FS99" s="81">
        <v>5176</v>
      </c>
      <c r="FT99" s="81">
        <v>5454</v>
      </c>
      <c r="FU99" s="81">
        <v>5805</v>
      </c>
      <c r="FV99" s="81">
        <v>4460</v>
      </c>
      <c r="FW99" s="81">
        <v>4503</v>
      </c>
      <c r="FX99" s="81">
        <v>4406</v>
      </c>
      <c r="FY99" s="81">
        <v>3982</v>
      </c>
      <c r="FZ99" s="81">
        <v>3524</v>
      </c>
      <c r="GA99" s="81">
        <v>3082</v>
      </c>
      <c r="GB99" s="81">
        <v>3185</v>
      </c>
      <c r="GC99" s="81">
        <v>3167</v>
      </c>
      <c r="GD99" s="81">
        <v>2900</v>
      </c>
      <c r="GE99" s="81">
        <v>2707</v>
      </c>
      <c r="GF99" s="81">
        <v>2485</v>
      </c>
      <c r="GG99" s="81">
        <v>2253</v>
      </c>
      <c r="GH99" s="81">
        <v>2063</v>
      </c>
      <c r="GI99" s="81">
        <v>1760</v>
      </c>
      <c r="GJ99" s="81">
        <v>1648</v>
      </c>
      <c r="GK99" s="81">
        <v>1393</v>
      </c>
      <c r="GL99" s="82">
        <v>5953</v>
      </c>
    </row>
    <row r="100" spans="1:194" s="1" customFormat="1" hidden="1" x14ac:dyDescent="0.2">
      <c r="A100" s="83" t="s">
        <v>220</v>
      </c>
      <c r="B100" s="262" t="s">
        <v>310</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0">
        <v>1546</v>
      </c>
      <c r="N100" s="80">
        <v>1554</v>
      </c>
      <c r="O100" s="80">
        <v>1675</v>
      </c>
      <c r="P100" s="80">
        <v>1719</v>
      </c>
      <c r="Q100" s="80">
        <v>1721</v>
      </c>
      <c r="R100" s="80">
        <v>1746</v>
      </c>
      <c r="S100" s="80">
        <v>1693</v>
      </c>
      <c r="T100" s="80">
        <v>1764</v>
      </c>
      <c r="U100" s="80">
        <v>1679</v>
      </c>
      <c r="V100" s="80">
        <v>1642</v>
      </c>
      <c r="W100" s="80">
        <v>1702</v>
      </c>
      <c r="X100" s="80">
        <v>1699</v>
      </c>
      <c r="Y100" s="80">
        <v>1783</v>
      </c>
      <c r="Z100" s="80">
        <v>1677</v>
      </c>
      <c r="AA100" s="80">
        <v>1617</v>
      </c>
      <c r="AB100" s="80">
        <v>1684</v>
      </c>
      <c r="AC100" s="80">
        <v>1629</v>
      </c>
      <c r="AD100" s="80">
        <v>1686</v>
      </c>
      <c r="AE100" s="80">
        <v>1617</v>
      </c>
      <c r="AF100" s="80">
        <v>1383</v>
      </c>
      <c r="AG100" s="80">
        <v>1402</v>
      </c>
      <c r="AH100" s="80">
        <v>1447</v>
      </c>
      <c r="AI100" s="80">
        <v>1510</v>
      </c>
      <c r="AJ100" s="80">
        <v>1583</v>
      </c>
      <c r="AK100" s="80">
        <v>1520</v>
      </c>
      <c r="AL100" s="80">
        <v>1589</v>
      </c>
      <c r="AM100" s="80">
        <v>1610</v>
      </c>
      <c r="AN100" s="80">
        <v>1614</v>
      </c>
      <c r="AO100" s="80">
        <v>1616</v>
      </c>
      <c r="AP100" s="80">
        <v>1684</v>
      </c>
      <c r="AQ100" s="80">
        <v>1635</v>
      </c>
      <c r="AR100" s="80">
        <v>1660</v>
      </c>
      <c r="AS100" s="80">
        <v>1664</v>
      </c>
      <c r="AT100" s="80">
        <v>1522</v>
      </c>
      <c r="AU100" s="80">
        <v>1523</v>
      </c>
      <c r="AV100" s="80">
        <v>1674</v>
      </c>
      <c r="AW100" s="80">
        <v>1525</v>
      </c>
      <c r="AX100" s="80">
        <v>1524</v>
      </c>
      <c r="AY100" s="80">
        <v>1486</v>
      </c>
      <c r="AZ100" s="80">
        <v>1536</v>
      </c>
      <c r="BA100" s="80">
        <v>1519</v>
      </c>
      <c r="BB100" s="80">
        <v>1414</v>
      </c>
      <c r="BC100" s="80">
        <v>1262</v>
      </c>
      <c r="BD100" s="80">
        <v>1301</v>
      </c>
      <c r="BE100" s="80">
        <v>1352</v>
      </c>
      <c r="BF100" s="80">
        <v>1400</v>
      </c>
      <c r="BG100" s="80">
        <v>1383</v>
      </c>
      <c r="BH100" s="80">
        <v>1457</v>
      </c>
      <c r="BI100" s="80">
        <v>1592</v>
      </c>
      <c r="BJ100" s="80">
        <v>1579</v>
      </c>
      <c r="BK100" s="80">
        <v>1605</v>
      </c>
      <c r="BL100" s="80">
        <v>1672</v>
      </c>
      <c r="BM100" s="80">
        <v>1628</v>
      </c>
      <c r="BN100" s="80">
        <v>1609</v>
      </c>
      <c r="BO100" s="80">
        <v>1522</v>
      </c>
      <c r="BP100" s="80">
        <v>1491</v>
      </c>
      <c r="BQ100" s="80">
        <v>1479</v>
      </c>
      <c r="BR100" s="80">
        <v>1370</v>
      </c>
      <c r="BS100" s="80">
        <v>1329</v>
      </c>
      <c r="BT100" s="80">
        <v>1411</v>
      </c>
      <c r="BU100" s="80">
        <v>1284</v>
      </c>
      <c r="BV100" s="80">
        <v>1343</v>
      </c>
      <c r="BW100" s="80">
        <v>1181</v>
      </c>
      <c r="BX100" s="80">
        <v>1134</v>
      </c>
      <c r="BY100" s="80">
        <v>1093</v>
      </c>
      <c r="BZ100" s="80">
        <v>1058</v>
      </c>
      <c r="CA100" s="80">
        <v>1081</v>
      </c>
      <c r="CB100" s="80">
        <v>1048</v>
      </c>
      <c r="CC100" s="80">
        <v>1037</v>
      </c>
      <c r="CD100" s="80">
        <v>914</v>
      </c>
      <c r="CE100" s="80">
        <v>957</v>
      </c>
      <c r="CF100" s="80">
        <v>1004</v>
      </c>
      <c r="CG100" s="80">
        <v>1090</v>
      </c>
      <c r="CH100" s="80">
        <v>1129</v>
      </c>
      <c r="CI100" s="80">
        <v>740</v>
      </c>
      <c r="CJ100" s="80">
        <v>757</v>
      </c>
      <c r="CK100" s="80">
        <v>780</v>
      </c>
      <c r="CL100" s="80">
        <v>696</v>
      </c>
      <c r="CM100" s="80">
        <v>610</v>
      </c>
      <c r="CN100" s="80">
        <v>535</v>
      </c>
      <c r="CO100" s="80">
        <v>573</v>
      </c>
      <c r="CP100" s="80">
        <v>527</v>
      </c>
      <c r="CQ100" s="80">
        <v>457</v>
      </c>
      <c r="CR100" s="80">
        <v>417</v>
      </c>
      <c r="CS100" s="80">
        <v>323</v>
      </c>
      <c r="CT100" s="80">
        <v>303</v>
      </c>
      <c r="CU100" s="80">
        <v>248</v>
      </c>
      <c r="CV100" s="80">
        <v>202</v>
      </c>
      <c r="CW100" s="80">
        <v>157</v>
      </c>
      <c r="CX100" s="80">
        <v>176</v>
      </c>
      <c r="CY100" s="80">
        <v>618</v>
      </c>
      <c r="CZ100" s="81">
        <v>1504</v>
      </c>
      <c r="DA100" s="81">
        <v>1596</v>
      </c>
      <c r="DB100" s="81">
        <v>1610</v>
      </c>
      <c r="DC100" s="81">
        <v>1622</v>
      </c>
      <c r="DD100" s="81">
        <v>1637</v>
      </c>
      <c r="DE100" s="81">
        <v>1685</v>
      </c>
      <c r="DF100" s="81">
        <v>1734</v>
      </c>
      <c r="DG100" s="81">
        <v>1678</v>
      </c>
      <c r="DH100" s="81">
        <v>1710</v>
      </c>
      <c r="DI100" s="81">
        <v>1702</v>
      </c>
      <c r="DJ100" s="81">
        <v>1697</v>
      </c>
      <c r="DK100" s="81">
        <v>1661</v>
      </c>
      <c r="DL100" s="81">
        <v>1651</v>
      </c>
      <c r="DM100" s="81">
        <v>1680</v>
      </c>
      <c r="DN100" s="81">
        <v>1621</v>
      </c>
      <c r="DO100" s="81">
        <v>1578</v>
      </c>
      <c r="DP100" s="81">
        <v>1463</v>
      </c>
      <c r="DQ100" s="81">
        <v>1405</v>
      </c>
      <c r="DR100" s="81">
        <v>1489</v>
      </c>
      <c r="DS100" s="81">
        <v>1194</v>
      </c>
      <c r="DT100" s="81">
        <v>1203</v>
      </c>
      <c r="DU100" s="81">
        <v>1248</v>
      </c>
      <c r="DV100" s="81">
        <v>1268</v>
      </c>
      <c r="DW100" s="81">
        <v>1477</v>
      </c>
      <c r="DX100" s="81">
        <v>1491</v>
      </c>
      <c r="DY100" s="81">
        <v>1522</v>
      </c>
      <c r="DZ100" s="81">
        <v>1496</v>
      </c>
      <c r="EA100" s="81">
        <v>1534</v>
      </c>
      <c r="EB100" s="81">
        <v>1542</v>
      </c>
      <c r="EC100" s="81">
        <v>1647</v>
      </c>
      <c r="ED100" s="81">
        <v>1605</v>
      </c>
      <c r="EE100" s="81">
        <v>1775</v>
      </c>
      <c r="EF100" s="81">
        <v>1695</v>
      </c>
      <c r="EG100" s="81">
        <v>1656</v>
      </c>
      <c r="EH100" s="81">
        <v>1642</v>
      </c>
      <c r="EI100" s="81">
        <v>1655</v>
      </c>
      <c r="EJ100" s="81">
        <v>1592</v>
      </c>
      <c r="EK100" s="81">
        <v>1714</v>
      </c>
      <c r="EL100" s="81">
        <v>1609</v>
      </c>
      <c r="EM100" s="81">
        <v>1499</v>
      </c>
      <c r="EN100" s="81">
        <v>1624</v>
      </c>
      <c r="EO100" s="81">
        <v>1516</v>
      </c>
      <c r="EP100" s="81">
        <v>1388</v>
      </c>
      <c r="EQ100" s="81">
        <v>1308</v>
      </c>
      <c r="ER100" s="81">
        <v>1311</v>
      </c>
      <c r="ES100" s="81">
        <v>1366</v>
      </c>
      <c r="ET100" s="81">
        <v>1347</v>
      </c>
      <c r="EU100" s="81">
        <v>1528</v>
      </c>
      <c r="EV100" s="81">
        <v>1510</v>
      </c>
      <c r="EW100" s="81">
        <v>1645</v>
      </c>
      <c r="EX100" s="81">
        <v>1656</v>
      </c>
      <c r="EY100" s="81">
        <v>1526</v>
      </c>
      <c r="EZ100" s="81">
        <v>1543</v>
      </c>
      <c r="FA100" s="81">
        <v>1535</v>
      </c>
      <c r="FB100" s="81">
        <v>1571</v>
      </c>
      <c r="FC100" s="81">
        <v>1692</v>
      </c>
      <c r="FD100" s="81">
        <v>1620</v>
      </c>
      <c r="FE100" s="81">
        <v>1455</v>
      </c>
      <c r="FF100" s="81">
        <v>1525</v>
      </c>
      <c r="FG100" s="81">
        <v>1431</v>
      </c>
      <c r="FH100" s="81">
        <v>1441</v>
      </c>
      <c r="FI100" s="81">
        <v>1274</v>
      </c>
      <c r="FJ100" s="81">
        <v>1237</v>
      </c>
      <c r="FK100" s="81">
        <v>1185</v>
      </c>
      <c r="FL100" s="81">
        <v>1240</v>
      </c>
      <c r="FM100" s="81">
        <v>1131</v>
      </c>
      <c r="FN100" s="81">
        <v>1109</v>
      </c>
      <c r="FO100" s="81">
        <v>1132</v>
      </c>
      <c r="FP100" s="81">
        <v>1048</v>
      </c>
      <c r="FQ100" s="81">
        <v>1039</v>
      </c>
      <c r="FR100" s="81">
        <v>1136</v>
      </c>
      <c r="FS100" s="81">
        <v>1041</v>
      </c>
      <c r="FT100" s="81">
        <v>1204</v>
      </c>
      <c r="FU100" s="81">
        <v>1280</v>
      </c>
      <c r="FV100" s="81">
        <v>932</v>
      </c>
      <c r="FW100" s="81">
        <v>899</v>
      </c>
      <c r="FX100" s="81">
        <v>967</v>
      </c>
      <c r="FY100" s="81">
        <v>883</v>
      </c>
      <c r="FZ100" s="81">
        <v>777</v>
      </c>
      <c r="GA100" s="81">
        <v>656</v>
      </c>
      <c r="GB100" s="81">
        <v>663</v>
      </c>
      <c r="GC100" s="81">
        <v>629</v>
      </c>
      <c r="GD100" s="81">
        <v>609</v>
      </c>
      <c r="GE100" s="81">
        <v>570</v>
      </c>
      <c r="GF100" s="81">
        <v>485</v>
      </c>
      <c r="GG100" s="81">
        <v>414</v>
      </c>
      <c r="GH100" s="81">
        <v>402</v>
      </c>
      <c r="GI100" s="81">
        <v>353</v>
      </c>
      <c r="GJ100" s="81">
        <v>314</v>
      </c>
      <c r="GK100" s="81">
        <v>288</v>
      </c>
      <c r="GL100" s="82">
        <v>1019</v>
      </c>
    </row>
    <row r="101" spans="1:194" s="1" customFormat="1" hidden="1" x14ac:dyDescent="0.2">
      <c r="A101" s="83" t="s">
        <v>220</v>
      </c>
      <c r="B101" s="262" t="s">
        <v>311</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0">
        <v>3616</v>
      </c>
      <c r="N101" s="80">
        <v>3917</v>
      </c>
      <c r="O101" s="80">
        <v>3984</v>
      </c>
      <c r="P101" s="80">
        <v>4029</v>
      </c>
      <c r="Q101" s="80">
        <v>4296</v>
      </c>
      <c r="R101" s="80">
        <v>4145</v>
      </c>
      <c r="S101" s="80">
        <v>4226</v>
      </c>
      <c r="T101" s="80">
        <v>4316</v>
      </c>
      <c r="U101" s="80">
        <v>4385</v>
      </c>
      <c r="V101" s="80">
        <v>4638</v>
      </c>
      <c r="W101" s="80">
        <v>4306</v>
      </c>
      <c r="X101" s="80">
        <v>4237</v>
      </c>
      <c r="Y101" s="80">
        <v>4316</v>
      </c>
      <c r="Z101" s="80">
        <v>4219</v>
      </c>
      <c r="AA101" s="80">
        <v>4071</v>
      </c>
      <c r="AB101" s="80">
        <v>3918</v>
      </c>
      <c r="AC101" s="80">
        <v>4012</v>
      </c>
      <c r="AD101" s="80">
        <v>3770</v>
      </c>
      <c r="AE101" s="80">
        <v>3843</v>
      </c>
      <c r="AF101" s="80">
        <v>4676</v>
      </c>
      <c r="AG101" s="80">
        <v>5133</v>
      </c>
      <c r="AH101" s="80">
        <v>5257</v>
      </c>
      <c r="AI101" s="80">
        <v>5386</v>
      </c>
      <c r="AJ101" s="80">
        <v>5138</v>
      </c>
      <c r="AK101" s="80">
        <v>5092</v>
      </c>
      <c r="AL101" s="80">
        <v>4941</v>
      </c>
      <c r="AM101" s="80">
        <v>4974</v>
      </c>
      <c r="AN101" s="80">
        <v>4844</v>
      </c>
      <c r="AO101" s="80">
        <v>4739</v>
      </c>
      <c r="AP101" s="80">
        <v>4726</v>
      </c>
      <c r="AQ101" s="80">
        <v>4502</v>
      </c>
      <c r="AR101" s="80">
        <v>4118</v>
      </c>
      <c r="AS101" s="80">
        <v>4061</v>
      </c>
      <c r="AT101" s="80">
        <v>4130</v>
      </c>
      <c r="AU101" s="80">
        <v>4201</v>
      </c>
      <c r="AV101" s="80">
        <v>4319</v>
      </c>
      <c r="AW101" s="80">
        <v>4205</v>
      </c>
      <c r="AX101" s="80">
        <v>4501</v>
      </c>
      <c r="AY101" s="80">
        <v>4163</v>
      </c>
      <c r="AZ101" s="80">
        <v>4369</v>
      </c>
      <c r="BA101" s="80">
        <v>4376</v>
      </c>
      <c r="BB101" s="80">
        <v>4294</v>
      </c>
      <c r="BC101" s="80">
        <v>4084</v>
      </c>
      <c r="BD101" s="80">
        <v>4053</v>
      </c>
      <c r="BE101" s="80">
        <v>3900</v>
      </c>
      <c r="BF101" s="80">
        <v>3859</v>
      </c>
      <c r="BG101" s="80">
        <v>4173</v>
      </c>
      <c r="BH101" s="80">
        <v>4229</v>
      </c>
      <c r="BI101" s="80">
        <v>4468</v>
      </c>
      <c r="BJ101" s="80">
        <v>4527</v>
      </c>
      <c r="BK101" s="80">
        <v>4415</v>
      </c>
      <c r="BL101" s="80">
        <v>4511</v>
      </c>
      <c r="BM101" s="80">
        <v>4708</v>
      </c>
      <c r="BN101" s="80">
        <v>4572</v>
      </c>
      <c r="BO101" s="80">
        <v>4691</v>
      </c>
      <c r="BP101" s="80">
        <v>4692</v>
      </c>
      <c r="BQ101" s="80">
        <v>4732</v>
      </c>
      <c r="BR101" s="80">
        <v>4559</v>
      </c>
      <c r="BS101" s="80">
        <v>4292</v>
      </c>
      <c r="BT101" s="80">
        <v>4157</v>
      </c>
      <c r="BU101" s="80">
        <v>3996</v>
      </c>
      <c r="BV101" s="80">
        <v>3745</v>
      </c>
      <c r="BW101" s="80">
        <v>3685</v>
      </c>
      <c r="BX101" s="80">
        <v>3557</v>
      </c>
      <c r="BY101" s="80">
        <v>3400</v>
      </c>
      <c r="BZ101" s="80">
        <v>3303</v>
      </c>
      <c r="CA101" s="80">
        <v>3082</v>
      </c>
      <c r="CB101" s="80">
        <v>3136</v>
      </c>
      <c r="CC101" s="80">
        <v>2906</v>
      </c>
      <c r="CD101" s="80">
        <v>3116</v>
      </c>
      <c r="CE101" s="80">
        <v>3129</v>
      </c>
      <c r="CF101" s="80">
        <v>3214</v>
      </c>
      <c r="CG101" s="80">
        <v>3394</v>
      </c>
      <c r="CH101" s="80">
        <v>3518</v>
      </c>
      <c r="CI101" s="80">
        <v>2678</v>
      </c>
      <c r="CJ101" s="80">
        <v>2728</v>
      </c>
      <c r="CK101" s="80">
        <v>2583</v>
      </c>
      <c r="CL101" s="80">
        <v>2325</v>
      </c>
      <c r="CM101" s="80">
        <v>2058</v>
      </c>
      <c r="CN101" s="80">
        <v>1782</v>
      </c>
      <c r="CO101" s="80">
        <v>1802</v>
      </c>
      <c r="CP101" s="80">
        <v>1780</v>
      </c>
      <c r="CQ101" s="80">
        <v>1584</v>
      </c>
      <c r="CR101" s="80">
        <v>1506</v>
      </c>
      <c r="CS101" s="80">
        <v>1432</v>
      </c>
      <c r="CT101" s="80">
        <v>1248</v>
      </c>
      <c r="CU101" s="80">
        <v>1060</v>
      </c>
      <c r="CV101" s="80">
        <v>890</v>
      </c>
      <c r="CW101" s="80">
        <v>838</v>
      </c>
      <c r="CX101" s="80">
        <v>677</v>
      </c>
      <c r="CY101" s="80">
        <v>2403</v>
      </c>
      <c r="CZ101" s="81">
        <v>3379</v>
      </c>
      <c r="DA101" s="81">
        <v>3522</v>
      </c>
      <c r="DB101" s="81">
        <v>3720</v>
      </c>
      <c r="DC101" s="81">
        <v>3836</v>
      </c>
      <c r="DD101" s="81">
        <v>3868</v>
      </c>
      <c r="DE101" s="81">
        <v>3951</v>
      </c>
      <c r="DF101" s="81">
        <v>3806</v>
      </c>
      <c r="DG101" s="81">
        <v>3954</v>
      </c>
      <c r="DH101" s="81">
        <v>4248</v>
      </c>
      <c r="DI101" s="81">
        <v>4339</v>
      </c>
      <c r="DJ101" s="81">
        <v>4076</v>
      </c>
      <c r="DK101" s="81">
        <v>3936</v>
      </c>
      <c r="DL101" s="81">
        <v>4167</v>
      </c>
      <c r="DM101" s="81">
        <v>4062</v>
      </c>
      <c r="DN101" s="81">
        <v>3878</v>
      </c>
      <c r="DO101" s="81">
        <v>3845</v>
      </c>
      <c r="DP101" s="81">
        <v>3714</v>
      </c>
      <c r="DQ101" s="81">
        <v>3733</v>
      </c>
      <c r="DR101" s="81">
        <v>3618</v>
      </c>
      <c r="DS101" s="81">
        <v>4781</v>
      </c>
      <c r="DT101" s="81">
        <v>4790</v>
      </c>
      <c r="DU101" s="81">
        <v>5019</v>
      </c>
      <c r="DV101" s="81">
        <v>4596</v>
      </c>
      <c r="DW101" s="81">
        <v>4547</v>
      </c>
      <c r="DX101" s="81">
        <v>4206</v>
      </c>
      <c r="DY101" s="81">
        <v>4331</v>
      </c>
      <c r="DZ101" s="81">
        <v>4170</v>
      </c>
      <c r="EA101" s="81">
        <v>4120</v>
      </c>
      <c r="EB101" s="81">
        <v>3954</v>
      </c>
      <c r="EC101" s="81">
        <v>3905</v>
      </c>
      <c r="ED101" s="81">
        <v>3766</v>
      </c>
      <c r="EE101" s="81">
        <v>3720</v>
      </c>
      <c r="EF101" s="81">
        <v>3740</v>
      </c>
      <c r="EG101" s="81">
        <v>4021</v>
      </c>
      <c r="EH101" s="81">
        <v>4170</v>
      </c>
      <c r="EI101" s="81">
        <v>4369</v>
      </c>
      <c r="EJ101" s="81">
        <v>4446</v>
      </c>
      <c r="EK101" s="81">
        <v>4520</v>
      </c>
      <c r="EL101" s="81">
        <v>4429</v>
      </c>
      <c r="EM101" s="81">
        <v>4540</v>
      </c>
      <c r="EN101" s="81">
        <v>4262</v>
      </c>
      <c r="EO101" s="81">
        <v>4385</v>
      </c>
      <c r="EP101" s="81">
        <v>4045</v>
      </c>
      <c r="EQ101" s="81">
        <v>4102</v>
      </c>
      <c r="ER101" s="81">
        <v>3886</v>
      </c>
      <c r="ES101" s="81">
        <v>4335</v>
      </c>
      <c r="ET101" s="81">
        <v>4381</v>
      </c>
      <c r="EU101" s="81">
        <v>4491</v>
      </c>
      <c r="EV101" s="81">
        <v>4616</v>
      </c>
      <c r="EW101" s="81">
        <v>4638</v>
      </c>
      <c r="EX101" s="81">
        <v>4733</v>
      </c>
      <c r="EY101" s="81">
        <v>4656</v>
      </c>
      <c r="EZ101" s="81">
        <v>4650</v>
      </c>
      <c r="FA101" s="81">
        <v>4760</v>
      </c>
      <c r="FB101" s="81">
        <v>4881</v>
      </c>
      <c r="FC101" s="81">
        <v>4763</v>
      </c>
      <c r="FD101" s="81">
        <v>4678</v>
      </c>
      <c r="FE101" s="81">
        <v>4643</v>
      </c>
      <c r="FF101" s="81">
        <v>4448</v>
      </c>
      <c r="FG101" s="81">
        <v>4194</v>
      </c>
      <c r="FH101" s="81">
        <v>4165</v>
      </c>
      <c r="FI101" s="81">
        <v>3954</v>
      </c>
      <c r="FJ101" s="81">
        <v>3851</v>
      </c>
      <c r="FK101" s="81">
        <v>3682</v>
      </c>
      <c r="FL101" s="81">
        <v>3531</v>
      </c>
      <c r="FM101" s="81">
        <v>3377</v>
      </c>
      <c r="FN101" s="81">
        <v>3458</v>
      </c>
      <c r="FO101" s="81">
        <v>3348</v>
      </c>
      <c r="FP101" s="81">
        <v>3196</v>
      </c>
      <c r="FQ101" s="81">
        <v>3345</v>
      </c>
      <c r="FR101" s="81">
        <v>3432</v>
      </c>
      <c r="FS101" s="81">
        <v>3459</v>
      </c>
      <c r="FT101" s="81">
        <v>3671</v>
      </c>
      <c r="FU101" s="81">
        <v>3808</v>
      </c>
      <c r="FV101" s="81">
        <v>3034</v>
      </c>
      <c r="FW101" s="81">
        <v>3053</v>
      </c>
      <c r="FX101" s="81">
        <v>3020</v>
      </c>
      <c r="FY101" s="81">
        <v>2831</v>
      </c>
      <c r="FZ101" s="81">
        <v>2404</v>
      </c>
      <c r="GA101" s="81">
        <v>2161</v>
      </c>
      <c r="GB101" s="81">
        <v>2194</v>
      </c>
      <c r="GC101" s="81">
        <v>2183</v>
      </c>
      <c r="GD101" s="81">
        <v>2004</v>
      </c>
      <c r="GE101" s="81">
        <v>1895</v>
      </c>
      <c r="GF101" s="81">
        <v>1750</v>
      </c>
      <c r="GG101" s="81">
        <v>1607</v>
      </c>
      <c r="GH101" s="81">
        <v>1416</v>
      </c>
      <c r="GI101" s="81">
        <v>1316</v>
      </c>
      <c r="GJ101" s="81">
        <v>1231</v>
      </c>
      <c r="GK101" s="81">
        <v>1078</v>
      </c>
      <c r="GL101" s="82">
        <v>4515</v>
      </c>
    </row>
    <row r="102" spans="1:194" s="1" customFormat="1" hidden="1" x14ac:dyDescent="0.2">
      <c r="A102" s="83" t="s">
        <v>220</v>
      </c>
      <c r="B102" s="262" t="s">
        <v>312</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0">
        <v>1198</v>
      </c>
      <c r="N102" s="80">
        <v>1095</v>
      </c>
      <c r="O102" s="80">
        <v>1172</v>
      </c>
      <c r="P102" s="80">
        <v>1206</v>
      </c>
      <c r="Q102" s="80">
        <v>1312</v>
      </c>
      <c r="R102" s="80">
        <v>1336</v>
      </c>
      <c r="S102" s="80">
        <v>1340</v>
      </c>
      <c r="T102" s="80">
        <v>1326</v>
      </c>
      <c r="U102" s="80">
        <v>1315</v>
      </c>
      <c r="V102" s="80">
        <v>1287</v>
      </c>
      <c r="W102" s="80">
        <v>1328</v>
      </c>
      <c r="X102" s="80">
        <v>1306</v>
      </c>
      <c r="Y102" s="80">
        <v>1257</v>
      </c>
      <c r="Z102" s="80">
        <v>1275</v>
      </c>
      <c r="AA102" s="80">
        <v>1295</v>
      </c>
      <c r="AB102" s="80">
        <v>1117</v>
      </c>
      <c r="AC102" s="80">
        <v>1080</v>
      </c>
      <c r="AD102" s="80">
        <v>1103</v>
      </c>
      <c r="AE102" s="80">
        <v>1367</v>
      </c>
      <c r="AF102" s="80">
        <v>2673</v>
      </c>
      <c r="AG102" s="80">
        <v>3232</v>
      </c>
      <c r="AH102" s="80">
        <v>3087</v>
      </c>
      <c r="AI102" s="80">
        <v>2902</v>
      </c>
      <c r="AJ102" s="80">
        <v>2251</v>
      </c>
      <c r="AK102" s="80">
        <v>1981</v>
      </c>
      <c r="AL102" s="80">
        <v>1851</v>
      </c>
      <c r="AM102" s="80">
        <v>2057</v>
      </c>
      <c r="AN102" s="80">
        <v>2066</v>
      </c>
      <c r="AO102" s="80">
        <v>2185</v>
      </c>
      <c r="AP102" s="80">
        <v>2019</v>
      </c>
      <c r="AQ102" s="80">
        <v>1928</v>
      </c>
      <c r="AR102" s="80">
        <v>1714</v>
      </c>
      <c r="AS102" s="80">
        <v>1497</v>
      </c>
      <c r="AT102" s="80">
        <v>1489</v>
      </c>
      <c r="AU102" s="80">
        <v>1557</v>
      </c>
      <c r="AV102" s="80">
        <v>1653</v>
      </c>
      <c r="AW102" s="80">
        <v>1583</v>
      </c>
      <c r="AX102" s="80">
        <v>1374</v>
      </c>
      <c r="AY102" s="80">
        <v>1342</v>
      </c>
      <c r="AZ102" s="80">
        <v>1366</v>
      </c>
      <c r="BA102" s="80">
        <v>1400</v>
      </c>
      <c r="BB102" s="80">
        <v>1287</v>
      </c>
      <c r="BC102" s="80">
        <v>1156</v>
      </c>
      <c r="BD102" s="80">
        <v>1168</v>
      </c>
      <c r="BE102" s="80">
        <v>1206</v>
      </c>
      <c r="BF102" s="80">
        <v>1144</v>
      </c>
      <c r="BG102" s="80">
        <v>1230</v>
      </c>
      <c r="BH102" s="80">
        <v>1258</v>
      </c>
      <c r="BI102" s="80">
        <v>1357</v>
      </c>
      <c r="BJ102" s="80">
        <v>1282</v>
      </c>
      <c r="BK102" s="80">
        <v>1337</v>
      </c>
      <c r="BL102" s="80">
        <v>1261</v>
      </c>
      <c r="BM102" s="80">
        <v>1241</v>
      </c>
      <c r="BN102" s="80">
        <v>1314</v>
      </c>
      <c r="BO102" s="80">
        <v>1277</v>
      </c>
      <c r="BP102" s="80">
        <v>1265</v>
      </c>
      <c r="BQ102" s="80">
        <v>1324</v>
      </c>
      <c r="BR102" s="80">
        <v>1304</v>
      </c>
      <c r="BS102" s="80">
        <v>1203</v>
      </c>
      <c r="BT102" s="80">
        <v>1194</v>
      </c>
      <c r="BU102" s="80">
        <v>1154</v>
      </c>
      <c r="BV102" s="80">
        <v>1122</v>
      </c>
      <c r="BW102" s="80">
        <v>1052</v>
      </c>
      <c r="BX102" s="80">
        <v>1007</v>
      </c>
      <c r="BY102" s="80">
        <v>877</v>
      </c>
      <c r="BZ102" s="80">
        <v>822</v>
      </c>
      <c r="CA102" s="80">
        <v>755</v>
      </c>
      <c r="CB102" s="80">
        <v>784</v>
      </c>
      <c r="CC102" s="80">
        <v>758</v>
      </c>
      <c r="CD102" s="80">
        <v>719</v>
      </c>
      <c r="CE102" s="80">
        <v>775</v>
      </c>
      <c r="CF102" s="80">
        <v>776</v>
      </c>
      <c r="CG102" s="80">
        <v>825</v>
      </c>
      <c r="CH102" s="80">
        <v>917</v>
      </c>
      <c r="CI102" s="80">
        <v>703</v>
      </c>
      <c r="CJ102" s="80">
        <v>622</v>
      </c>
      <c r="CK102" s="80">
        <v>602</v>
      </c>
      <c r="CL102" s="80">
        <v>552</v>
      </c>
      <c r="CM102" s="80">
        <v>457</v>
      </c>
      <c r="CN102" s="80">
        <v>427</v>
      </c>
      <c r="CO102" s="80">
        <v>400</v>
      </c>
      <c r="CP102" s="80">
        <v>397</v>
      </c>
      <c r="CQ102" s="80">
        <v>369</v>
      </c>
      <c r="CR102" s="80">
        <v>287</v>
      </c>
      <c r="CS102" s="80">
        <v>322</v>
      </c>
      <c r="CT102" s="80">
        <v>268</v>
      </c>
      <c r="CU102" s="80">
        <v>256</v>
      </c>
      <c r="CV102" s="80">
        <v>177</v>
      </c>
      <c r="CW102" s="80">
        <v>189</v>
      </c>
      <c r="CX102" s="80">
        <v>157</v>
      </c>
      <c r="CY102" s="80">
        <v>523</v>
      </c>
      <c r="CZ102" s="81">
        <v>1109</v>
      </c>
      <c r="DA102" s="81">
        <v>1171</v>
      </c>
      <c r="DB102" s="81">
        <v>1159</v>
      </c>
      <c r="DC102" s="81">
        <v>1185</v>
      </c>
      <c r="DD102" s="81">
        <v>1232</v>
      </c>
      <c r="DE102" s="81">
        <v>1247</v>
      </c>
      <c r="DF102" s="81">
        <v>1227</v>
      </c>
      <c r="DG102" s="81">
        <v>1270</v>
      </c>
      <c r="DH102" s="81">
        <v>1281</v>
      </c>
      <c r="DI102" s="81">
        <v>1273</v>
      </c>
      <c r="DJ102" s="81">
        <v>1250</v>
      </c>
      <c r="DK102" s="81">
        <v>1234</v>
      </c>
      <c r="DL102" s="81">
        <v>1212</v>
      </c>
      <c r="DM102" s="81">
        <v>1196</v>
      </c>
      <c r="DN102" s="81">
        <v>1082</v>
      </c>
      <c r="DO102" s="81">
        <v>1063</v>
      </c>
      <c r="DP102" s="81">
        <v>1221</v>
      </c>
      <c r="DQ102" s="81">
        <v>996</v>
      </c>
      <c r="DR102" s="81">
        <v>1163</v>
      </c>
      <c r="DS102" s="81">
        <v>2256</v>
      </c>
      <c r="DT102" s="81">
        <v>2716</v>
      </c>
      <c r="DU102" s="81">
        <v>2464</v>
      </c>
      <c r="DV102" s="81">
        <v>2201</v>
      </c>
      <c r="DW102" s="81">
        <v>1960</v>
      </c>
      <c r="DX102" s="81">
        <v>1517</v>
      </c>
      <c r="DY102" s="81">
        <v>1540</v>
      </c>
      <c r="DZ102" s="81">
        <v>1758</v>
      </c>
      <c r="EA102" s="81">
        <v>1800</v>
      </c>
      <c r="EB102" s="81">
        <v>1724</v>
      </c>
      <c r="EC102" s="81">
        <v>1609</v>
      </c>
      <c r="ED102" s="81">
        <v>1572</v>
      </c>
      <c r="EE102" s="81">
        <v>1502</v>
      </c>
      <c r="EF102" s="81">
        <v>1365</v>
      </c>
      <c r="EG102" s="81">
        <v>1452</v>
      </c>
      <c r="EH102" s="81">
        <v>1581</v>
      </c>
      <c r="EI102" s="81">
        <v>1379</v>
      </c>
      <c r="EJ102" s="81">
        <v>1467</v>
      </c>
      <c r="EK102" s="81">
        <v>1399</v>
      </c>
      <c r="EL102" s="81">
        <v>1322</v>
      </c>
      <c r="EM102" s="81">
        <v>1264</v>
      </c>
      <c r="EN102" s="81">
        <v>1244</v>
      </c>
      <c r="EO102" s="81">
        <v>1160</v>
      </c>
      <c r="EP102" s="81">
        <v>1085</v>
      </c>
      <c r="EQ102" s="81">
        <v>1086</v>
      </c>
      <c r="ER102" s="81">
        <v>1144</v>
      </c>
      <c r="ES102" s="81">
        <v>1174</v>
      </c>
      <c r="ET102" s="81">
        <v>1100</v>
      </c>
      <c r="EU102" s="81">
        <v>1210</v>
      </c>
      <c r="EV102" s="81">
        <v>1260</v>
      </c>
      <c r="EW102" s="81">
        <v>1302</v>
      </c>
      <c r="EX102" s="81">
        <v>1317</v>
      </c>
      <c r="EY102" s="81">
        <v>1281</v>
      </c>
      <c r="EZ102" s="81">
        <v>1287</v>
      </c>
      <c r="FA102" s="81">
        <v>1317</v>
      </c>
      <c r="FB102" s="81">
        <v>1340</v>
      </c>
      <c r="FC102" s="81">
        <v>1372</v>
      </c>
      <c r="FD102" s="81">
        <v>1268</v>
      </c>
      <c r="FE102" s="81">
        <v>1291</v>
      </c>
      <c r="FF102" s="81">
        <v>1231</v>
      </c>
      <c r="FG102" s="81">
        <v>1172</v>
      </c>
      <c r="FH102" s="81">
        <v>1136</v>
      </c>
      <c r="FI102" s="81">
        <v>1069</v>
      </c>
      <c r="FJ102" s="81">
        <v>1028</v>
      </c>
      <c r="FK102" s="81">
        <v>969</v>
      </c>
      <c r="FL102" s="81">
        <v>920</v>
      </c>
      <c r="FM102" s="81">
        <v>898</v>
      </c>
      <c r="FN102" s="81">
        <v>846</v>
      </c>
      <c r="FO102" s="81">
        <v>828</v>
      </c>
      <c r="FP102" s="81">
        <v>790</v>
      </c>
      <c r="FQ102" s="81">
        <v>753</v>
      </c>
      <c r="FR102" s="81">
        <v>825</v>
      </c>
      <c r="FS102" s="81">
        <v>868</v>
      </c>
      <c r="FT102" s="81">
        <v>908</v>
      </c>
      <c r="FU102" s="81">
        <v>1029</v>
      </c>
      <c r="FV102" s="81">
        <v>748</v>
      </c>
      <c r="FW102" s="81">
        <v>722</v>
      </c>
      <c r="FX102" s="81">
        <v>621</v>
      </c>
      <c r="FY102" s="81">
        <v>621</v>
      </c>
      <c r="FZ102" s="81">
        <v>628</v>
      </c>
      <c r="GA102" s="81">
        <v>486</v>
      </c>
      <c r="GB102" s="81">
        <v>524</v>
      </c>
      <c r="GC102" s="81">
        <v>511</v>
      </c>
      <c r="GD102" s="81">
        <v>512</v>
      </c>
      <c r="GE102" s="81">
        <v>487</v>
      </c>
      <c r="GF102" s="81">
        <v>435</v>
      </c>
      <c r="GG102" s="81">
        <v>403</v>
      </c>
      <c r="GH102" s="81">
        <v>356</v>
      </c>
      <c r="GI102" s="81">
        <v>295</v>
      </c>
      <c r="GJ102" s="81">
        <v>318</v>
      </c>
      <c r="GK102" s="81">
        <v>248</v>
      </c>
      <c r="GL102" s="82">
        <v>1069</v>
      </c>
    </row>
    <row r="103" spans="1:194" s="1" customFormat="1" hidden="1" x14ac:dyDescent="0.2">
      <c r="A103" s="83" t="s">
        <v>220</v>
      </c>
      <c r="B103" s="262" t="s">
        <v>313</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0">
        <v>1436</v>
      </c>
      <c r="N103" s="80">
        <v>1479</v>
      </c>
      <c r="O103" s="80">
        <v>1566</v>
      </c>
      <c r="P103" s="80">
        <v>1639</v>
      </c>
      <c r="Q103" s="80">
        <v>1633</v>
      </c>
      <c r="R103" s="80">
        <v>1583</v>
      </c>
      <c r="S103" s="80">
        <v>1644</v>
      </c>
      <c r="T103" s="80">
        <v>1717</v>
      </c>
      <c r="U103" s="80">
        <v>1734</v>
      </c>
      <c r="V103" s="80">
        <v>1756</v>
      </c>
      <c r="W103" s="80">
        <v>1682</v>
      </c>
      <c r="X103" s="80">
        <v>1759</v>
      </c>
      <c r="Y103" s="80">
        <v>1733</v>
      </c>
      <c r="Z103" s="80">
        <v>1663</v>
      </c>
      <c r="AA103" s="80">
        <v>1622</v>
      </c>
      <c r="AB103" s="80">
        <v>1439</v>
      </c>
      <c r="AC103" s="80">
        <v>1585</v>
      </c>
      <c r="AD103" s="80">
        <v>1548</v>
      </c>
      <c r="AE103" s="80">
        <v>1460</v>
      </c>
      <c r="AF103" s="80">
        <v>1253</v>
      </c>
      <c r="AG103" s="80">
        <v>1328</v>
      </c>
      <c r="AH103" s="80">
        <v>1363</v>
      </c>
      <c r="AI103" s="80">
        <v>1395</v>
      </c>
      <c r="AJ103" s="80">
        <v>1601</v>
      </c>
      <c r="AK103" s="80">
        <v>1591</v>
      </c>
      <c r="AL103" s="80">
        <v>1623</v>
      </c>
      <c r="AM103" s="80">
        <v>1691</v>
      </c>
      <c r="AN103" s="80">
        <v>1656</v>
      </c>
      <c r="AO103" s="80">
        <v>1622</v>
      </c>
      <c r="AP103" s="80">
        <v>1678</v>
      </c>
      <c r="AQ103" s="80">
        <v>1666</v>
      </c>
      <c r="AR103" s="80">
        <v>1701</v>
      </c>
      <c r="AS103" s="80">
        <v>1690</v>
      </c>
      <c r="AT103" s="80">
        <v>1580</v>
      </c>
      <c r="AU103" s="80">
        <v>1598</v>
      </c>
      <c r="AV103" s="80">
        <v>1764</v>
      </c>
      <c r="AW103" s="80">
        <v>1486</v>
      </c>
      <c r="AX103" s="80">
        <v>1612</v>
      </c>
      <c r="AY103" s="80">
        <v>1579</v>
      </c>
      <c r="AZ103" s="80">
        <v>1568</v>
      </c>
      <c r="BA103" s="80">
        <v>1555</v>
      </c>
      <c r="BB103" s="80">
        <v>1444</v>
      </c>
      <c r="BC103" s="80">
        <v>1340</v>
      </c>
      <c r="BD103" s="80">
        <v>1312</v>
      </c>
      <c r="BE103" s="80">
        <v>1446</v>
      </c>
      <c r="BF103" s="80">
        <v>1408</v>
      </c>
      <c r="BG103" s="80">
        <v>1484</v>
      </c>
      <c r="BH103" s="80">
        <v>1737</v>
      </c>
      <c r="BI103" s="80">
        <v>1825</v>
      </c>
      <c r="BJ103" s="80">
        <v>1901</v>
      </c>
      <c r="BK103" s="80">
        <v>1928</v>
      </c>
      <c r="BL103" s="80">
        <v>1924</v>
      </c>
      <c r="BM103" s="80">
        <v>1888</v>
      </c>
      <c r="BN103" s="80">
        <v>1904</v>
      </c>
      <c r="BO103" s="80">
        <v>1903</v>
      </c>
      <c r="BP103" s="80">
        <v>1949</v>
      </c>
      <c r="BQ103" s="80">
        <v>1902</v>
      </c>
      <c r="BR103" s="80">
        <v>1947</v>
      </c>
      <c r="BS103" s="80">
        <v>1824</v>
      </c>
      <c r="BT103" s="80">
        <v>1774</v>
      </c>
      <c r="BU103" s="80">
        <v>1721</v>
      </c>
      <c r="BV103" s="80">
        <v>1596</v>
      </c>
      <c r="BW103" s="80">
        <v>1666</v>
      </c>
      <c r="BX103" s="80">
        <v>1536</v>
      </c>
      <c r="BY103" s="80">
        <v>1518</v>
      </c>
      <c r="BZ103" s="80">
        <v>1420</v>
      </c>
      <c r="CA103" s="80">
        <v>1443</v>
      </c>
      <c r="CB103" s="80">
        <v>1342</v>
      </c>
      <c r="CC103" s="80">
        <v>1320</v>
      </c>
      <c r="CD103" s="80">
        <v>1399</v>
      </c>
      <c r="CE103" s="80">
        <v>1353</v>
      </c>
      <c r="CF103" s="80">
        <v>1342</v>
      </c>
      <c r="CG103" s="80">
        <v>1424</v>
      </c>
      <c r="CH103" s="80">
        <v>1484</v>
      </c>
      <c r="CI103" s="80">
        <v>1154</v>
      </c>
      <c r="CJ103" s="80">
        <v>1286</v>
      </c>
      <c r="CK103" s="80">
        <v>1120</v>
      </c>
      <c r="CL103" s="80">
        <v>937</v>
      </c>
      <c r="CM103" s="80">
        <v>855</v>
      </c>
      <c r="CN103" s="80">
        <v>794</v>
      </c>
      <c r="CO103" s="80">
        <v>774</v>
      </c>
      <c r="CP103" s="80">
        <v>734</v>
      </c>
      <c r="CQ103" s="80">
        <v>663</v>
      </c>
      <c r="CR103" s="80">
        <v>604</v>
      </c>
      <c r="CS103" s="80">
        <v>530</v>
      </c>
      <c r="CT103" s="80">
        <v>448</v>
      </c>
      <c r="CU103" s="80">
        <v>384</v>
      </c>
      <c r="CV103" s="80">
        <v>323</v>
      </c>
      <c r="CW103" s="80">
        <v>248</v>
      </c>
      <c r="CX103" s="80">
        <v>203</v>
      </c>
      <c r="CY103" s="80">
        <v>628</v>
      </c>
      <c r="CZ103" s="81">
        <v>1308</v>
      </c>
      <c r="DA103" s="81">
        <v>1422</v>
      </c>
      <c r="DB103" s="81">
        <v>1509</v>
      </c>
      <c r="DC103" s="81">
        <v>1519</v>
      </c>
      <c r="DD103" s="81">
        <v>1684</v>
      </c>
      <c r="DE103" s="81">
        <v>1565</v>
      </c>
      <c r="DF103" s="81">
        <v>1682</v>
      </c>
      <c r="DG103" s="81">
        <v>1643</v>
      </c>
      <c r="DH103" s="81">
        <v>1674</v>
      </c>
      <c r="DI103" s="81">
        <v>1643</v>
      </c>
      <c r="DJ103" s="81">
        <v>1638</v>
      </c>
      <c r="DK103" s="81">
        <v>1667</v>
      </c>
      <c r="DL103" s="81">
        <v>1682</v>
      </c>
      <c r="DM103" s="81">
        <v>1557</v>
      </c>
      <c r="DN103" s="81">
        <v>1596</v>
      </c>
      <c r="DO103" s="81">
        <v>1560</v>
      </c>
      <c r="DP103" s="81">
        <v>1412</v>
      </c>
      <c r="DQ103" s="81">
        <v>1474</v>
      </c>
      <c r="DR103" s="81">
        <v>1373</v>
      </c>
      <c r="DS103" s="81">
        <v>1134</v>
      </c>
      <c r="DT103" s="81">
        <v>1149</v>
      </c>
      <c r="DU103" s="81">
        <v>1250</v>
      </c>
      <c r="DV103" s="81">
        <v>1340</v>
      </c>
      <c r="DW103" s="81">
        <v>1447</v>
      </c>
      <c r="DX103" s="81">
        <v>1468</v>
      </c>
      <c r="DY103" s="81">
        <v>1535</v>
      </c>
      <c r="DZ103" s="81">
        <v>1620</v>
      </c>
      <c r="EA103" s="81">
        <v>1520</v>
      </c>
      <c r="EB103" s="81">
        <v>1735</v>
      </c>
      <c r="EC103" s="81">
        <v>1930</v>
      </c>
      <c r="ED103" s="81">
        <v>1777</v>
      </c>
      <c r="EE103" s="81">
        <v>1718</v>
      </c>
      <c r="EF103" s="81">
        <v>1859</v>
      </c>
      <c r="EG103" s="81">
        <v>1769</v>
      </c>
      <c r="EH103" s="81">
        <v>1698</v>
      </c>
      <c r="EI103" s="81">
        <v>1721</v>
      </c>
      <c r="EJ103" s="81">
        <v>1764</v>
      </c>
      <c r="EK103" s="81">
        <v>1726</v>
      </c>
      <c r="EL103" s="81">
        <v>1723</v>
      </c>
      <c r="EM103" s="81">
        <v>1753</v>
      </c>
      <c r="EN103" s="81">
        <v>1635</v>
      </c>
      <c r="EO103" s="81">
        <v>1540</v>
      </c>
      <c r="EP103" s="81">
        <v>1421</v>
      </c>
      <c r="EQ103" s="81">
        <v>1345</v>
      </c>
      <c r="ER103" s="81">
        <v>1548</v>
      </c>
      <c r="ES103" s="81">
        <v>1520</v>
      </c>
      <c r="ET103" s="81">
        <v>1663</v>
      </c>
      <c r="EU103" s="81">
        <v>1754</v>
      </c>
      <c r="EV103" s="81">
        <v>1847</v>
      </c>
      <c r="EW103" s="81">
        <v>1881</v>
      </c>
      <c r="EX103" s="81">
        <v>1916</v>
      </c>
      <c r="EY103" s="81">
        <v>1855</v>
      </c>
      <c r="EZ103" s="81">
        <v>1987</v>
      </c>
      <c r="FA103" s="81">
        <v>1909</v>
      </c>
      <c r="FB103" s="81">
        <v>1895</v>
      </c>
      <c r="FC103" s="81">
        <v>1881</v>
      </c>
      <c r="FD103" s="81">
        <v>1900</v>
      </c>
      <c r="FE103" s="81">
        <v>1788</v>
      </c>
      <c r="FF103" s="81">
        <v>1766</v>
      </c>
      <c r="FG103" s="81">
        <v>1811</v>
      </c>
      <c r="FH103" s="81">
        <v>1766</v>
      </c>
      <c r="FI103" s="81">
        <v>1695</v>
      </c>
      <c r="FJ103" s="81">
        <v>1730</v>
      </c>
      <c r="FK103" s="81">
        <v>1593</v>
      </c>
      <c r="FL103" s="81">
        <v>1551</v>
      </c>
      <c r="FM103" s="81">
        <v>1455</v>
      </c>
      <c r="FN103" s="81">
        <v>1441</v>
      </c>
      <c r="FO103" s="81">
        <v>1490</v>
      </c>
      <c r="FP103" s="81">
        <v>1327</v>
      </c>
      <c r="FQ103" s="81">
        <v>1397</v>
      </c>
      <c r="FR103" s="81">
        <v>1477</v>
      </c>
      <c r="FS103" s="81">
        <v>1388</v>
      </c>
      <c r="FT103" s="81">
        <v>1541</v>
      </c>
      <c r="FU103" s="81">
        <v>1668</v>
      </c>
      <c r="FV103" s="81">
        <v>1290</v>
      </c>
      <c r="FW103" s="81">
        <v>1375</v>
      </c>
      <c r="FX103" s="81">
        <v>1234</v>
      </c>
      <c r="FY103" s="81">
        <v>1127</v>
      </c>
      <c r="FZ103" s="81">
        <v>1028</v>
      </c>
      <c r="GA103" s="81">
        <v>879</v>
      </c>
      <c r="GB103" s="81">
        <v>936</v>
      </c>
      <c r="GC103" s="81">
        <v>880</v>
      </c>
      <c r="GD103" s="81">
        <v>871</v>
      </c>
      <c r="GE103" s="81">
        <v>694</v>
      </c>
      <c r="GF103" s="81">
        <v>689</v>
      </c>
      <c r="GG103" s="81">
        <v>594</v>
      </c>
      <c r="GH103" s="81">
        <v>544</v>
      </c>
      <c r="GI103" s="81">
        <v>453</v>
      </c>
      <c r="GJ103" s="81">
        <v>418</v>
      </c>
      <c r="GK103" s="81">
        <v>430</v>
      </c>
      <c r="GL103" s="82">
        <v>1550</v>
      </c>
    </row>
    <row r="104" spans="1:194" s="1" customFormat="1" hidden="1" x14ac:dyDescent="0.2">
      <c r="A104" s="83" t="s">
        <v>220</v>
      </c>
      <c r="B104" s="262" t="s">
        <v>314</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0">
        <v>1782</v>
      </c>
      <c r="N104" s="80">
        <v>1844</v>
      </c>
      <c r="O104" s="80">
        <v>1816</v>
      </c>
      <c r="P104" s="80">
        <v>1805</v>
      </c>
      <c r="Q104" s="80">
        <v>1834</v>
      </c>
      <c r="R104" s="80">
        <v>1719</v>
      </c>
      <c r="S104" s="80">
        <v>1725</v>
      </c>
      <c r="T104" s="80">
        <v>1785</v>
      </c>
      <c r="U104" s="80">
        <v>1725</v>
      </c>
      <c r="V104" s="80">
        <v>1773</v>
      </c>
      <c r="W104" s="80">
        <v>1681</v>
      </c>
      <c r="X104" s="80">
        <v>1642</v>
      </c>
      <c r="Y104" s="80">
        <v>1642</v>
      </c>
      <c r="Z104" s="80">
        <v>1552</v>
      </c>
      <c r="AA104" s="80">
        <v>1532</v>
      </c>
      <c r="AB104" s="80">
        <v>1480</v>
      </c>
      <c r="AC104" s="80">
        <v>1396</v>
      </c>
      <c r="AD104" s="80">
        <v>1309</v>
      </c>
      <c r="AE104" s="80">
        <v>1378</v>
      </c>
      <c r="AF104" s="80">
        <v>1796</v>
      </c>
      <c r="AG104" s="80">
        <v>1922</v>
      </c>
      <c r="AH104" s="80">
        <v>2076</v>
      </c>
      <c r="AI104" s="80">
        <v>2031</v>
      </c>
      <c r="AJ104" s="80">
        <v>2060</v>
      </c>
      <c r="AK104" s="80">
        <v>2266</v>
      </c>
      <c r="AL104" s="80">
        <v>2232</v>
      </c>
      <c r="AM104" s="80">
        <v>2335</v>
      </c>
      <c r="AN104" s="80">
        <v>2536</v>
      </c>
      <c r="AO104" s="80">
        <v>2573</v>
      </c>
      <c r="AP104" s="80">
        <v>2690</v>
      </c>
      <c r="AQ104" s="80">
        <v>2456</v>
      </c>
      <c r="AR104" s="80">
        <v>2528</v>
      </c>
      <c r="AS104" s="80">
        <v>2419</v>
      </c>
      <c r="AT104" s="80">
        <v>2464</v>
      </c>
      <c r="AU104" s="80">
        <v>2460</v>
      </c>
      <c r="AV104" s="80">
        <v>2232</v>
      </c>
      <c r="AW104" s="80">
        <v>2201</v>
      </c>
      <c r="AX104" s="80">
        <v>2136</v>
      </c>
      <c r="AY104" s="80">
        <v>2078</v>
      </c>
      <c r="AZ104" s="80">
        <v>1952</v>
      </c>
      <c r="BA104" s="80">
        <v>1847</v>
      </c>
      <c r="BB104" s="80">
        <v>1699</v>
      </c>
      <c r="BC104" s="80">
        <v>1542</v>
      </c>
      <c r="BD104" s="80">
        <v>1370</v>
      </c>
      <c r="BE104" s="80">
        <v>1485</v>
      </c>
      <c r="BF104" s="80">
        <v>1456</v>
      </c>
      <c r="BG104" s="80">
        <v>1353</v>
      </c>
      <c r="BH104" s="80">
        <v>1406</v>
      </c>
      <c r="BI104" s="80">
        <v>1559</v>
      </c>
      <c r="BJ104" s="80">
        <v>1549</v>
      </c>
      <c r="BK104" s="80">
        <v>1464</v>
      </c>
      <c r="BL104" s="80">
        <v>1522</v>
      </c>
      <c r="BM104" s="80">
        <v>1603</v>
      </c>
      <c r="BN104" s="80">
        <v>1553</v>
      </c>
      <c r="BO104" s="80">
        <v>1628</v>
      </c>
      <c r="BP104" s="80">
        <v>1633</v>
      </c>
      <c r="BQ104" s="80">
        <v>1565</v>
      </c>
      <c r="BR104" s="80">
        <v>1509</v>
      </c>
      <c r="BS104" s="80">
        <v>1519</v>
      </c>
      <c r="BT104" s="80">
        <v>1452</v>
      </c>
      <c r="BU104" s="80">
        <v>1325</v>
      </c>
      <c r="BV104" s="80">
        <v>1352</v>
      </c>
      <c r="BW104" s="80">
        <v>1293</v>
      </c>
      <c r="BX104" s="80">
        <v>1282</v>
      </c>
      <c r="BY104" s="80">
        <v>1033</v>
      </c>
      <c r="BZ104" s="80">
        <v>1052</v>
      </c>
      <c r="CA104" s="80">
        <v>1029</v>
      </c>
      <c r="CB104" s="80">
        <v>1060</v>
      </c>
      <c r="CC104" s="80">
        <v>920</v>
      </c>
      <c r="CD104" s="80">
        <v>945</v>
      </c>
      <c r="CE104" s="80">
        <v>1022</v>
      </c>
      <c r="CF104" s="80">
        <v>1002</v>
      </c>
      <c r="CG104" s="80">
        <v>1018</v>
      </c>
      <c r="CH104" s="80">
        <v>1093</v>
      </c>
      <c r="CI104" s="80">
        <v>821</v>
      </c>
      <c r="CJ104" s="80">
        <v>727</v>
      </c>
      <c r="CK104" s="80">
        <v>654</v>
      </c>
      <c r="CL104" s="80">
        <v>670</v>
      </c>
      <c r="CM104" s="80">
        <v>579</v>
      </c>
      <c r="CN104" s="80">
        <v>516</v>
      </c>
      <c r="CO104" s="80">
        <v>476</v>
      </c>
      <c r="CP104" s="80">
        <v>517</v>
      </c>
      <c r="CQ104" s="80">
        <v>482</v>
      </c>
      <c r="CR104" s="80">
        <v>419</v>
      </c>
      <c r="CS104" s="80">
        <v>391</v>
      </c>
      <c r="CT104" s="80">
        <v>302</v>
      </c>
      <c r="CU104" s="80">
        <v>253</v>
      </c>
      <c r="CV104" s="80">
        <v>188</v>
      </c>
      <c r="CW104" s="80">
        <v>197</v>
      </c>
      <c r="CX104" s="80">
        <v>148</v>
      </c>
      <c r="CY104" s="80">
        <v>602</v>
      </c>
      <c r="CZ104" s="81">
        <v>1729</v>
      </c>
      <c r="DA104" s="81">
        <v>1739</v>
      </c>
      <c r="DB104" s="81">
        <v>1689</v>
      </c>
      <c r="DC104" s="81">
        <v>1674</v>
      </c>
      <c r="DD104" s="81">
        <v>1775</v>
      </c>
      <c r="DE104" s="81">
        <v>1700</v>
      </c>
      <c r="DF104" s="81">
        <v>1724</v>
      </c>
      <c r="DG104" s="81">
        <v>1717</v>
      </c>
      <c r="DH104" s="81">
        <v>1651</v>
      </c>
      <c r="DI104" s="81">
        <v>1675</v>
      </c>
      <c r="DJ104" s="81">
        <v>1512</v>
      </c>
      <c r="DK104" s="81">
        <v>1469</v>
      </c>
      <c r="DL104" s="81">
        <v>1487</v>
      </c>
      <c r="DM104" s="81">
        <v>1470</v>
      </c>
      <c r="DN104" s="81">
        <v>1455</v>
      </c>
      <c r="DO104" s="81">
        <v>1379</v>
      </c>
      <c r="DP104" s="81">
        <v>1347</v>
      </c>
      <c r="DQ104" s="81">
        <v>1208</v>
      </c>
      <c r="DR104" s="81">
        <v>1315</v>
      </c>
      <c r="DS104" s="81">
        <v>1822</v>
      </c>
      <c r="DT104" s="81">
        <v>1924</v>
      </c>
      <c r="DU104" s="81">
        <v>2032</v>
      </c>
      <c r="DV104" s="81">
        <v>2051</v>
      </c>
      <c r="DW104" s="81">
        <v>1979</v>
      </c>
      <c r="DX104" s="81">
        <v>2332</v>
      </c>
      <c r="DY104" s="81">
        <v>2334</v>
      </c>
      <c r="DZ104" s="81">
        <v>2346</v>
      </c>
      <c r="EA104" s="81">
        <v>2325</v>
      </c>
      <c r="EB104" s="81">
        <v>2408</v>
      </c>
      <c r="EC104" s="81">
        <v>2346</v>
      </c>
      <c r="ED104" s="81">
        <v>2150</v>
      </c>
      <c r="EE104" s="81">
        <v>2208</v>
      </c>
      <c r="EF104" s="81">
        <v>2180</v>
      </c>
      <c r="EG104" s="81">
        <v>2111</v>
      </c>
      <c r="EH104" s="81">
        <v>2080</v>
      </c>
      <c r="EI104" s="81">
        <v>2033</v>
      </c>
      <c r="EJ104" s="81">
        <v>2093</v>
      </c>
      <c r="EK104" s="81">
        <v>1999</v>
      </c>
      <c r="EL104" s="81">
        <v>1831</v>
      </c>
      <c r="EM104" s="81">
        <v>1754</v>
      </c>
      <c r="EN104" s="81">
        <v>1675</v>
      </c>
      <c r="EO104" s="81">
        <v>1630</v>
      </c>
      <c r="EP104" s="81">
        <v>1387</v>
      </c>
      <c r="EQ104" s="81">
        <v>1328</v>
      </c>
      <c r="ER104" s="81">
        <v>1458</v>
      </c>
      <c r="ES104" s="81">
        <v>1404</v>
      </c>
      <c r="ET104" s="81">
        <v>1361</v>
      </c>
      <c r="EU104" s="81">
        <v>1437</v>
      </c>
      <c r="EV104" s="81">
        <v>1537</v>
      </c>
      <c r="EW104" s="81">
        <v>1573</v>
      </c>
      <c r="EX104" s="81">
        <v>1519</v>
      </c>
      <c r="EY104" s="81">
        <v>1645</v>
      </c>
      <c r="EZ104" s="81">
        <v>1628</v>
      </c>
      <c r="FA104" s="81">
        <v>1518</v>
      </c>
      <c r="FB104" s="81">
        <v>1537</v>
      </c>
      <c r="FC104" s="81">
        <v>1545</v>
      </c>
      <c r="FD104" s="81">
        <v>1484</v>
      </c>
      <c r="FE104" s="81">
        <v>1479</v>
      </c>
      <c r="FF104" s="81">
        <v>1473</v>
      </c>
      <c r="FG104" s="81">
        <v>1339</v>
      </c>
      <c r="FH104" s="81">
        <v>1292</v>
      </c>
      <c r="FI104" s="81">
        <v>1327</v>
      </c>
      <c r="FJ104" s="81">
        <v>1228</v>
      </c>
      <c r="FK104" s="81">
        <v>1262</v>
      </c>
      <c r="FL104" s="81">
        <v>1091</v>
      </c>
      <c r="FM104" s="81">
        <v>927</v>
      </c>
      <c r="FN104" s="81">
        <v>1060</v>
      </c>
      <c r="FO104" s="81">
        <v>945</v>
      </c>
      <c r="FP104" s="81">
        <v>978</v>
      </c>
      <c r="FQ104" s="81">
        <v>1010</v>
      </c>
      <c r="FR104" s="81">
        <v>1045</v>
      </c>
      <c r="FS104" s="81">
        <v>965</v>
      </c>
      <c r="FT104" s="81">
        <v>1041</v>
      </c>
      <c r="FU104" s="81">
        <v>1230</v>
      </c>
      <c r="FV104" s="81">
        <v>828</v>
      </c>
      <c r="FW104" s="81">
        <v>818</v>
      </c>
      <c r="FX104" s="81">
        <v>827</v>
      </c>
      <c r="FY104" s="81">
        <v>769</v>
      </c>
      <c r="FZ104" s="81">
        <v>714</v>
      </c>
      <c r="GA104" s="81">
        <v>662</v>
      </c>
      <c r="GB104" s="81">
        <v>645</v>
      </c>
      <c r="GC104" s="81">
        <v>596</v>
      </c>
      <c r="GD104" s="81">
        <v>590</v>
      </c>
      <c r="GE104" s="81">
        <v>504</v>
      </c>
      <c r="GF104" s="81">
        <v>526</v>
      </c>
      <c r="GG104" s="81">
        <v>421</v>
      </c>
      <c r="GH104" s="81">
        <v>386</v>
      </c>
      <c r="GI104" s="81">
        <v>328</v>
      </c>
      <c r="GJ104" s="81">
        <v>300</v>
      </c>
      <c r="GK104" s="81">
        <v>279</v>
      </c>
      <c r="GL104" s="82">
        <v>1148</v>
      </c>
    </row>
    <row r="105" spans="1:194" s="1" customFormat="1" hidden="1" x14ac:dyDescent="0.2">
      <c r="A105" s="83" t="s">
        <v>220</v>
      </c>
      <c r="B105" s="262" t="s">
        <v>315</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0">
        <v>3026</v>
      </c>
      <c r="N105" s="80">
        <v>3123</v>
      </c>
      <c r="O105" s="80">
        <v>3218</v>
      </c>
      <c r="P105" s="80">
        <v>3375</v>
      </c>
      <c r="Q105" s="80">
        <v>3452</v>
      </c>
      <c r="R105" s="80">
        <v>3482</v>
      </c>
      <c r="S105" s="80">
        <v>3363</v>
      </c>
      <c r="T105" s="80">
        <v>3482</v>
      </c>
      <c r="U105" s="80">
        <v>3633</v>
      </c>
      <c r="V105" s="80">
        <v>3440</v>
      </c>
      <c r="W105" s="80">
        <v>3555</v>
      </c>
      <c r="X105" s="80">
        <v>3575</v>
      </c>
      <c r="Y105" s="80">
        <v>3517</v>
      </c>
      <c r="Z105" s="80">
        <v>3441</v>
      </c>
      <c r="AA105" s="80">
        <v>3465</v>
      </c>
      <c r="AB105" s="80">
        <v>3378</v>
      </c>
      <c r="AC105" s="80">
        <v>3218</v>
      </c>
      <c r="AD105" s="80">
        <v>3130</v>
      </c>
      <c r="AE105" s="80">
        <v>3516</v>
      </c>
      <c r="AF105" s="80">
        <v>5489</v>
      </c>
      <c r="AG105" s="80">
        <v>6617</v>
      </c>
      <c r="AH105" s="80">
        <v>6873</v>
      </c>
      <c r="AI105" s="80">
        <v>6695</v>
      </c>
      <c r="AJ105" s="80">
        <v>6041</v>
      </c>
      <c r="AK105" s="80">
        <v>5540</v>
      </c>
      <c r="AL105" s="80">
        <v>5138</v>
      </c>
      <c r="AM105" s="80">
        <v>5501</v>
      </c>
      <c r="AN105" s="80">
        <v>5695</v>
      </c>
      <c r="AO105" s="80">
        <v>5722</v>
      </c>
      <c r="AP105" s="80">
        <v>5302</v>
      </c>
      <c r="AQ105" s="80">
        <v>4980</v>
      </c>
      <c r="AR105" s="80">
        <v>4349</v>
      </c>
      <c r="AS105" s="80">
        <v>4236</v>
      </c>
      <c r="AT105" s="80">
        <v>3743</v>
      </c>
      <c r="AU105" s="80">
        <v>3953</v>
      </c>
      <c r="AV105" s="80">
        <v>3648</v>
      </c>
      <c r="AW105" s="80">
        <v>3413</v>
      </c>
      <c r="AX105" s="80">
        <v>3331</v>
      </c>
      <c r="AY105" s="80">
        <v>3311</v>
      </c>
      <c r="AZ105" s="80">
        <v>3483</v>
      </c>
      <c r="BA105" s="80">
        <v>3675</v>
      </c>
      <c r="BB105" s="80">
        <v>3577</v>
      </c>
      <c r="BC105" s="80">
        <v>3244</v>
      </c>
      <c r="BD105" s="80">
        <v>3159</v>
      </c>
      <c r="BE105" s="80">
        <v>3091</v>
      </c>
      <c r="BF105" s="80">
        <v>3314</v>
      </c>
      <c r="BG105" s="80">
        <v>3230</v>
      </c>
      <c r="BH105" s="80">
        <v>3200</v>
      </c>
      <c r="BI105" s="80">
        <v>3469</v>
      </c>
      <c r="BJ105" s="80">
        <v>3578</v>
      </c>
      <c r="BK105" s="80">
        <v>3660</v>
      </c>
      <c r="BL105" s="80">
        <v>3701</v>
      </c>
      <c r="BM105" s="80">
        <v>3832</v>
      </c>
      <c r="BN105" s="80">
        <v>3720</v>
      </c>
      <c r="BO105" s="80">
        <v>3615</v>
      </c>
      <c r="BP105" s="80">
        <v>3531</v>
      </c>
      <c r="BQ105" s="80">
        <v>3420</v>
      </c>
      <c r="BR105" s="80">
        <v>3475</v>
      </c>
      <c r="BS105" s="80">
        <v>3327</v>
      </c>
      <c r="BT105" s="80">
        <v>3173</v>
      </c>
      <c r="BU105" s="80">
        <v>3111</v>
      </c>
      <c r="BV105" s="80">
        <v>2904</v>
      </c>
      <c r="BW105" s="80">
        <v>2968</v>
      </c>
      <c r="BX105" s="80">
        <v>2794</v>
      </c>
      <c r="BY105" s="80">
        <v>2552</v>
      </c>
      <c r="BZ105" s="80">
        <v>2470</v>
      </c>
      <c r="CA105" s="80">
        <v>2416</v>
      </c>
      <c r="CB105" s="80">
        <v>2434</v>
      </c>
      <c r="CC105" s="80">
        <v>2221</v>
      </c>
      <c r="CD105" s="80">
        <v>2225</v>
      </c>
      <c r="CE105" s="80">
        <v>2251</v>
      </c>
      <c r="CF105" s="80">
        <v>2339</v>
      </c>
      <c r="CG105" s="80">
        <v>2503</v>
      </c>
      <c r="CH105" s="80">
        <v>2581</v>
      </c>
      <c r="CI105" s="80">
        <v>1966</v>
      </c>
      <c r="CJ105" s="80">
        <v>1969</v>
      </c>
      <c r="CK105" s="80">
        <v>2038</v>
      </c>
      <c r="CL105" s="80">
        <v>1719</v>
      </c>
      <c r="CM105" s="80">
        <v>1479</v>
      </c>
      <c r="CN105" s="80">
        <v>1311</v>
      </c>
      <c r="CO105" s="80">
        <v>1427</v>
      </c>
      <c r="CP105" s="80">
        <v>1295</v>
      </c>
      <c r="CQ105" s="80">
        <v>1220</v>
      </c>
      <c r="CR105" s="80">
        <v>1136</v>
      </c>
      <c r="CS105" s="80">
        <v>1025</v>
      </c>
      <c r="CT105" s="80">
        <v>897</v>
      </c>
      <c r="CU105" s="80">
        <v>777</v>
      </c>
      <c r="CV105" s="80">
        <v>580</v>
      </c>
      <c r="CW105" s="80">
        <v>530</v>
      </c>
      <c r="CX105" s="80">
        <v>486</v>
      </c>
      <c r="CY105" s="80">
        <v>1651</v>
      </c>
      <c r="CZ105" s="81">
        <v>2896</v>
      </c>
      <c r="DA105" s="81">
        <v>2972</v>
      </c>
      <c r="DB105" s="81">
        <v>3185</v>
      </c>
      <c r="DC105" s="81">
        <v>3268</v>
      </c>
      <c r="DD105" s="81">
        <v>3262</v>
      </c>
      <c r="DE105" s="81">
        <v>3125</v>
      </c>
      <c r="DF105" s="81">
        <v>3225</v>
      </c>
      <c r="DG105" s="81">
        <v>3331</v>
      </c>
      <c r="DH105" s="81">
        <v>3514</v>
      </c>
      <c r="DI105" s="81">
        <v>3234</v>
      </c>
      <c r="DJ105" s="81">
        <v>3390</v>
      </c>
      <c r="DK105" s="81">
        <v>3344</v>
      </c>
      <c r="DL105" s="81">
        <v>3312</v>
      </c>
      <c r="DM105" s="81">
        <v>3293</v>
      </c>
      <c r="DN105" s="81">
        <v>3169</v>
      </c>
      <c r="DO105" s="81">
        <v>3071</v>
      </c>
      <c r="DP105" s="81">
        <v>3047</v>
      </c>
      <c r="DQ105" s="81">
        <v>2887</v>
      </c>
      <c r="DR105" s="81">
        <v>3360</v>
      </c>
      <c r="DS105" s="81">
        <v>5476</v>
      </c>
      <c r="DT105" s="81">
        <v>6546</v>
      </c>
      <c r="DU105" s="81">
        <v>6453</v>
      </c>
      <c r="DV105" s="81">
        <v>6113</v>
      </c>
      <c r="DW105" s="81">
        <v>5552</v>
      </c>
      <c r="DX105" s="81">
        <v>4799</v>
      </c>
      <c r="DY105" s="81">
        <v>4756</v>
      </c>
      <c r="DZ105" s="81">
        <v>4836</v>
      </c>
      <c r="EA105" s="81">
        <v>5618</v>
      </c>
      <c r="EB105" s="81">
        <v>5540</v>
      </c>
      <c r="EC105" s="81">
        <v>4939</v>
      </c>
      <c r="ED105" s="81">
        <v>4704</v>
      </c>
      <c r="EE105" s="81">
        <v>4126</v>
      </c>
      <c r="EF105" s="81">
        <v>4327</v>
      </c>
      <c r="EG105" s="81">
        <v>3936</v>
      </c>
      <c r="EH105" s="81">
        <v>3699</v>
      </c>
      <c r="EI105" s="81">
        <v>3752</v>
      </c>
      <c r="EJ105" s="81">
        <v>3665</v>
      </c>
      <c r="EK105" s="81">
        <v>3467</v>
      </c>
      <c r="EL105" s="81">
        <v>3528</v>
      </c>
      <c r="EM105" s="81">
        <v>3537</v>
      </c>
      <c r="EN105" s="81">
        <v>3559</v>
      </c>
      <c r="EO105" s="81">
        <v>3384</v>
      </c>
      <c r="EP105" s="81">
        <v>3016</v>
      </c>
      <c r="EQ105" s="81">
        <v>3106</v>
      </c>
      <c r="ER105" s="81">
        <v>3079</v>
      </c>
      <c r="ES105" s="81">
        <v>3061</v>
      </c>
      <c r="ET105" s="81">
        <v>3216</v>
      </c>
      <c r="EU105" s="81">
        <v>3403</v>
      </c>
      <c r="EV105" s="81">
        <v>3659</v>
      </c>
      <c r="EW105" s="81">
        <v>3890</v>
      </c>
      <c r="EX105" s="81">
        <v>3855</v>
      </c>
      <c r="EY105" s="81">
        <v>3850</v>
      </c>
      <c r="EZ105" s="81">
        <v>3708</v>
      </c>
      <c r="FA105" s="81">
        <v>3664</v>
      </c>
      <c r="FB105" s="81">
        <v>3622</v>
      </c>
      <c r="FC105" s="81">
        <v>3455</v>
      </c>
      <c r="FD105" s="81">
        <v>3380</v>
      </c>
      <c r="FE105" s="81">
        <v>3397</v>
      </c>
      <c r="FF105" s="81">
        <v>3460</v>
      </c>
      <c r="FG105" s="81">
        <v>3263</v>
      </c>
      <c r="FH105" s="81">
        <v>3094</v>
      </c>
      <c r="FI105" s="81">
        <v>3037</v>
      </c>
      <c r="FJ105" s="81">
        <v>2912</v>
      </c>
      <c r="FK105" s="81">
        <v>2743</v>
      </c>
      <c r="FL105" s="81">
        <v>2664</v>
      </c>
      <c r="FM105" s="81">
        <v>2623</v>
      </c>
      <c r="FN105" s="81">
        <v>2606</v>
      </c>
      <c r="FO105" s="81">
        <v>2538</v>
      </c>
      <c r="FP105" s="81">
        <v>2494</v>
      </c>
      <c r="FQ105" s="81">
        <v>2473</v>
      </c>
      <c r="FR105" s="81">
        <v>2447</v>
      </c>
      <c r="FS105" s="81">
        <v>2477</v>
      </c>
      <c r="FT105" s="81">
        <v>2690</v>
      </c>
      <c r="FU105" s="81">
        <v>2864</v>
      </c>
      <c r="FV105" s="81">
        <v>2366</v>
      </c>
      <c r="FW105" s="81">
        <v>2330</v>
      </c>
      <c r="FX105" s="81">
        <v>2294</v>
      </c>
      <c r="FY105" s="81">
        <v>1990</v>
      </c>
      <c r="FZ105" s="81">
        <v>1831</v>
      </c>
      <c r="GA105" s="81">
        <v>1672</v>
      </c>
      <c r="GB105" s="81">
        <v>1692</v>
      </c>
      <c r="GC105" s="81">
        <v>1681</v>
      </c>
      <c r="GD105" s="81">
        <v>1658</v>
      </c>
      <c r="GE105" s="81">
        <v>1417</v>
      </c>
      <c r="GF105" s="81">
        <v>1385</v>
      </c>
      <c r="GG105" s="81">
        <v>1326</v>
      </c>
      <c r="GH105" s="81">
        <v>1154</v>
      </c>
      <c r="GI105" s="81">
        <v>1046</v>
      </c>
      <c r="GJ105" s="81">
        <v>915</v>
      </c>
      <c r="GK105" s="81">
        <v>799</v>
      </c>
      <c r="GL105" s="82">
        <v>3000</v>
      </c>
    </row>
    <row r="106" spans="1:194" s="1" customFormat="1" hidden="1" x14ac:dyDescent="0.2">
      <c r="A106" s="83" t="s">
        <v>220</v>
      </c>
      <c r="B106" s="262" t="s">
        <v>316</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0">
        <v>2465</v>
      </c>
      <c r="N106" s="80">
        <v>2447</v>
      </c>
      <c r="O106" s="80">
        <v>2594</v>
      </c>
      <c r="P106" s="80">
        <v>2801</v>
      </c>
      <c r="Q106" s="80">
        <v>2896</v>
      </c>
      <c r="R106" s="80">
        <v>2797</v>
      </c>
      <c r="S106" s="80">
        <v>2959</v>
      </c>
      <c r="T106" s="80">
        <v>3035</v>
      </c>
      <c r="U106" s="80">
        <v>2989</v>
      </c>
      <c r="V106" s="80">
        <v>3066</v>
      </c>
      <c r="W106" s="80">
        <v>3175</v>
      </c>
      <c r="X106" s="80">
        <v>3121</v>
      </c>
      <c r="Y106" s="80">
        <v>3091</v>
      </c>
      <c r="Z106" s="80">
        <v>3113</v>
      </c>
      <c r="AA106" s="80">
        <v>2959</v>
      </c>
      <c r="AB106" s="80">
        <v>2924</v>
      </c>
      <c r="AC106" s="80">
        <v>2764</v>
      </c>
      <c r="AD106" s="80">
        <v>2739</v>
      </c>
      <c r="AE106" s="80">
        <v>2735</v>
      </c>
      <c r="AF106" s="80">
        <v>2412</v>
      </c>
      <c r="AG106" s="80">
        <v>2480</v>
      </c>
      <c r="AH106" s="80">
        <v>2465</v>
      </c>
      <c r="AI106" s="80">
        <v>2570</v>
      </c>
      <c r="AJ106" s="80">
        <v>2822</v>
      </c>
      <c r="AK106" s="80">
        <v>2819</v>
      </c>
      <c r="AL106" s="80">
        <v>2833</v>
      </c>
      <c r="AM106" s="80">
        <v>2959</v>
      </c>
      <c r="AN106" s="80">
        <v>2761</v>
      </c>
      <c r="AO106" s="80">
        <v>2972</v>
      </c>
      <c r="AP106" s="80">
        <v>3137</v>
      </c>
      <c r="AQ106" s="80">
        <v>2968</v>
      </c>
      <c r="AR106" s="80">
        <v>3162</v>
      </c>
      <c r="AS106" s="80">
        <v>2884</v>
      </c>
      <c r="AT106" s="80">
        <v>2955</v>
      </c>
      <c r="AU106" s="80">
        <v>3093</v>
      </c>
      <c r="AV106" s="80">
        <v>3105</v>
      </c>
      <c r="AW106" s="80">
        <v>2872</v>
      </c>
      <c r="AX106" s="80">
        <v>3096</v>
      </c>
      <c r="AY106" s="80">
        <v>2845</v>
      </c>
      <c r="AZ106" s="80">
        <v>2916</v>
      </c>
      <c r="BA106" s="80">
        <v>3002</v>
      </c>
      <c r="BB106" s="80">
        <v>2781</v>
      </c>
      <c r="BC106" s="80">
        <v>2792</v>
      </c>
      <c r="BD106" s="80">
        <v>2732</v>
      </c>
      <c r="BE106" s="80">
        <v>2791</v>
      </c>
      <c r="BF106" s="80">
        <v>2980</v>
      </c>
      <c r="BG106" s="80">
        <v>2995</v>
      </c>
      <c r="BH106" s="80">
        <v>3229</v>
      </c>
      <c r="BI106" s="80">
        <v>3473</v>
      </c>
      <c r="BJ106" s="80">
        <v>3754</v>
      </c>
      <c r="BK106" s="80">
        <v>3567</v>
      </c>
      <c r="BL106" s="80">
        <v>3751</v>
      </c>
      <c r="BM106" s="80">
        <v>3763</v>
      </c>
      <c r="BN106" s="80">
        <v>3891</v>
      </c>
      <c r="BO106" s="80">
        <v>3834</v>
      </c>
      <c r="BP106" s="80">
        <v>3797</v>
      </c>
      <c r="BQ106" s="80">
        <v>3824</v>
      </c>
      <c r="BR106" s="80">
        <v>3875</v>
      </c>
      <c r="BS106" s="80">
        <v>3836</v>
      </c>
      <c r="BT106" s="80">
        <v>3544</v>
      </c>
      <c r="BU106" s="80">
        <v>3326</v>
      </c>
      <c r="BV106" s="80">
        <v>3287</v>
      </c>
      <c r="BW106" s="80">
        <v>3183</v>
      </c>
      <c r="BX106" s="80">
        <v>3093</v>
      </c>
      <c r="BY106" s="80">
        <v>2986</v>
      </c>
      <c r="BZ106" s="80">
        <v>3033</v>
      </c>
      <c r="CA106" s="80">
        <v>3072</v>
      </c>
      <c r="CB106" s="80">
        <v>2911</v>
      </c>
      <c r="CC106" s="80">
        <v>2991</v>
      </c>
      <c r="CD106" s="80">
        <v>2812</v>
      </c>
      <c r="CE106" s="80">
        <v>2875</v>
      </c>
      <c r="CF106" s="80">
        <v>2999</v>
      </c>
      <c r="CG106" s="80">
        <v>3078</v>
      </c>
      <c r="CH106" s="80">
        <v>3144</v>
      </c>
      <c r="CI106" s="80">
        <v>2578</v>
      </c>
      <c r="CJ106" s="80">
        <v>2444</v>
      </c>
      <c r="CK106" s="80">
        <v>2493</v>
      </c>
      <c r="CL106" s="80">
        <v>2194</v>
      </c>
      <c r="CM106" s="80">
        <v>1836</v>
      </c>
      <c r="CN106" s="80">
        <v>1689</v>
      </c>
      <c r="CO106" s="80">
        <v>1630</v>
      </c>
      <c r="CP106" s="80">
        <v>1441</v>
      </c>
      <c r="CQ106" s="80">
        <v>1391</v>
      </c>
      <c r="CR106" s="80">
        <v>1308</v>
      </c>
      <c r="CS106" s="80">
        <v>1077</v>
      </c>
      <c r="CT106" s="80">
        <v>985</v>
      </c>
      <c r="CU106" s="80">
        <v>888</v>
      </c>
      <c r="CV106" s="80">
        <v>669</v>
      </c>
      <c r="CW106" s="80">
        <v>632</v>
      </c>
      <c r="CX106" s="80">
        <v>515</v>
      </c>
      <c r="CY106" s="80">
        <v>1647</v>
      </c>
      <c r="CZ106" s="81">
        <v>2188</v>
      </c>
      <c r="DA106" s="81">
        <v>2381</v>
      </c>
      <c r="DB106" s="81">
        <v>2543</v>
      </c>
      <c r="DC106" s="81">
        <v>2612</v>
      </c>
      <c r="DD106" s="81">
        <v>2650</v>
      </c>
      <c r="DE106" s="81">
        <v>2596</v>
      </c>
      <c r="DF106" s="81">
        <v>2732</v>
      </c>
      <c r="DG106" s="81">
        <v>2770</v>
      </c>
      <c r="DH106" s="81">
        <v>3011</v>
      </c>
      <c r="DI106" s="81">
        <v>2989</v>
      </c>
      <c r="DJ106" s="81">
        <v>3048</v>
      </c>
      <c r="DK106" s="81">
        <v>2866</v>
      </c>
      <c r="DL106" s="81">
        <v>3108</v>
      </c>
      <c r="DM106" s="81">
        <v>2947</v>
      </c>
      <c r="DN106" s="81">
        <v>2943</v>
      </c>
      <c r="DO106" s="81">
        <v>2870</v>
      </c>
      <c r="DP106" s="81">
        <v>2893</v>
      </c>
      <c r="DQ106" s="81">
        <v>2857</v>
      </c>
      <c r="DR106" s="81">
        <v>2662</v>
      </c>
      <c r="DS106" s="81">
        <v>2241</v>
      </c>
      <c r="DT106" s="81">
        <v>2193</v>
      </c>
      <c r="DU106" s="81">
        <v>2171</v>
      </c>
      <c r="DV106" s="81">
        <v>2444</v>
      </c>
      <c r="DW106" s="81">
        <v>2688</v>
      </c>
      <c r="DX106" s="81">
        <v>2417</v>
      </c>
      <c r="DY106" s="81">
        <v>2830</v>
      </c>
      <c r="DZ106" s="81">
        <v>2700</v>
      </c>
      <c r="EA106" s="81">
        <v>2623</v>
      </c>
      <c r="EB106" s="81">
        <v>2747</v>
      </c>
      <c r="EC106" s="81">
        <v>2747</v>
      </c>
      <c r="ED106" s="81">
        <v>2778</v>
      </c>
      <c r="EE106" s="81">
        <v>2885</v>
      </c>
      <c r="EF106" s="81">
        <v>2939</v>
      </c>
      <c r="EG106" s="81">
        <v>2955</v>
      </c>
      <c r="EH106" s="81">
        <v>2953</v>
      </c>
      <c r="EI106" s="81">
        <v>2986</v>
      </c>
      <c r="EJ106" s="81">
        <v>2901</v>
      </c>
      <c r="EK106" s="81">
        <v>2978</v>
      </c>
      <c r="EL106" s="81">
        <v>2893</v>
      </c>
      <c r="EM106" s="81">
        <v>3016</v>
      </c>
      <c r="EN106" s="81">
        <v>3104</v>
      </c>
      <c r="EO106" s="81">
        <v>3006</v>
      </c>
      <c r="EP106" s="81">
        <v>2696</v>
      </c>
      <c r="EQ106" s="81">
        <v>2703</v>
      </c>
      <c r="ER106" s="81">
        <v>2660</v>
      </c>
      <c r="ES106" s="81">
        <v>2984</v>
      </c>
      <c r="ET106" s="81">
        <v>3090</v>
      </c>
      <c r="EU106" s="81">
        <v>3276</v>
      </c>
      <c r="EV106" s="81">
        <v>3523</v>
      </c>
      <c r="EW106" s="81">
        <v>3727</v>
      </c>
      <c r="EX106" s="81">
        <v>3542</v>
      </c>
      <c r="EY106" s="81">
        <v>3751</v>
      </c>
      <c r="EZ106" s="81">
        <v>3806</v>
      </c>
      <c r="FA106" s="81">
        <v>3737</v>
      </c>
      <c r="FB106" s="81">
        <v>3972</v>
      </c>
      <c r="FC106" s="81">
        <v>3962</v>
      </c>
      <c r="FD106" s="81">
        <v>3860</v>
      </c>
      <c r="FE106" s="81">
        <v>3824</v>
      </c>
      <c r="FF106" s="81">
        <v>3612</v>
      </c>
      <c r="FG106" s="81">
        <v>3676</v>
      </c>
      <c r="FH106" s="81">
        <v>3558</v>
      </c>
      <c r="FI106" s="81">
        <v>3472</v>
      </c>
      <c r="FJ106" s="81">
        <v>3339</v>
      </c>
      <c r="FK106" s="81">
        <v>3113</v>
      </c>
      <c r="FL106" s="81">
        <v>3156</v>
      </c>
      <c r="FM106" s="81">
        <v>3184</v>
      </c>
      <c r="FN106" s="81">
        <v>3186</v>
      </c>
      <c r="FO106" s="81">
        <v>3128</v>
      </c>
      <c r="FP106" s="81">
        <v>3079</v>
      </c>
      <c r="FQ106" s="81">
        <v>3057</v>
      </c>
      <c r="FR106" s="81">
        <v>3122</v>
      </c>
      <c r="FS106" s="81">
        <v>3226</v>
      </c>
      <c r="FT106" s="81">
        <v>3305</v>
      </c>
      <c r="FU106" s="81">
        <v>3494</v>
      </c>
      <c r="FV106" s="81">
        <v>2845</v>
      </c>
      <c r="FW106" s="81">
        <v>2633</v>
      </c>
      <c r="FX106" s="81">
        <v>2703</v>
      </c>
      <c r="FY106" s="81">
        <v>2421</v>
      </c>
      <c r="FZ106" s="81">
        <v>2217</v>
      </c>
      <c r="GA106" s="81">
        <v>1883</v>
      </c>
      <c r="GB106" s="81">
        <v>1897</v>
      </c>
      <c r="GC106" s="81">
        <v>1870</v>
      </c>
      <c r="GD106" s="81">
        <v>1687</v>
      </c>
      <c r="GE106" s="81">
        <v>1616</v>
      </c>
      <c r="GF106" s="81">
        <v>1379</v>
      </c>
      <c r="GG106" s="81">
        <v>1281</v>
      </c>
      <c r="GH106" s="81">
        <v>1108</v>
      </c>
      <c r="GI106" s="81">
        <v>1085</v>
      </c>
      <c r="GJ106" s="81">
        <v>938</v>
      </c>
      <c r="GK106" s="81">
        <v>811</v>
      </c>
      <c r="GL106" s="82">
        <v>3468</v>
      </c>
    </row>
    <row r="107" spans="1:194" s="1" customFormat="1" hidden="1" x14ac:dyDescent="0.2">
      <c r="A107" s="83" t="s">
        <v>220</v>
      </c>
      <c r="B107" s="262" t="s">
        <v>317</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0">
        <v>2631</v>
      </c>
      <c r="N107" s="80">
        <v>2709</v>
      </c>
      <c r="O107" s="80">
        <v>2796</v>
      </c>
      <c r="P107" s="80">
        <v>2960</v>
      </c>
      <c r="Q107" s="80">
        <v>3122</v>
      </c>
      <c r="R107" s="80">
        <v>3186</v>
      </c>
      <c r="S107" s="80">
        <v>3169</v>
      </c>
      <c r="T107" s="80">
        <v>3252</v>
      </c>
      <c r="U107" s="80">
        <v>3331</v>
      </c>
      <c r="V107" s="80">
        <v>3322</v>
      </c>
      <c r="W107" s="80">
        <v>3346</v>
      </c>
      <c r="X107" s="80">
        <v>3402</v>
      </c>
      <c r="Y107" s="80">
        <v>3441</v>
      </c>
      <c r="Z107" s="80">
        <v>3359</v>
      </c>
      <c r="AA107" s="80">
        <v>3234</v>
      </c>
      <c r="AB107" s="80">
        <v>3204</v>
      </c>
      <c r="AC107" s="80">
        <v>3205</v>
      </c>
      <c r="AD107" s="80">
        <v>3188</v>
      </c>
      <c r="AE107" s="80">
        <v>2960</v>
      </c>
      <c r="AF107" s="80">
        <v>2378</v>
      </c>
      <c r="AG107" s="80">
        <v>2334</v>
      </c>
      <c r="AH107" s="80">
        <v>2381</v>
      </c>
      <c r="AI107" s="80">
        <v>2601</v>
      </c>
      <c r="AJ107" s="80">
        <v>2778</v>
      </c>
      <c r="AK107" s="80">
        <v>2915</v>
      </c>
      <c r="AL107" s="80">
        <v>2769</v>
      </c>
      <c r="AM107" s="80">
        <v>3023</v>
      </c>
      <c r="AN107" s="80">
        <v>2783</v>
      </c>
      <c r="AO107" s="80">
        <v>2879</v>
      </c>
      <c r="AP107" s="80">
        <v>2802</v>
      </c>
      <c r="AQ107" s="80">
        <v>3024</v>
      </c>
      <c r="AR107" s="80">
        <v>3052</v>
      </c>
      <c r="AS107" s="80">
        <v>3067</v>
      </c>
      <c r="AT107" s="80">
        <v>2930</v>
      </c>
      <c r="AU107" s="80">
        <v>2962</v>
      </c>
      <c r="AV107" s="80">
        <v>2991</v>
      </c>
      <c r="AW107" s="80">
        <v>2864</v>
      </c>
      <c r="AX107" s="80">
        <v>3047</v>
      </c>
      <c r="AY107" s="80">
        <v>2906</v>
      </c>
      <c r="AZ107" s="80">
        <v>2874</v>
      </c>
      <c r="BA107" s="80">
        <v>2799</v>
      </c>
      <c r="BB107" s="80">
        <v>2881</v>
      </c>
      <c r="BC107" s="80">
        <v>2771</v>
      </c>
      <c r="BD107" s="80">
        <v>2728</v>
      </c>
      <c r="BE107" s="80">
        <v>2795</v>
      </c>
      <c r="BF107" s="80">
        <v>2975</v>
      </c>
      <c r="BG107" s="80">
        <v>3071</v>
      </c>
      <c r="BH107" s="80">
        <v>3352</v>
      </c>
      <c r="BI107" s="80">
        <v>3573</v>
      </c>
      <c r="BJ107" s="80">
        <v>3827</v>
      </c>
      <c r="BK107" s="80">
        <v>3812</v>
      </c>
      <c r="BL107" s="80">
        <v>3913</v>
      </c>
      <c r="BM107" s="80">
        <v>4051</v>
      </c>
      <c r="BN107" s="80">
        <v>4055</v>
      </c>
      <c r="BO107" s="80">
        <v>4153</v>
      </c>
      <c r="BP107" s="80">
        <v>4252</v>
      </c>
      <c r="BQ107" s="80">
        <v>4238</v>
      </c>
      <c r="BR107" s="80">
        <v>4098</v>
      </c>
      <c r="BS107" s="80">
        <v>4118</v>
      </c>
      <c r="BT107" s="80">
        <v>4143</v>
      </c>
      <c r="BU107" s="80">
        <v>3900</v>
      </c>
      <c r="BV107" s="80">
        <v>3898</v>
      </c>
      <c r="BW107" s="80">
        <v>3761</v>
      </c>
      <c r="BX107" s="80">
        <v>3698</v>
      </c>
      <c r="BY107" s="80">
        <v>3571</v>
      </c>
      <c r="BZ107" s="80">
        <v>3475</v>
      </c>
      <c r="CA107" s="80">
        <v>3616</v>
      </c>
      <c r="CB107" s="80">
        <v>3614</v>
      </c>
      <c r="CC107" s="80">
        <v>3598</v>
      </c>
      <c r="CD107" s="80">
        <v>3746</v>
      </c>
      <c r="CE107" s="80">
        <v>3649</v>
      </c>
      <c r="CF107" s="80">
        <v>3767</v>
      </c>
      <c r="CG107" s="80">
        <v>3896</v>
      </c>
      <c r="CH107" s="80">
        <v>4113</v>
      </c>
      <c r="CI107" s="80">
        <v>3171</v>
      </c>
      <c r="CJ107" s="80">
        <v>3063</v>
      </c>
      <c r="CK107" s="80">
        <v>2918</v>
      </c>
      <c r="CL107" s="80">
        <v>2711</v>
      </c>
      <c r="CM107" s="80">
        <v>2409</v>
      </c>
      <c r="CN107" s="80">
        <v>1922</v>
      </c>
      <c r="CO107" s="80">
        <v>2022</v>
      </c>
      <c r="CP107" s="80">
        <v>1894</v>
      </c>
      <c r="CQ107" s="80">
        <v>1815</v>
      </c>
      <c r="CR107" s="80">
        <v>1580</v>
      </c>
      <c r="CS107" s="80">
        <v>1417</v>
      </c>
      <c r="CT107" s="80">
        <v>1236</v>
      </c>
      <c r="CU107" s="80">
        <v>1094</v>
      </c>
      <c r="CV107" s="80">
        <v>938</v>
      </c>
      <c r="CW107" s="80">
        <v>814</v>
      </c>
      <c r="CX107" s="80">
        <v>732</v>
      </c>
      <c r="CY107" s="80">
        <v>2468</v>
      </c>
      <c r="CZ107" s="81">
        <v>2433</v>
      </c>
      <c r="DA107" s="81">
        <v>2531</v>
      </c>
      <c r="DB107" s="81">
        <v>2813</v>
      </c>
      <c r="DC107" s="81">
        <v>2835</v>
      </c>
      <c r="DD107" s="81">
        <v>2954</v>
      </c>
      <c r="DE107" s="81">
        <v>2951</v>
      </c>
      <c r="DF107" s="81">
        <v>3046</v>
      </c>
      <c r="DG107" s="81">
        <v>3152</v>
      </c>
      <c r="DH107" s="81">
        <v>3275</v>
      </c>
      <c r="DI107" s="81">
        <v>3304</v>
      </c>
      <c r="DJ107" s="81">
        <v>3299</v>
      </c>
      <c r="DK107" s="81">
        <v>3205</v>
      </c>
      <c r="DL107" s="81">
        <v>3207</v>
      </c>
      <c r="DM107" s="81">
        <v>3144</v>
      </c>
      <c r="DN107" s="81">
        <v>3169</v>
      </c>
      <c r="DO107" s="81">
        <v>3099</v>
      </c>
      <c r="DP107" s="81">
        <v>2957</v>
      </c>
      <c r="DQ107" s="81">
        <v>3062</v>
      </c>
      <c r="DR107" s="81">
        <v>2714</v>
      </c>
      <c r="DS107" s="81">
        <v>2165</v>
      </c>
      <c r="DT107" s="81">
        <v>2001</v>
      </c>
      <c r="DU107" s="81">
        <v>2076</v>
      </c>
      <c r="DV107" s="81">
        <v>2413</v>
      </c>
      <c r="DW107" s="81">
        <v>2601</v>
      </c>
      <c r="DX107" s="81">
        <v>2578</v>
      </c>
      <c r="DY107" s="81">
        <v>2666</v>
      </c>
      <c r="DZ107" s="81">
        <v>2729</v>
      </c>
      <c r="EA107" s="81">
        <v>2603</v>
      </c>
      <c r="EB107" s="81">
        <v>2821</v>
      </c>
      <c r="EC107" s="81">
        <v>2975</v>
      </c>
      <c r="ED107" s="81">
        <v>3023</v>
      </c>
      <c r="EE107" s="81">
        <v>3325</v>
      </c>
      <c r="EF107" s="81">
        <v>3215</v>
      </c>
      <c r="EG107" s="81">
        <v>3184</v>
      </c>
      <c r="EH107" s="81">
        <v>3062</v>
      </c>
      <c r="EI107" s="81">
        <v>3085</v>
      </c>
      <c r="EJ107" s="81">
        <v>3041</v>
      </c>
      <c r="EK107" s="81">
        <v>3047</v>
      </c>
      <c r="EL107" s="81">
        <v>3010</v>
      </c>
      <c r="EM107" s="81">
        <v>3285</v>
      </c>
      <c r="EN107" s="81">
        <v>3213</v>
      </c>
      <c r="EO107" s="81">
        <v>3103</v>
      </c>
      <c r="EP107" s="81">
        <v>2908</v>
      </c>
      <c r="EQ107" s="81">
        <v>2964</v>
      </c>
      <c r="ER107" s="81">
        <v>3028</v>
      </c>
      <c r="ES107" s="81">
        <v>3241</v>
      </c>
      <c r="ET107" s="81">
        <v>3441</v>
      </c>
      <c r="EU107" s="81">
        <v>3587</v>
      </c>
      <c r="EV107" s="81">
        <v>3929</v>
      </c>
      <c r="EW107" s="81">
        <v>4023</v>
      </c>
      <c r="EX107" s="81">
        <v>4074</v>
      </c>
      <c r="EY107" s="81">
        <v>4177</v>
      </c>
      <c r="EZ107" s="81">
        <v>4236</v>
      </c>
      <c r="FA107" s="81">
        <v>4382</v>
      </c>
      <c r="FB107" s="81">
        <v>4501</v>
      </c>
      <c r="FC107" s="81">
        <v>4482</v>
      </c>
      <c r="FD107" s="81">
        <v>4452</v>
      </c>
      <c r="FE107" s="81">
        <v>4460</v>
      </c>
      <c r="FF107" s="81">
        <v>4288</v>
      </c>
      <c r="FG107" s="81">
        <v>4274</v>
      </c>
      <c r="FH107" s="81">
        <v>3983</v>
      </c>
      <c r="FI107" s="81">
        <v>3960</v>
      </c>
      <c r="FJ107" s="81">
        <v>4017</v>
      </c>
      <c r="FK107" s="81">
        <v>3894</v>
      </c>
      <c r="FL107" s="81">
        <v>3600</v>
      </c>
      <c r="FM107" s="81">
        <v>3723</v>
      </c>
      <c r="FN107" s="81">
        <v>3882</v>
      </c>
      <c r="FO107" s="81">
        <v>3809</v>
      </c>
      <c r="FP107" s="81">
        <v>3869</v>
      </c>
      <c r="FQ107" s="81">
        <v>3771</v>
      </c>
      <c r="FR107" s="81">
        <v>3854</v>
      </c>
      <c r="FS107" s="81">
        <v>3962</v>
      </c>
      <c r="FT107" s="81">
        <v>4142</v>
      </c>
      <c r="FU107" s="81">
        <v>4420</v>
      </c>
      <c r="FV107" s="81">
        <v>3391</v>
      </c>
      <c r="FW107" s="81">
        <v>3339</v>
      </c>
      <c r="FX107" s="81">
        <v>3204</v>
      </c>
      <c r="FY107" s="81">
        <v>3123</v>
      </c>
      <c r="FZ107" s="81">
        <v>2687</v>
      </c>
      <c r="GA107" s="81">
        <v>2349</v>
      </c>
      <c r="GB107" s="81">
        <v>2328</v>
      </c>
      <c r="GC107" s="81">
        <v>2170</v>
      </c>
      <c r="GD107" s="81">
        <v>2050</v>
      </c>
      <c r="GE107" s="81">
        <v>2023</v>
      </c>
      <c r="GF107" s="81">
        <v>1795</v>
      </c>
      <c r="GG107" s="81">
        <v>1627</v>
      </c>
      <c r="GH107" s="81">
        <v>1569</v>
      </c>
      <c r="GI107" s="81">
        <v>1395</v>
      </c>
      <c r="GJ107" s="81">
        <v>1249</v>
      </c>
      <c r="GK107" s="81">
        <v>1138</v>
      </c>
      <c r="GL107" s="82">
        <v>5422</v>
      </c>
    </row>
    <row r="108" spans="1:194" s="1" customFormat="1" hidden="1" x14ac:dyDescent="0.2">
      <c r="A108" s="83" t="s">
        <v>220</v>
      </c>
      <c r="B108" s="262" t="s">
        <v>318</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0">
        <v>11643</v>
      </c>
      <c r="N108" s="80">
        <v>11638</v>
      </c>
      <c r="O108" s="80">
        <v>12036</v>
      </c>
      <c r="P108" s="80">
        <v>11830</v>
      </c>
      <c r="Q108" s="80">
        <v>12334</v>
      </c>
      <c r="R108" s="80">
        <v>11991</v>
      </c>
      <c r="S108" s="80">
        <v>11924</v>
      </c>
      <c r="T108" s="80">
        <v>12259</v>
      </c>
      <c r="U108" s="80">
        <v>12375</v>
      </c>
      <c r="V108" s="80">
        <v>11724</v>
      </c>
      <c r="W108" s="80">
        <v>11402</v>
      </c>
      <c r="X108" s="80">
        <v>11349</v>
      </c>
      <c r="Y108" s="80">
        <v>11388</v>
      </c>
      <c r="Z108" s="80">
        <v>10812</v>
      </c>
      <c r="AA108" s="80">
        <v>10519</v>
      </c>
      <c r="AB108" s="80">
        <v>10066</v>
      </c>
      <c r="AC108" s="80">
        <v>9624</v>
      </c>
      <c r="AD108" s="80">
        <v>9326</v>
      </c>
      <c r="AE108" s="80">
        <v>9072</v>
      </c>
      <c r="AF108" s="80">
        <v>8283</v>
      </c>
      <c r="AG108" s="80">
        <v>8406</v>
      </c>
      <c r="AH108" s="80">
        <v>8937</v>
      </c>
      <c r="AI108" s="80">
        <v>10076</v>
      </c>
      <c r="AJ108" s="80">
        <v>11899</v>
      </c>
      <c r="AK108" s="80">
        <v>13565</v>
      </c>
      <c r="AL108" s="80">
        <v>13936</v>
      </c>
      <c r="AM108" s="80">
        <v>15005</v>
      </c>
      <c r="AN108" s="80">
        <v>15729</v>
      </c>
      <c r="AO108" s="80">
        <v>16360</v>
      </c>
      <c r="AP108" s="80">
        <v>17043</v>
      </c>
      <c r="AQ108" s="80">
        <v>17530</v>
      </c>
      <c r="AR108" s="80">
        <v>18476</v>
      </c>
      <c r="AS108" s="80">
        <v>18179</v>
      </c>
      <c r="AT108" s="80">
        <v>17522</v>
      </c>
      <c r="AU108" s="80">
        <v>17683</v>
      </c>
      <c r="AV108" s="80">
        <v>17660</v>
      </c>
      <c r="AW108" s="80">
        <v>16755</v>
      </c>
      <c r="AX108" s="80">
        <v>16477</v>
      </c>
      <c r="AY108" s="80">
        <v>15716</v>
      </c>
      <c r="AZ108" s="80">
        <v>16068</v>
      </c>
      <c r="BA108" s="80">
        <v>15460</v>
      </c>
      <c r="BB108" s="80">
        <v>14860</v>
      </c>
      <c r="BC108" s="80">
        <v>14079</v>
      </c>
      <c r="BD108" s="80">
        <v>13280</v>
      </c>
      <c r="BE108" s="80">
        <v>12855</v>
      </c>
      <c r="BF108" s="80">
        <v>12260</v>
      </c>
      <c r="BG108" s="80">
        <v>11915</v>
      </c>
      <c r="BH108" s="80">
        <v>12269</v>
      </c>
      <c r="BI108" s="80">
        <v>12058</v>
      </c>
      <c r="BJ108" s="80">
        <v>12106</v>
      </c>
      <c r="BK108" s="80">
        <v>12102</v>
      </c>
      <c r="BL108" s="80">
        <v>11571</v>
      </c>
      <c r="BM108" s="80">
        <v>11622</v>
      </c>
      <c r="BN108" s="80">
        <v>11758</v>
      </c>
      <c r="BO108" s="80">
        <v>11340</v>
      </c>
      <c r="BP108" s="80">
        <v>11357</v>
      </c>
      <c r="BQ108" s="80">
        <v>11077</v>
      </c>
      <c r="BR108" s="80">
        <v>10360</v>
      </c>
      <c r="BS108" s="80">
        <v>9828</v>
      </c>
      <c r="BT108" s="80">
        <v>9722</v>
      </c>
      <c r="BU108" s="80">
        <v>8943</v>
      </c>
      <c r="BV108" s="80">
        <v>8413</v>
      </c>
      <c r="BW108" s="80">
        <v>8158</v>
      </c>
      <c r="BX108" s="80">
        <v>7451</v>
      </c>
      <c r="BY108" s="80">
        <v>7000</v>
      </c>
      <c r="BZ108" s="80">
        <v>6480</v>
      </c>
      <c r="CA108" s="80">
        <v>5960</v>
      </c>
      <c r="CB108" s="80">
        <v>5704</v>
      </c>
      <c r="CC108" s="80">
        <v>5363</v>
      </c>
      <c r="CD108" s="80">
        <v>5377</v>
      </c>
      <c r="CE108" s="80">
        <v>5183</v>
      </c>
      <c r="CF108" s="80">
        <v>5156</v>
      </c>
      <c r="CG108" s="80">
        <v>5352</v>
      </c>
      <c r="CH108" s="80">
        <v>5670</v>
      </c>
      <c r="CI108" s="80">
        <v>4290</v>
      </c>
      <c r="CJ108" s="80">
        <v>3890</v>
      </c>
      <c r="CK108" s="80">
        <v>3709</v>
      </c>
      <c r="CL108" s="80">
        <v>3537</v>
      </c>
      <c r="CM108" s="80">
        <v>3031</v>
      </c>
      <c r="CN108" s="80">
        <v>2673</v>
      </c>
      <c r="CO108" s="80">
        <v>2883</v>
      </c>
      <c r="CP108" s="80">
        <v>2803</v>
      </c>
      <c r="CQ108" s="80">
        <v>2589</v>
      </c>
      <c r="CR108" s="80">
        <v>2245</v>
      </c>
      <c r="CS108" s="80">
        <v>2199</v>
      </c>
      <c r="CT108" s="80">
        <v>1894</v>
      </c>
      <c r="CU108" s="80">
        <v>1633</v>
      </c>
      <c r="CV108" s="80">
        <v>1431</v>
      </c>
      <c r="CW108" s="80">
        <v>1274</v>
      </c>
      <c r="CX108" s="80">
        <v>1085</v>
      </c>
      <c r="CY108" s="80">
        <v>3847</v>
      </c>
      <c r="CZ108" s="81">
        <v>10920</v>
      </c>
      <c r="DA108" s="81">
        <v>10988</v>
      </c>
      <c r="DB108" s="81">
        <v>11334</v>
      </c>
      <c r="DC108" s="81">
        <v>11545</v>
      </c>
      <c r="DD108" s="81">
        <v>11341</v>
      </c>
      <c r="DE108" s="81">
        <v>11453</v>
      </c>
      <c r="DF108" s="81">
        <v>11344</v>
      </c>
      <c r="DG108" s="81">
        <v>11749</v>
      </c>
      <c r="DH108" s="81">
        <v>11936</v>
      </c>
      <c r="DI108" s="81">
        <v>11155</v>
      </c>
      <c r="DJ108" s="81">
        <v>10774</v>
      </c>
      <c r="DK108" s="81">
        <v>10561</v>
      </c>
      <c r="DL108" s="81">
        <v>10659</v>
      </c>
      <c r="DM108" s="81">
        <v>10320</v>
      </c>
      <c r="DN108" s="81">
        <v>10090</v>
      </c>
      <c r="DO108" s="81">
        <v>9593</v>
      </c>
      <c r="DP108" s="81">
        <v>9096</v>
      </c>
      <c r="DQ108" s="81">
        <v>9104</v>
      </c>
      <c r="DR108" s="81">
        <v>8558</v>
      </c>
      <c r="DS108" s="81">
        <v>7588</v>
      </c>
      <c r="DT108" s="81">
        <v>7757</v>
      </c>
      <c r="DU108" s="81">
        <v>8699</v>
      </c>
      <c r="DV108" s="81">
        <v>10346</v>
      </c>
      <c r="DW108" s="81">
        <v>12840</v>
      </c>
      <c r="DX108" s="81">
        <v>14402</v>
      </c>
      <c r="DY108" s="81">
        <v>15585</v>
      </c>
      <c r="DZ108" s="81">
        <v>15758</v>
      </c>
      <c r="EA108" s="81">
        <v>16574</v>
      </c>
      <c r="EB108" s="81">
        <v>17158</v>
      </c>
      <c r="EC108" s="81">
        <v>17923</v>
      </c>
      <c r="ED108" s="81">
        <v>18131</v>
      </c>
      <c r="EE108" s="81">
        <v>18091</v>
      </c>
      <c r="EF108" s="81">
        <v>18053</v>
      </c>
      <c r="EG108" s="81">
        <v>17541</v>
      </c>
      <c r="EH108" s="81">
        <v>16555</v>
      </c>
      <c r="EI108" s="81">
        <v>16164</v>
      </c>
      <c r="EJ108" s="81">
        <v>15528</v>
      </c>
      <c r="EK108" s="81">
        <v>15222</v>
      </c>
      <c r="EL108" s="81">
        <v>14452</v>
      </c>
      <c r="EM108" s="81">
        <v>15183</v>
      </c>
      <c r="EN108" s="81">
        <v>14804</v>
      </c>
      <c r="EO108" s="81">
        <v>14138</v>
      </c>
      <c r="EP108" s="81">
        <v>13318</v>
      </c>
      <c r="EQ108" s="81">
        <v>12833</v>
      </c>
      <c r="ER108" s="81">
        <v>12275</v>
      </c>
      <c r="ES108" s="81">
        <v>12036</v>
      </c>
      <c r="ET108" s="81">
        <v>11818</v>
      </c>
      <c r="EU108" s="81">
        <v>11813</v>
      </c>
      <c r="EV108" s="81">
        <v>11831</v>
      </c>
      <c r="EW108" s="81">
        <v>12150</v>
      </c>
      <c r="EX108" s="81">
        <v>11753</v>
      </c>
      <c r="EY108" s="81">
        <v>12208</v>
      </c>
      <c r="EZ108" s="81">
        <v>11754</v>
      </c>
      <c r="FA108" s="81">
        <v>12001</v>
      </c>
      <c r="FB108" s="81">
        <v>12006</v>
      </c>
      <c r="FC108" s="81">
        <v>11812</v>
      </c>
      <c r="FD108" s="81">
        <v>11656</v>
      </c>
      <c r="FE108" s="81">
        <v>11212</v>
      </c>
      <c r="FF108" s="81">
        <v>10662</v>
      </c>
      <c r="FG108" s="81">
        <v>10048</v>
      </c>
      <c r="FH108" s="81">
        <v>9675</v>
      </c>
      <c r="FI108" s="81">
        <v>8838</v>
      </c>
      <c r="FJ108" s="81">
        <v>8373</v>
      </c>
      <c r="FK108" s="81">
        <v>7989</v>
      </c>
      <c r="FL108" s="81">
        <v>7509</v>
      </c>
      <c r="FM108" s="81">
        <v>6983</v>
      </c>
      <c r="FN108" s="81">
        <v>6684</v>
      </c>
      <c r="FO108" s="81">
        <v>6339</v>
      </c>
      <c r="FP108" s="81">
        <v>6040</v>
      </c>
      <c r="FQ108" s="81">
        <v>6008</v>
      </c>
      <c r="FR108" s="81">
        <v>5766</v>
      </c>
      <c r="FS108" s="81">
        <v>5997</v>
      </c>
      <c r="FT108" s="81">
        <v>6067</v>
      </c>
      <c r="FU108" s="81">
        <v>6423</v>
      </c>
      <c r="FV108" s="81">
        <v>5195</v>
      </c>
      <c r="FW108" s="81">
        <v>4779</v>
      </c>
      <c r="FX108" s="81">
        <v>4536</v>
      </c>
      <c r="FY108" s="81">
        <v>4465</v>
      </c>
      <c r="FZ108" s="81">
        <v>4055</v>
      </c>
      <c r="GA108" s="81">
        <v>3767</v>
      </c>
      <c r="GB108" s="81">
        <v>3877</v>
      </c>
      <c r="GC108" s="81">
        <v>3673</v>
      </c>
      <c r="GD108" s="81">
        <v>3565</v>
      </c>
      <c r="GE108" s="81">
        <v>3259</v>
      </c>
      <c r="GF108" s="81">
        <v>3079</v>
      </c>
      <c r="GG108" s="81">
        <v>2782</v>
      </c>
      <c r="GH108" s="81">
        <v>2412</v>
      </c>
      <c r="GI108" s="81">
        <v>2291</v>
      </c>
      <c r="GJ108" s="81">
        <v>2084</v>
      </c>
      <c r="GK108" s="81">
        <v>1819</v>
      </c>
      <c r="GL108" s="82">
        <v>7980</v>
      </c>
    </row>
    <row r="109" spans="1:194" s="1" customFormat="1" hidden="1" x14ac:dyDescent="0.2">
      <c r="A109" s="83" t="s">
        <v>220</v>
      </c>
      <c r="B109" s="262" t="s">
        <v>319</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0">
        <v>1112</v>
      </c>
      <c r="N109" s="80">
        <v>1047</v>
      </c>
      <c r="O109" s="80">
        <v>1187</v>
      </c>
      <c r="P109" s="80">
        <v>1256</v>
      </c>
      <c r="Q109" s="80">
        <v>1208</v>
      </c>
      <c r="R109" s="80">
        <v>1225</v>
      </c>
      <c r="S109" s="80">
        <v>1187</v>
      </c>
      <c r="T109" s="80">
        <v>1301</v>
      </c>
      <c r="U109" s="80">
        <v>1362</v>
      </c>
      <c r="V109" s="80">
        <v>1320</v>
      </c>
      <c r="W109" s="80">
        <v>1358</v>
      </c>
      <c r="X109" s="80">
        <v>1313</v>
      </c>
      <c r="Y109" s="80">
        <v>1404</v>
      </c>
      <c r="Z109" s="80">
        <v>1291</v>
      </c>
      <c r="AA109" s="80">
        <v>1327</v>
      </c>
      <c r="AB109" s="80">
        <v>1298</v>
      </c>
      <c r="AC109" s="80">
        <v>1331</v>
      </c>
      <c r="AD109" s="80">
        <v>1247</v>
      </c>
      <c r="AE109" s="80">
        <v>1216</v>
      </c>
      <c r="AF109" s="80">
        <v>1195</v>
      </c>
      <c r="AG109" s="80">
        <v>1229</v>
      </c>
      <c r="AH109" s="80">
        <v>1209</v>
      </c>
      <c r="AI109" s="80">
        <v>1302</v>
      </c>
      <c r="AJ109" s="80">
        <v>1381</v>
      </c>
      <c r="AK109" s="80">
        <v>1321</v>
      </c>
      <c r="AL109" s="80">
        <v>1366</v>
      </c>
      <c r="AM109" s="80">
        <v>1340</v>
      </c>
      <c r="AN109" s="80">
        <v>1173</v>
      </c>
      <c r="AO109" s="80">
        <v>1335</v>
      </c>
      <c r="AP109" s="80">
        <v>1438</v>
      </c>
      <c r="AQ109" s="80">
        <v>1456</v>
      </c>
      <c r="AR109" s="80">
        <v>1287</v>
      </c>
      <c r="AS109" s="80">
        <v>1487</v>
      </c>
      <c r="AT109" s="80">
        <v>1263</v>
      </c>
      <c r="AU109" s="80">
        <v>1244</v>
      </c>
      <c r="AV109" s="80">
        <v>1359</v>
      </c>
      <c r="AW109" s="80">
        <v>1281</v>
      </c>
      <c r="AX109" s="80">
        <v>1308</v>
      </c>
      <c r="AY109" s="80">
        <v>1300</v>
      </c>
      <c r="AZ109" s="80">
        <v>1341</v>
      </c>
      <c r="BA109" s="80">
        <v>1408</v>
      </c>
      <c r="BB109" s="80">
        <v>1289</v>
      </c>
      <c r="BC109" s="80">
        <v>1184</v>
      </c>
      <c r="BD109" s="80">
        <v>1213</v>
      </c>
      <c r="BE109" s="80">
        <v>1378</v>
      </c>
      <c r="BF109" s="80">
        <v>1330</v>
      </c>
      <c r="BG109" s="80">
        <v>1394</v>
      </c>
      <c r="BH109" s="80">
        <v>1495</v>
      </c>
      <c r="BI109" s="80">
        <v>1586</v>
      </c>
      <c r="BJ109" s="80">
        <v>1703</v>
      </c>
      <c r="BK109" s="80">
        <v>1678</v>
      </c>
      <c r="BL109" s="80">
        <v>1656</v>
      </c>
      <c r="BM109" s="80">
        <v>1696</v>
      </c>
      <c r="BN109" s="80">
        <v>1698</v>
      </c>
      <c r="BO109" s="80">
        <v>1769</v>
      </c>
      <c r="BP109" s="80">
        <v>1754</v>
      </c>
      <c r="BQ109" s="80">
        <v>1661</v>
      </c>
      <c r="BR109" s="80">
        <v>1570</v>
      </c>
      <c r="BS109" s="80">
        <v>1581</v>
      </c>
      <c r="BT109" s="80">
        <v>1656</v>
      </c>
      <c r="BU109" s="80">
        <v>1432</v>
      </c>
      <c r="BV109" s="80">
        <v>1377</v>
      </c>
      <c r="BW109" s="80">
        <v>1362</v>
      </c>
      <c r="BX109" s="80">
        <v>1390</v>
      </c>
      <c r="BY109" s="80">
        <v>1352</v>
      </c>
      <c r="BZ109" s="80">
        <v>1307</v>
      </c>
      <c r="CA109" s="80">
        <v>1343</v>
      </c>
      <c r="CB109" s="80">
        <v>1325</v>
      </c>
      <c r="CC109" s="80">
        <v>1183</v>
      </c>
      <c r="CD109" s="80">
        <v>1250</v>
      </c>
      <c r="CE109" s="80">
        <v>1316</v>
      </c>
      <c r="CF109" s="80">
        <v>1364</v>
      </c>
      <c r="CG109" s="80">
        <v>1471</v>
      </c>
      <c r="CH109" s="80">
        <v>1546</v>
      </c>
      <c r="CI109" s="80">
        <v>1104</v>
      </c>
      <c r="CJ109" s="80">
        <v>1157</v>
      </c>
      <c r="CK109" s="80">
        <v>1205</v>
      </c>
      <c r="CL109" s="80">
        <v>1066</v>
      </c>
      <c r="CM109" s="80">
        <v>989</v>
      </c>
      <c r="CN109" s="80">
        <v>757</v>
      </c>
      <c r="CO109" s="80">
        <v>765</v>
      </c>
      <c r="CP109" s="80">
        <v>729</v>
      </c>
      <c r="CQ109" s="80">
        <v>691</v>
      </c>
      <c r="CR109" s="80">
        <v>566</v>
      </c>
      <c r="CS109" s="80">
        <v>477</v>
      </c>
      <c r="CT109" s="80">
        <v>406</v>
      </c>
      <c r="CU109" s="80">
        <v>357</v>
      </c>
      <c r="CV109" s="80">
        <v>323</v>
      </c>
      <c r="CW109" s="80">
        <v>252</v>
      </c>
      <c r="CX109" s="80">
        <v>222</v>
      </c>
      <c r="CY109" s="80">
        <v>643</v>
      </c>
      <c r="CZ109" s="81">
        <v>1040</v>
      </c>
      <c r="DA109" s="81">
        <v>1037</v>
      </c>
      <c r="DB109" s="81">
        <v>1136</v>
      </c>
      <c r="DC109" s="81">
        <v>1148</v>
      </c>
      <c r="DD109" s="81">
        <v>1199</v>
      </c>
      <c r="DE109" s="81">
        <v>1147</v>
      </c>
      <c r="DF109" s="81">
        <v>1180</v>
      </c>
      <c r="DG109" s="81">
        <v>1201</v>
      </c>
      <c r="DH109" s="81">
        <v>1289</v>
      </c>
      <c r="DI109" s="81">
        <v>1325</v>
      </c>
      <c r="DJ109" s="81">
        <v>1270</v>
      </c>
      <c r="DK109" s="81">
        <v>1310</v>
      </c>
      <c r="DL109" s="81">
        <v>1211</v>
      </c>
      <c r="DM109" s="81">
        <v>1281</v>
      </c>
      <c r="DN109" s="81">
        <v>1216</v>
      </c>
      <c r="DO109" s="81">
        <v>1120</v>
      </c>
      <c r="DP109" s="81">
        <v>1197</v>
      </c>
      <c r="DQ109" s="81">
        <v>1129</v>
      </c>
      <c r="DR109" s="81">
        <v>1100</v>
      </c>
      <c r="DS109" s="81">
        <v>868</v>
      </c>
      <c r="DT109" s="81">
        <v>817</v>
      </c>
      <c r="DU109" s="81">
        <v>922</v>
      </c>
      <c r="DV109" s="81">
        <v>1080</v>
      </c>
      <c r="DW109" s="81">
        <v>1199</v>
      </c>
      <c r="DX109" s="81">
        <v>1142</v>
      </c>
      <c r="DY109" s="81">
        <v>1250</v>
      </c>
      <c r="DZ109" s="81">
        <v>1222</v>
      </c>
      <c r="EA109" s="81">
        <v>1256</v>
      </c>
      <c r="EB109" s="81">
        <v>1311</v>
      </c>
      <c r="EC109" s="81">
        <v>1282</v>
      </c>
      <c r="ED109" s="81">
        <v>1212</v>
      </c>
      <c r="EE109" s="81">
        <v>1349</v>
      </c>
      <c r="EF109" s="81">
        <v>1327</v>
      </c>
      <c r="EG109" s="81">
        <v>1389</v>
      </c>
      <c r="EH109" s="81">
        <v>1370</v>
      </c>
      <c r="EI109" s="81">
        <v>1310</v>
      </c>
      <c r="EJ109" s="81">
        <v>1391</v>
      </c>
      <c r="EK109" s="81">
        <v>1304</v>
      </c>
      <c r="EL109" s="81">
        <v>1344</v>
      </c>
      <c r="EM109" s="81">
        <v>1339</v>
      </c>
      <c r="EN109" s="81">
        <v>1437</v>
      </c>
      <c r="EO109" s="81">
        <v>1337</v>
      </c>
      <c r="EP109" s="81">
        <v>1257</v>
      </c>
      <c r="EQ109" s="81">
        <v>1231</v>
      </c>
      <c r="ER109" s="81">
        <v>1301</v>
      </c>
      <c r="ES109" s="81">
        <v>1393</v>
      </c>
      <c r="ET109" s="81">
        <v>1406</v>
      </c>
      <c r="EU109" s="81">
        <v>1501</v>
      </c>
      <c r="EV109" s="81">
        <v>1635</v>
      </c>
      <c r="EW109" s="81">
        <v>1692</v>
      </c>
      <c r="EX109" s="81">
        <v>1625</v>
      </c>
      <c r="EY109" s="81">
        <v>1744</v>
      </c>
      <c r="EZ109" s="81">
        <v>1648</v>
      </c>
      <c r="FA109" s="81">
        <v>1653</v>
      </c>
      <c r="FB109" s="81">
        <v>1747</v>
      </c>
      <c r="FC109" s="81">
        <v>1750</v>
      </c>
      <c r="FD109" s="81">
        <v>1697</v>
      </c>
      <c r="FE109" s="81">
        <v>1663</v>
      </c>
      <c r="FF109" s="81">
        <v>1619</v>
      </c>
      <c r="FG109" s="81">
        <v>1575</v>
      </c>
      <c r="FH109" s="81">
        <v>1574</v>
      </c>
      <c r="FI109" s="81">
        <v>1494</v>
      </c>
      <c r="FJ109" s="81">
        <v>1525</v>
      </c>
      <c r="FK109" s="81">
        <v>1452</v>
      </c>
      <c r="FL109" s="81">
        <v>1439</v>
      </c>
      <c r="FM109" s="81">
        <v>1330</v>
      </c>
      <c r="FN109" s="81">
        <v>1468</v>
      </c>
      <c r="FO109" s="81">
        <v>1417</v>
      </c>
      <c r="FP109" s="81">
        <v>1305</v>
      </c>
      <c r="FQ109" s="81">
        <v>1367</v>
      </c>
      <c r="FR109" s="81">
        <v>1377</v>
      </c>
      <c r="FS109" s="81">
        <v>1428</v>
      </c>
      <c r="FT109" s="81">
        <v>1585</v>
      </c>
      <c r="FU109" s="81">
        <v>1641</v>
      </c>
      <c r="FV109" s="81">
        <v>1271</v>
      </c>
      <c r="FW109" s="81">
        <v>1332</v>
      </c>
      <c r="FX109" s="81">
        <v>1283</v>
      </c>
      <c r="FY109" s="81">
        <v>1222</v>
      </c>
      <c r="FZ109" s="81">
        <v>1026</v>
      </c>
      <c r="GA109" s="81">
        <v>957</v>
      </c>
      <c r="GB109" s="81">
        <v>949</v>
      </c>
      <c r="GC109" s="81">
        <v>875</v>
      </c>
      <c r="GD109" s="81">
        <v>765</v>
      </c>
      <c r="GE109" s="81">
        <v>748</v>
      </c>
      <c r="GF109" s="81">
        <v>670</v>
      </c>
      <c r="GG109" s="81">
        <v>606</v>
      </c>
      <c r="GH109" s="81">
        <v>557</v>
      </c>
      <c r="GI109" s="81">
        <v>494</v>
      </c>
      <c r="GJ109" s="81">
        <v>443</v>
      </c>
      <c r="GK109" s="81">
        <v>354</v>
      </c>
      <c r="GL109" s="82">
        <v>1579</v>
      </c>
    </row>
    <row r="110" spans="1:194" s="1" customFormat="1" hidden="1" x14ac:dyDescent="0.2">
      <c r="A110" s="83" t="s">
        <v>220</v>
      </c>
      <c r="B110" s="262" t="s">
        <v>320</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0">
        <v>825</v>
      </c>
      <c r="N110" s="80">
        <v>913</v>
      </c>
      <c r="O110" s="80">
        <v>852</v>
      </c>
      <c r="P110" s="80">
        <v>945</v>
      </c>
      <c r="Q110" s="80">
        <v>1017</v>
      </c>
      <c r="R110" s="80">
        <v>932</v>
      </c>
      <c r="S110" s="80">
        <v>993</v>
      </c>
      <c r="T110" s="80">
        <v>977</v>
      </c>
      <c r="U110" s="80">
        <v>1025</v>
      </c>
      <c r="V110" s="80">
        <v>1023</v>
      </c>
      <c r="W110" s="80">
        <v>977</v>
      </c>
      <c r="X110" s="80">
        <v>949</v>
      </c>
      <c r="Y110" s="80">
        <v>962</v>
      </c>
      <c r="Z110" s="80">
        <v>873</v>
      </c>
      <c r="AA110" s="80">
        <v>920</v>
      </c>
      <c r="AB110" s="80">
        <v>852</v>
      </c>
      <c r="AC110" s="80">
        <v>848</v>
      </c>
      <c r="AD110" s="80">
        <v>845</v>
      </c>
      <c r="AE110" s="80">
        <v>853</v>
      </c>
      <c r="AF110" s="80">
        <v>754</v>
      </c>
      <c r="AG110" s="80">
        <v>708</v>
      </c>
      <c r="AH110" s="80">
        <v>789</v>
      </c>
      <c r="AI110" s="80">
        <v>828</v>
      </c>
      <c r="AJ110" s="80">
        <v>937</v>
      </c>
      <c r="AK110" s="80">
        <v>952</v>
      </c>
      <c r="AL110" s="80">
        <v>909</v>
      </c>
      <c r="AM110" s="80">
        <v>886</v>
      </c>
      <c r="AN110" s="80">
        <v>1021</v>
      </c>
      <c r="AO110" s="80">
        <v>937</v>
      </c>
      <c r="AP110" s="80">
        <v>1090</v>
      </c>
      <c r="AQ110" s="80">
        <v>1042</v>
      </c>
      <c r="AR110" s="80">
        <v>1032</v>
      </c>
      <c r="AS110" s="80">
        <v>994</v>
      </c>
      <c r="AT110" s="80">
        <v>906</v>
      </c>
      <c r="AU110" s="80">
        <v>931</v>
      </c>
      <c r="AV110" s="80">
        <v>920</v>
      </c>
      <c r="AW110" s="80">
        <v>875</v>
      </c>
      <c r="AX110" s="80">
        <v>921</v>
      </c>
      <c r="AY110" s="80">
        <v>861</v>
      </c>
      <c r="AZ110" s="80">
        <v>954</v>
      </c>
      <c r="BA110" s="80">
        <v>887</v>
      </c>
      <c r="BB110" s="80">
        <v>809</v>
      </c>
      <c r="BC110" s="80">
        <v>784</v>
      </c>
      <c r="BD110" s="80">
        <v>801</v>
      </c>
      <c r="BE110" s="80">
        <v>801</v>
      </c>
      <c r="BF110" s="80">
        <v>785</v>
      </c>
      <c r="BG110" s="80">
        <v>853</v>
      </c>
      <c r="BH110" s="80">
        <v>897</v>
      </c>
      <c r="BI110" s="80">
        <v>959</v>
      </c>
      <c r="BJ110" s="80">
        <v>1076</v>
      </c>
      <c r="BK110" s="80">
        <v>1038</v>
      </c>
      <c r="BL110" s="80">
        <v>1099</v>
      </c>
      <c r="BM110" s="80">
        <v>1007</v>
      </c>
      <c r="BN110" s="80">
        <v>1132</v>
      </c>
      <c r="BO110" s="80">
        <v>1063</v>
      </c>
      <c r="BP110" s="80">
        <v>1175</v>
      </c>
      <c r="BQ110" s="80">
        <v>1248</v>
      </c>
      <c r="BR110" s="80">
        <v>1215</v>
      </c>
      <c r="BS110" s="80">
        <v>1167</v>
      </c>
      <c r="BT110" s="80">
        <v>1235</v>
      </c>
      <c r="BU110" s="80">
        <v>1190</v>
      </c>
      <c r="BV110" s="80">
        <v>1125</v>
      </c>
      <c r="BW110" s="80">
        <v>1070</v>
      </c>
      <c r="BX110" s="80">
        <v>1022</v>
      </c>
      <c r="BY110" s="80">
        <v>1026</v>
      </c>
      <c r="BZ110" s="80">
        <v>920</v>
      </c>
      <c r="CA110" s="80">
        <v>984</v>
      </c>
      <c r="CB110" s="80">
        <v>911</v>
      </c>
      <c r="CC110" s="80">
        <v>862</v>
      </c>
      <c r="CD110" s="80">
        <v>816</v>
      </c>
      <c r="CE110" s="80">
        <v>813</v>
      </c>
      <c r="CF110" s="80">
        <v>855</v>
      </c>
      <c r="CG110" s="80">
        <v>860</v>
      </c>
      <c r="CH110" s="80">
        <v>964</v>
      </c>
      <c r="CI110" s="80">
        <v>644</v>
      </c>
      <c r="CJ110" s="80">
        <v>571</v>
      </c>
      <c r="CK110" s="80">
        <v>601</v>
      </c>
      <c r="CL110" s="80">
        <v>538</v>
      </c>
      <c r="CM110" s="80">
        <v>513</v>
      </c>
      <c r="CN110" s="80">
        <v>482</v>
      </c>
      <c r="CO110" s="80">
        <v>461</v>
      </c>
      <c r="CP110" s="80">
        <v>439</v>
      </c>
      <c r="CQ110" s="80">
        <v>411</v>
      </c>
      <c r="CR110" s="80">
        <v>390</v>
      </c>
      <c r="CS110" s="80">
        <v>316</v>
      </c>
      <c r="CT110" s="80">
        <v>295</v>
      </c>
      <c r="CU110" s="80">
        <v>263</v>
      </c>
      <c r="CV110" s="80">
        <v>210</v>
      </c>
      <c r="CW110" s="80">
        <v>168</v>
      </c>
      <c r="CX110" s="80">
        <v>151</v>
      </c>
      <c r="CY110" s="80">
        <v>425</v>
      </c>
      <c r="CZ110" s="81">
        <v>772</v>
      </c>
      <c r="DA110" s="81">
        <v>838</v>
      </c>
      <c r="DB110" s="81">
        <v>871</v>
      </c>
      <c r="DC110" s="81">
        <v>893</v>
      </c>
      <c r="DD110" s="81">
        <v>928</v>
      </c>
      <c r="DE110" s="81">
        <v>888</v>
      </c>
      <c r="DF110" s="81">
        <v>1001</v>
      </c>
      <c r="DG110" s="81">
        <v>886</v>
      </c>
      <c r="DH110" s="81">
        <v>937</v>
      </c>
      <c r="DI110" s="81">
        <v>949</v>
      </c>
      <c r="DJ110" s="81">
        <v>906</v>
      </c>
      <c r="DK110" s="81">
        <v>912</v>
      </c>
      <c r="DL110" s="81">
        <v>874</v>
      </c>
      <c r="DM110" s="81">
        <v>920</v>
      </c>
      <c r="DN110" s="81">
        <v>826</v>
      </c>
      <c r="DO110" s="81">
        <v>843</v>
      </c>
      <c r="DP110" s="81">
        <v>869</v>
      </c>
      <c r="DQ110" s="81">
        <v>836</v>
      </c>
      <c r="DR110" s="81">
        <v>766</v>
      </c>
      <c r="DS110" s="81">
        <v>708</v>
      </c>
      <c r="DT110" s="81">
        <v>637</v>
      </c>
      <c r="DU110" s="81">
        <v>725</v>
      </c>
      <c r="DV110" s="81">
        <v>770</v>
      </c>
      <c r="DW110" s="81">
        <v>870</v>
      </c>
      <c r="DX110" s="81">
        <v>923</v>
      </c>
      <c r="DY110" s="81">
        <v>939</v>
      </c>
      <c r="DZ110" s="81">
        <v>893</v>
      </c>
      <c r="EA110" s="81">
        <v>825</v>
      </c>
      <c r="EB110" s="81">
        <v>955</v>
      </c>
      <c r="EC110" s="81">
        <v>1072</v>
      </c>
      <c r="ED110" s="81">
        <v>1125</v>
      </c>
      <c r="EE110" s="81">
        <v>981</v>
      </c>
      <c r="EF110" s="81">
        <v>981</v>
      </c>
      <c r="EG110" s="81">
        <v>1068</v>
      </c>
      <c r="EH110" s="81">
        <v>977</v>
      </c>
      <c r="EI110" s="81">
        <v>1088</v>
      </c>
      <c r="EJ110" s="81">
        <v>1026</v>
      </c>
      <c r="EK110" s="81">
        <v>936</v>
      </c>
      <c r="EL110" s="81">
        <v>1004</v>
      </c>
      <c r="EM110" s="81">
        <v>975</v>
      </c>
      <c r="EN110" s="81">
        <v>918</v>
      </c>
      <c r="EO110" s="81">
        <v>966</v>
      </c>
      <c r="EP110" s="81">
        <v>841</v>
      </c>
      <c r="EQ110" s="81">
        <v>822</v>
      </c>
      <c r="ER110" s="81">
        <v>871</v>
      </c>
      <c r="ES110" s="81">
        <v>894</v>
      </c>
      <c r="ET110" s="81">
        <v>963</v>
      </c>
      <c r="EU110" s="81">
        <v>1120</v>
      </c>
      <c r="EV110" s="81">
        <v>1060</v>
      </c>
      <c r="EW110" s="81">
        <v>1138</v>
      </c>
      <c r="EX110" s="81">
        <v>1130</v>
      </c>
      <c r="EY110" s="81">
        <v>1200</v>
      </c>
      <c r="EZ110" s="81">
        <v>1135</v>
      </c>
      <c r="FA110" s="81">
        <v>1179</v>
      </c>
      <c r="FB110" s="81">
        <v>1224</v>
      </c>
      <c r="FC110" s="81">
        <v>1305</v>
      </c>
      <c r="FD110" s="81">
        <v>1343</v>
      </c>
      <c r="FE110" s="81">
        <v>1305</v>
      </c>
      <c r="FF110" s="81">
        <v>1288</v>
      </c>
      <c r="FG110" s="81">
        <v>1291</v>
      </c>
      <c r="FH110" s="81">
        <v>1208</v>
      </c>
      <c r="FI110" s="81">
        <v>1170</v>
      </c>
      <c r="FJ110" s="81">
        <v>1192</v>
      </c>
      <c r="FK110" s="81">
        <v>1146</v>
      </c>
      <c r="FL110" s="81">
        <v>1115</v>
      </c>
      <c r="FM110" s="81">
        <v>1090</v>
      </c>
      <c r="FN110" s="81">
        <v>1014</v>
      </c>
      <c r="FO110" s="81">
        <v>954</v>
      </c>
      <c r="FP110" s="81">
        <v>916</v>
      </c>
      <c r="FQ110" s="81">
        <v>938</v>
      </c>
      <c r="FR110" s="81">
        <v>872</v>
      </c>
      <c r="FS110" s="81">
        <v>873</v>
      </c>
      <c r="FT110" s="81">
        <v>948</v>
      </c>
      <c r="FU110" s="81">
        <v>993</v>
      </c>
      <c r="FV110" s="81">
        <v>734</v>
      </c>
      <c r="FW110" s="81">
        <v>704</v>
      </c>
      <c r="FX110" s="81">
        <v>757</v>
      </c>
      <c r="FY110" s="81">
        <v>668</v>
      </c>
      <c r="FZ110" s="81">
        <v>664</v>
      </c>
      <c r="GA110" s="81">
        <v>632</v>
      </c>
      <c r="GB110" s="81">
        <v>564</v>
      </c>
      <c r="GC110" s="81">
        <v>565</v>
      </c>
      <c r="GD110" s="81">
        <v>599</v>
      </c>
      <c r="GE110" s="81">
        <v>561</v>
      </c>
      <c r="GF110" s="81">
        <v>488</v>
      </c>
      <c r="GG110" s="81">
        <v>411</v>
      </c>
      <c r="GH110" s="81">
        <v>457</v>
      </c>
      <c r="GI110" s="81">
        <v>390</v>
      </c>
      <c r="GJ110" s="81">
        <v>336</v>
      </c>
      <c r="GK110" s="81">
        <v>309</v>
      </c>
      <c r="GL110" s="82">
        <v>1104</v>
      </c>
    </row>
    <row r="111" spans="1:194" s="1" customFormat="1" hidden="1" x14ac:dyDescent="0.2">
      <c r="A111" s="83" t="s">
        <v>220</v>
      </c>
      <c r="B111" s="262" t="s">
        <v>321</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0">
        <v>787</v>
      </c>
      <c r="N111" s="80">
        <v>766</v>
      </c>
      <c r="O111" s="80">
        <v>827</v>
      </c>
      <c r="P111" s="80">
        <v>885</v>
      </c>
      <c r="Q111" s="80">
        <v>948</v>
      </c>
      <c r="R111" s="80">
        <v>855</v>
      </c>
      <c r="S111" s="80">
        <v>898</v>
      </c>
      <c r="T111" s="80">
        <v>898</v>
      </c>
      <c r="U111" s="80">
        <v>906</v>
      </c>
      <c r="V111" s="80">
        <v>900</v>
      </c>
      <c r="W111" s="80">
        <v>903</v>
      </c>
      <c r="X111" s="80">
        <v>930</v>
      </c>
      <c r="Y111" s="80">
        <v>877</v>
      </c>
      <c r="Z111" s="80">
        <v>849</v>
      </c>
      <c r="AA111" s="80">
        <v>825</v>
      </c>
      <c r="AB111" s="80">
        <v>827</v>
      </c>
      <c r="AC111" s="80">
        <v>817</v>
      </c>
      <c r="AD111" s="80">
        <v>826</v>
      </c>
      <c r="AE111" s="80">
        <v>778</v>
      </c>
      <c r="AF111" s="80">
        <v>689</v>
      </c>
      <c r="AG111" s="80">
        <v>750</v>
      </c>
      <c r="AH111" s="80">
        <v>727</v>
      </c>
      <c r="AI111" s="80">
        <v>802</v>
      </c>
      <c r="AJ111" s="80">
        <v>904</v>
      </c>
      <c r="AK111" s="80">
        <v>954</v>
      </c>
      <c r="AL111" s="80">
        <v>910</v>
      </c>
      <c r="AM111" s="80">
        <v>911</v>
      </c>
      <c r="AN111" s="80">
        <v>1015</v>
      </c>
      <c r="AO111" s="80">
        <v>967</v>
      </c>
      <c r="AP111" s="80">
        <v>977</v>
      </c>
      <c r="AQ111" s="80">
        <v>988</v>
      </c>
      <c r="AR111" s="80">
        <v>1000</v>
      </c>
      <c r="AS111" s="80">
        <v>974</v>
      </c>
      <c r="AT111" s="80">
        <v>985</v>
      </c>
      <c r="AU111" s="80">
        <v>991</v>
      </c>
      <c r="AV111" s="80">
        <v>991</v>
      </c>
      <c r="AW111" s="80">
        <v>842</v>
      </c>
      <c r="AX111" s="80">
        <v>792</v>
      </c>
      <c r="AY111" s="80">
        <v>838</v>
      </c>
      <c r="AZ111" s="80">
        <v>938</v>
      </c>
      <c r="BA111" s="80">
        <v>932</v>
      </c>
      <c r="BB111" s="80">
        <v>864</v>
      </c>
      <c r="BC111" s="80">
        <v>771</v>
      </c>
      <c r="BD111" s="80">
        <v>691</v>
      </c>
      <c r="BE111" s="80">
        <v>762</v>
      </c>
      <c r="BF111" s="80">
        <v>763</v>
      </c>
      <c r="BG111" s="80">
        <v>813</v>
      </c>
      <c r="BH111" s="80">
        <v>900</v>
      </c>
      <c r="BI111" s="80">
        <v>922</v>
      </c>
      <c r="BJ111" s="80">
        <v>968</v>
      </c>
      <c r="BK111" s="80">
        <v>982</v>
      </c>
      <c r="BL111" s="80">
        <v>991</v>
      </c>
      <c r="BM111" s="80">
        <v>1017</v>
      </c>
      <c r="BN111" s="80">
        <v>1092</v>
      </c>
      <c r="BO111" s="80">
        <v>1117</v>
      </c>
      <c r="BP111" s="80">
        <v>1113</v>
      </c>
      <c r="BQ111" s="80">
        <v>1164</v>
      </c>
      <c r="BR111" s="80">
        <v>1136</v>
      </c>
      <c r="BS111" s="80">
        <v>1097</v>
      </c>
      <c r="BT111" s="80">
        <v>1046</v>
      </c>
      <c r="BU111" s="80">
        <v>1102</v>
      </c>
      <c r="BV111" s="80">
        <v>1098</v>
      </c>
      <c r="BW111" s="80">
        <v>1035</v>
      </c>
      <c r="BX111" s="80">
        <v>991</v>
      </c>
      <c r="BY111" s="80">
        <v>936</v>
      </c>
      <c r="BZ111" s="80">
        <v>916</v>
      </c>
      <c r="CA111" s="80">
        <v>864</v>
      </c>
      <c r="CB111" s="80">
        <v>860</v>
      </c>
      <c r="CC111" s="80">
        <v>777</v>
      </c>
      <c r="CD111" s="80">
        <v>815</v>
      </c>
      <c r="CE111" s="80">
        <v>796</v>
      </c>
      <c r="CF111" s="80">
        <v>826</v>
      </c>
      <c r="CG111" s="80">
        <v>838</v>
      </c>
      <c r="CH111" s="80">
        <v>902</v>
      </c>
      <c r="CI111" s="80">
        <v>661</v>
      </c>
      <c r="CJ111" s="80">
        <v>558</v>
      </c>
      <c r="CK111" s="80">
        <v>551</v>
      </c>
      <c r="CL111" s="80">
        <v>457</v>
      </c>
      <c r="CM111" s="80">
        <v>472</v>
      </c>
      <c r="CN111" s="80">
        <v>393</v>
      </c>
      <c r="CO111" s="80">
        <v>418</v>
      </c>
      <c r="CP111" s="80">
        <v>385</v>
      </c>
      <c r="CQ111" s="80">
        <v>379</v>
      </c>
      <c r="CR111" s="80">
        <v>367</v>
      </c>
      <c r="CS111" s="80">
        <v>306</v>
      </c>
      <c r="CT111" s="80">
        <v>257</v>
      </c>
      <c r="CU111" s="80">
        <v>206</v>
      </c>
      <c r="CV111" s="80">
        <v>179</v>
      </c>
      <c r="CW111" s="80">
        <v>151</v>
      </c>
      <c r="CX111" s="80">
        <v>138</v>
      </c>
      <c r="CY111" s="80">
        <v>378</v>
      </c>
      <c r="CZ111" s="81">
        <v>668</v>
      </c>
      <c r="DA111" s="81">
        <v>753</v>
      </c>
      <c r="DB111" s="81">
        <v>844</v>
      </c>
      <c r="DC111" s="81">
        <v>760</v>
      </c>
      <c r="DD111" s="81">
        <v>892</v>
      </c>
      <c r="DE111" s="81">
        <v>812</v>
      </c>
      <c r="DF111" s="81">
        <v>823</v>
      </c>
      <c r="DG111" s="81">
        <v>858</v>
      </c>
      <c r="DH111" s="81">
        <v>914</v>
      </c>
      <c r="DI111" s="81">
        <v>864</v>
      </c>
      <c r="DJ111" s="81">
        <v>842</v>
      </c>
      <c r="DK111" s="81">
        <v>822</v>
      </c>
      <c r="DL111" s="81">
        <v>888</v>
      </c>
      <c r="DM111" s="81">
        <v>804</v>
      </c>
      <c r="DN111" s="81">
        <v>854</v>
      </c>
      <c r="DO111" s="81">
        <v>802</v>
      </c>
      <c r="DP111" s="81">
        <v>796</v>
      </c>
      <c r="DQ111" s="81">
        <v>735</v>
      </c>
      <c r="DR111" s="81">
        <v>739</v>
      </c>
      <c r="DS111" s="81">
        <v>672</v>
      </c>
      <c r="DT111" s="81">
        <v>654</v>
      </c>
      <c r="DU111" s="81">
        <v>754</v>
      </c>
      <c r="DV111" s="81">
        <v>771</v>
      </c>
      <c r="DW111" s="81">
        <v>854</v>
      </c>
      <c r="DX111" s="81">
        <v>829</v>
      </c>
      <c r="DY111" s="81">
        <v>914</v>
      </c>
      <c r="DZ111" s="81">
        <v>975</v>
      </c>
      <c r="EA111" s="81">
        <v>928</v>
      </c>
      <c r="EB111" s="81">
        <v>937</v>
      </c>
      <c r="EC111" s="81">
        <v>997</v>
      </c>
      <c r="ED111" s="81">
        <v>986</v>
      </c>
      <c r="EE111" s="81">
        <v>973</v>
      </c>
      <c r="EF111" s="81">
        <v>1001</v>
      </c>
      <c r="EG111" s="81">
        <v>1079</v>
      </c>
      <c r="EH111" s="81">
        <v>1056</v>
      </c>
      <c r="EI111" s="81">
        <v>1026</v>
      </c>
      <c r="EJ111" s="81">
        <v>959</v>
      </c>
      <c r="EK111" s="81">
        <v>933</v>
      </c>
      <c r="EL111" s="81">
        <v>960</v>
      </c>
      <c r="EM111" s="81">
        <v>997</v>
      </c>
      <c r="EN111" s="81">
        <v>958</v>
      </c>
      <c r="EO111" s="81">
        <v>954</v>
      </c>
      <c r="EP111" s="81">
        <v>776</v>
      </c>
      <c r="EQ111" s="81">
        <v>800</v>
      </c>
      <c r="ER111" s="81">
        <v>839</v>
      </c>
      <c r="ES111" s="81">
        <v>865</v>
      </c>
      <c r="ET111" s="81">
        <v>919</v>
      </c>
      <c r="EU111" s="81">
        <v>908</v>
      </c>
      <c r="EV111" s="81">
        <v>1045</v>
      </c>
      <c r="EW111" s="81">
        <v>1066</v>
      </c>
      <c r="EX111" s="81">
        <v>1043</v>
      </c>
      <c r="EY111" s="81">
        <v>1160</v>
      </c>
      <c r="EZ111" s="81">
        <v>1101</v>
      </c>
      <c r="FA111" s="81">
        <v>1114</v>
      </c>
      <c r="FB111" s="81">
        <v>1210</v>
      </c>
      <c r="FC111" s="81">
        <v>1250</v>
      </c>
      <c r="FD111" s="81">
        <v>1164</v>
      </c>
      <c r="FE111" s="81">
        <v>1205</v>
      </c>
      <c r="FF111" s="81">
        <v>1159</v>
      </c>
      <c r="FG111" s="81">
        <v>1203</v>
      </c>
      <c r="FH111" s="81">
        <v>1121</v>
      </c>
      <c r="FI111" s="81">
        <v>1087</v>
      </c>
      <c r="FJ111" s="81">
        <v>1111</v>
      </c>
      <c r="FK111" s="81">
        <v>1011</v>
      </c>
      <c r="FL111" s="81">
        <v>975</v>
      </c>
      <c r="FM111" s="81">
        <v>912</v>
      </c>
      <c r="FN111" s="81">
        <v>998</v>
      </c>
      <c r="FO111" s="81">
        <v>914</v>
      </c>
      <c r="FP111" s="81">
        <v>844</v>
      </c>
      <c r="FQ111" s="81">
        <v>868</v>
      </c>
      <c r="FR111" s="81">
        <v>894</v>
      </c>
      <c r="FS111" s="81">
        <v>891</v>
      </c>
      <c r="FT111" s="81">
        <v>925</v>
      </c>
      <c r="FU111" s="81">
        <v>908</v>
      </c>
      <c r="FV111" s="81">
        <v>759</v>
      </c>
      <c r="FW111" s="81">
        <v>674</v>
      </c>
      <c r="FX111" s="81">
        <v>652</v>
      </c>
      <c r="FY111" s="81">
        <v>655</v>
      </c>
      <c r="FZ111" s="81">
        <v>531</v>
      </c>
      <c r="GA111" s="81">
        <v>512</v>
      </c>
      <c r="GB111" s="81">
        <v>508</v>
      </c>
      <c r="GC111" s="81">
        <v>534</v>
      </c>
      <c r="GD111" s="81">
        <v>515</v>
      </c>
      <c r="GE111" s="81">
        <v>502</v>
      </c>
      <c r="GF111" s="81">
        <v>399</v>
      </c>
      <c r="GG111" s="81">
        <v>370</v>
      </c>
      <c r="GH111" s="81">
        <v>373</v>
      </c>
      <c r="GI111" s="81">
        <v>332</v>
      </c>
      <c r="GJ111" s="81">
        <v>296</v>
      </c>
      <c r="GK111" s="81">
        <v>240</v>
      </c>
      <c r="GL111" s="82">
        <v>958</v>
      </c>
    </row>
    <row r="112" spans="1:194" s="1" customFormat="1" hidden="1" x14ac:dyDescent="0.2">
      <c r="A112" s="83" t="s">
        <v>220</v>
      </c>
      <c r="B112" s="262" t="s">
        <v>322</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0">
        <v>9757</v>
      </c>
      <c r="N112" s="80">
        <v>9927</v>
      </c>
      <c r="O112" s="80">
        <v>10114</v>
      </c>
      <c r="P112" s="80">
        <v>10285</v>
      </c>
      <c r="Q112" s="80">
        <v>10513</v>
      </c>
      <c r="R112" s="80">
        <v>10599</v>
      </c>
      <c r="S112" s="80">
        <v>10222</v>
      </c>
      <c r="T112" s="80">
        <v>10351</v>
      </c>
      <c r="U112" s="80">
        <v>10687</v>
      </c>
      <c r="V112" s="80">
        <v>10435</v>
      </c>
      <c r="W112" s="80">
        <v>10214</v>
      </c>
      <c r="X112" s="80">
        <v>9761</v>
      </c>
      <c r="Y112" s="80">
        <v>9673</v>
      </c>
      <c r="Z112" s="80">
        <v>9640</v>
      </c>
      <c r="AA112" s="80">
        <v>8712</v>
      </c>
      <c r="AB112" s="80">
        <v>8337</v>
      </c>
      <c r="AC112" s="80">
        <v>8265</v>
      </c>
      <c r="AD112" s="80">
        <v>7872</v>
      </c>
      <c r="AE112" s="80">
        <v>7557</v>
      </c>
      <c r="AF112" s="80">
        <v>6330</v>
      </c>
      <c r="AG112" s="80">
        <v>6098</v>
      </c>
      <c r="AH112" s="80">
        <v>6680</v>
      </c>
      <c r="AI112" s="80">
        <v>7451</v>
      </c>
      <c r="AJ112" s="80">
        <v>8854</v>
      </c>
      <c r="AK112" s="80">
        <v>9653</v>
      </c>
      <c r="AL112" s="80">
        <v>10496</v>
      </c>
      <c r="AM112" s="80">
        <v>10500</v>
      </c>
      <c r="AN112" s="80">
        <v>10400</v>
      </c>
      <c r="AO112" s="80">
        <v>11263</v>
      </c>
      <c r="AP112" s="80">
        <v>11207</v>
      </c>
      <c r="AQ112" s="80">
        <v>11143</v>
      </c>
      <c r="AR112" s="80">
        <v>11586</v>
      </c>
      <c r="AS112" s="80">
        <v>12353</v>
      </c>
      <c r="AT112" s="80">
        <v>12095</v>
      </c>
      <c r="AU112" s="80">
        <v>12907</v>
      </c>
      <c r="AV112" s="80">
        <v>12882</v>
      </c>
      <c r="AW112" s="80">
        <v>12615</v>
      </c>
      <c r="AX112" s="80">
        <v>12934</v>
      </c>
      <c r="AY112" s="80">
        <v>12701</v>
      </c>
      <c r="AZ112" s="80">
        <v>12619</v>
      </c>
      <c r="BA112" s="80">
        <v>12457</v>
      </c>
      <c r="BB112" s="80">
        <v>12176</v>
      </c>
      <c r="BC112" s="80">
        <v>11849</v>
      </c>
      <c r="BD112" s="80">
        <v>11361</v>
      </c>
      <c r="BE112" s="80">
        <v>10848</v>
      </c>
      <c r="BF112" s="80">
        <v>11115</v>
      </c>
      <c r="BG112" s="80">
        <v>10641</v>
      </c>
      <c r="BH112" s="80">
        <v>10494</v>
      </c>
      <c r="BI112" s="80">
        <v>10544</v>
      </c>
      <c r="BJ112" s="80">
        <v>10118</v>
      </c>
      <c r="BK112" s="80">
        <v>9747</v>
      </c>
      <c r="BL112" s="80">
        <v>9945</v>
      </c>
      <c r="BM112" s="80">
        <v>9786</v>
      </c>
      <c r="BN112" s="80">
        <v>9755</v>
      </c>
      <c r="BO112" s="80">
        <v>9966</v>
      </c>
      <c r="BP112" s="80">
        <v>9355</v>
      </c>
      <c r="BQ112" s="80">
        <v>9586</v>
      </c>
      <c r="BR112" s="80">
        <v>8883</v>
      </c>
      <c r="BS112" s="80">
        <v>8345</v>
      </c>
      <c r="BT112" s="80">
        <v>8148</v>
      </c>
      <c r="BU112" s="80">
        <v>7588</v>
      </c>
      <c r="BV112" s="80">
        <v>7438</v>
      </c>
      <c r="BW112" s="80">
        <v>6780</v>
      </c>
      <c r="BX112" s="80">
        <v>6596</v>
      </c>
      <c r="BY112" s="80">
        <v>6230</v>
      </c>
      <c r="BZ112" s="80">
        <v>5871</v>
      </c>
      <c r="CA112" s="80">
        <v>5662</v>
      </c>
      <c r="CB112" s="80">
        <v>5259</v>
      </c>
      <c r="CC112" s="80">
        <v>5111</v>
      </c>
      <c r="CD112" s="80">
        <v>5041</v>
      </c>
      <c r="CE112" s="80">
        <v>4928</v>
      </c>
      <c r="CF112" s="80">
        <v>4953</v>
      </c>
      <c r="CG112" s="80">
        <v>4906</v>
      </c>
      <c r="CH112" s="80">
        <v>5438</v>
      </c>
      <c r="CI112" s="80">
        <v>4188</v>
      </c>
      <c r="CJ112" s="80">
        <v>3754</v>
      </c>
      <c r="CK112" s="80">
        <v>3565</v>
      </c>
      <c r="CL112" s="80">
        <v>3304</v>
      </c>
      <c r="CM112" s="80">
        <v>2878</v>
      </c>
      <c r="CN112" s="80">
        <v>2734</v>
      </c>
      <c r="CO112" s="80">
        <v>2735</v>
      </c>
      <c r="CP112" s="80">
        <v>2572</v>
      </c>
      <c r="CQ112" s="80">
        <v>2401</v>
      </c>
      <c r="CR112" s="80">
        <v>2190</v>
      </c>
      <c r="CS112" s="80">
        <v>1995</v>
      </c>
      <c r="CT112" s="80">
        <v>1793</v>
      </c>
      <c r="CU112" s="80">
        <v>1548</v>
      </c>
      <c r="CV112" s="80">
        <v>1376</v>
      </c>
      <c r="CW112" s="80">
        <v>1183</v>
      </c>
      <c r="CX112" s="80">
        <v>990</v>
      </c>
      <c r="CY112" s="80">
        <v>3626</v>
      </c>
      <c r="CZ112" s="81">
        <v>9300</v>
      </c>
      <c r="DA112" s="81">
        <v>9372</v>
      </c>
      <c r="DB112" s="81">
        <v>9542</v>
      </c>
      <c r="DC112" s="81">
        <v>9790</v>
      </c>
      <c r="DD112" s="81">
        <v>9931</v>
      </c>
      <c r="DE112" s="81">
        <v>9864</v>
      </c>
      <c r="DF112" s="81">
        <v>9777</v>
      </c>
      <c r="DG112" s="81">
        <v>9979</v>
      </c>
      <c r="DH112" s="81">
        <v>10355</v>
      </c>
      <c r="DI112" s="81">
        <v>9790</v>
      </c>
      <c r="DJ112" s="81">
        <v>9732</v>
      </c>
      <c r="DK112" s="81">
        <v>9509</v>
      </c>
      <c r="DL112" s="81">
        <v>9430</v>
      </c>
      <c r="DM112" s="81">
        <v>9071</v>
      </c>
      <c r="DN112" s="81">
        <v>8498</v>
      </c>
      <c r="DO112" s="81">
        <v>8109</v>
      </c>
      <c r="DP112" s="81">
        <v>7996</v>
      </c>
      <c r="DQ112" s="81">
        <v>7812</v>
      </c>
      <c r="DR112" s="81">
        <v>7168</v>
      </c>
      <c r="DS112" s="81">
        <v>6005</v>
      </c>
      <c r="DT112" s="81">
        <v>5940</v>
      </c>
      <c r="DU112" s="81">
        <v>6640</v>
      </c>
      <c r="DV112" s="81">
        <v>7939</v>
      </c>
      <c r="DW112" s="81">
        <v>9441</v>
      </c>
      <c r="DX112" s="81">
        <v>10769</v>
      </c>
      <c r="DY112" s="81">
        <v>11652</v>
      </c>
      <c r="DZ112" s="81">
        <v>11423</v>
      </c>
      <c r="EA112" s="81">
        <v>11734</v>
      </c>
      <c r="EB112" s="81">
        <v>12353</v>
      </c>
      <c r="EC112" s="81">
        <v>12752</v>
      </c>
      <c r="ED112" s="81">
        <v>12539</v>
      </c>
      <c r="EE112" s="81">
        <v>12738</v>
      </c>
      <c r="EF112" s="81">
        <v>13401</v>
      </c>
      <c r="EG112" s="81">
        <v>13156</v>
      </c>
      <c r="EH112" s="81">
        <v>13285</v>
      </c>
      <c r="EI112" s="81">
        <v>13297</v>
      </c>
      <c r="EJ112" s="81">
        <v>13104</v>
      </c>
      <c r="EK112" s="81">
        <v>13708</v>
      </c>
      <c r="EL112" s="81">
        <v>14042</v>
      </c>
      <c r="EM112" s="81">
        <v>13107</v>
      </c>
      <c r="EN112" s="81">
        <v>13052</v>
      </c>
      <c r="EO112" s="81">
        <v>12874</v>
      </c>
      <c r="EP112" s="81">
        <v>11569</v>
      </c>
      <c r="EQ112" s="81">
        <v>11377</v>
      </c>
      <c r="ER112" s="81">
        <v>11192</v>
      </c>
      <c r="ES112" s="81">
        <v>10914</v>
      </c>
      <c r="ET112" s="81">
        <v>10707</v>
      </c>
      <c r="EU112" s="81">
        <v>10780</v>
      </c>
      <c r="EV112" s="81">
        <v>10940</v>
      </c>
      <c r="EW112" s="81">
        <v>10683</v>
      </c>
      <c r="EX112" s="81">
        <v>10447</v>
      </c>
      <c r="EY112" s="81">
        <v>10337</v>
      </c>
      <c r="EZ112" s="81">
        <v>10495</v>
      </c>
      <c r="FA112" s="81">
        <v>10245</v>
      </c>
      <c r="FB112" s="81">
        <v>10288</v>
      </c>
      <c r="FC112" s="81">
        <v>9853</v>
      </c>
      <c r="FD112" s="81">
        <v>9687</v>
      </c>
      <c r="FE112" s="81">
        <v>9503</v>
      </c>
      <c r="FF112" s="81">
        <v>8931</v>
      </c>
      <c r="FG112" s="81">
        <v>8292</v>
      </c>
      <c r="FH112" s="81">
        <v>8057</v>
      </c>
      <c r="FI112" s="81">
        <v>7482</v>
      </c>
      <c r="FJ112" s="81">
        <v>7144</v>
      </c>
      <c r="FK112" s="81">
        <v>6953</v>
      </c>
      <c r="FL112" s="81">
        <v>6788</v>
      </c>
      <c r="FM112" s="81">
        <v>6377</v>
      </c>
      <c r="FN112" s="81">
        <v>6279</v>
      </c>
      <c r="FO112" s="81">
        <v>6014</v>
      </c>
      <c r="FP112" s="81">
        <v>5777</v>
      </c>
      <c r="FQ112" s="81">
        <v>5785</v>
      </c>
      <c r="FR112" s="81">
        <v>5617</v>
      </c>
      <c r="FS112" s="81">
        <v>5689</v>
      </c>
      <c r="FT112" s="81">
        <v>5860</v>
      </c>
      <c r="FU112" s="81">
        <v>6123</v>
      </c>
      <c r="FV112" s="81">
        <v>4852</v>
      </c>
      <c r="FW112" s="81">
        <v>4460</v>
      </c>
      <c r="FX112" s="81">
        <v>4400</v>
      </c>
      <c r="FY112" s="81">
        <v>4138</v>
      </c>
      <c r="FZ112" s="81">
        <v>3736</v>
      </c>
      <c r="GA112" s="81">
        <v>3402</v>
      </c>
      <c r="GB112" s="81">
        <v>3486</v>
      </c>
      <c r="GC112" s="81">
        <v>3418</v>
      </c>
      <c r="GD112" s="81">
        <v>3159</v>
      </c>
      <c r="GE112" s="81">
        <v>2951</v>
      </c>
      <c r="GF112" s="81">
        <v>2784</v>
      </c>
      <c r="GG112" s="81">
        <v>2474</v>
      </c>
      <c r="GH112" s="81">
        <v>2184</v>
      </c>
      <c r="GI112" s="81">
        <v>1980</v>
      </c>
      <c r="GJ112" s="81">
        <v>1925</v>
      </c>
      <c r="GK112" s="81">
        <v>1610</v>
      </c>
      <c r="GL112" s="82">
        <v>7181</v>
      </c>
    </row>
    <row r="113" spans="1:194" s="1" customFormat="1" hidden="1" x14ac:dyDescent="0.2">
      <c r="A113" s="83" t="s">
        <v>220</v>
      </c>
      <c r="B113" s="262" t="s">
        <v>323</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0">
        <v>996</v>
      </c>
      <c r="N113" s="80">
        <v>1025</v>
      </c>
      <c r="O113" s="80">
        <v>1111</v>
      </c>
      <c r="P113" s="80">
        <v>1132</v>
      </c>
      <c r="Q113" s="80">
        <v>1167</v>
      </c>
      <c r="R113" s="80">
        <v>1109</v>
      </c>
      <c r="S113" s="80">
        <v>1204</v>
      </c>
      <c r="T113" s="80">
        <v>1152</v>
      </c>
      <c r="U113" s="80">
        <v>1226</v>
      </c>
      <c r="V113" s="80">
        <v>1197</v>
      </c>
      <c r="W113" s="80">
        <v>1192</v>
      </c>
      <c r="X113" s="80">
        <v>1179</v>
      </c>
      <c r="Y113" s="80">
        <v>1201</v>
      </c>
      <c r="Z113" s="80">
        <v>1175</v>
      </c>
      <c r="AA113" s="80">
        <v>1078</v>
      </c>
      <c r="AB113" s="80">
        <v>1005</v>
      </c>
      <c r="AC113" s="80">
        <v>1060</v>
      </c>
      <c r="AD113" s="80">
        <v>1027</v>
      </c>
      <c r="AE113" s="80">
        <v>1014</v>
      </c>
      <c r="AF113" s="80">
        <v>729</v>
      </c>
      <c r="AG113" s="80">
        <v>811</v>
      </c>
      <c r="AH113" s="80">
        <v>785</v>
      </c>
      <c r="AI113" s="80">
        <v>928</v>
      </c>
      <c r="AJ113" s="80">
        <v>1016</v>
      </c>
      <c r="AK113" s="80">
        <v>962</v>
      </c>
      <c r="AL113" s="80">
        <v>1041</v>
      </c>
      <c r="AM113" s="80">
        <v>1121</v>
      </c>
      <c r="AN113" s="80">
        <v>1026</v>
      </c>
      <c r="AO113" s="80">
        <v>997</v>
      </c>
      <c r="AP113" s="80">
        <v>970</v>
      </c>
      <c r="AQ113" s="80">
        <v>1037</v>
      </c>
      <c r="AR113" s="80">
        <v>993</v>
      </c>
      <c r="AS113" s="80">
        <v>1063</v>
      </c>
      <c r="AT113" s="80">
        <v>1137</v>
      </c>
      <c r="AU113" s="80">
        <v>1173</v>
      </c>
      <c r="AV113" s="80">
        <v>1205</v>
      </c>
      <c r="AW113" s="80">
        <v>1070</v>
      </c>
      <c r="AX113" s="80">
        <v>1232</v>
      </c>
      <c r="AY113" s="80">
        <v>1217</v>
      </c>
      <c r="AZ113" s="80">
        <v>1211</v>
      </c>
      <c r="BA113" s="80">
        <v>1477</v>
      </c>
      <c r="BB113" s="80">
        <v>1212</v>
      </c>
      <c r="BC113" s="80">
        <v>1210</v>
      </c>
      <c r="BD113" s="80">
        <v>1123</v>
      </c>
      <c r="BE113" s="80">
        <v>1231</v>
      </c>
      <c r="BF113" s="80">
        <v>1142</v>
      </c>
      <c r="BG113" s="80">
        <v>1301</v>
      </c>
      <c r="BH113" s="80">
        <v>1366</v>
      </c>
      <c r="BI113" s="80">
        <v>1390</v>
      </c>
      <c r="BJ113" s="80">
        <v>1269</v>
      </c>
      <c r="BK113" s="80">
        <v>1251</v>
      </c>
      <c r="BL113" s="80">
        <v>1356</v>
      </c>
      <c r="BM113" s="80">
        <v>1292</v>
      </c>
      <c r="BN113" s="80">
        <v>1260</v>
      </c>
      <c r="BO113" s="80">
        <v>1231</v>
      </c>
      <c r="BP113" s="80">
        <v>1323</v>
      </c>
      <c r="BQ113" s="80">
        <v>1340</v>
      </c>
      <c r="BR113" s="80">
        <v>1235</v>
      </c>
      <c r="BS113" s="80">
        <v>1270</v>
      </c>
      <c r="BT113" s="80">
        <v>1199</v>
      </c>
      <c r="BU113" s="80">
        <v>1124</v>
      </c>
      <c r="BV113" s="80">
        <v>1055</v>
      </c>
      <c r="BW113" s="80">
        <v>1051</v>
      </c>
      <c r="BX113" s="80">
        <v>934</v>
      </c>
      <c r="BY113" s="80">
        <v>937</v>
      </c>
      <c r="BZ113" s="80">
        <v>877</v>
      </c>
      <c r="CA113" s="80">
        <v>902</v>
      </c>
      <c r="CB113" s="80">
        <v>888</v>
      </c>
      <c r="CC113" s="80">
        <v>908</v>
      </c>
      <c r="CD113" s="80">
        <v>808</v>
      </c>
      <c r="CE113" s="80">
        <v>805</v>
      </c>
      <c r="CF113" s="80">
        <v>899</v>
      </c>
      <c r="CG113" s="80">
        <v>992</v>
      </c>
      <c r="CH113" s="80">
        <v>999</v>
      </c>
      <c r="CI113" s="80">
        <v>796</v>
      </c>
      <c r="CJ113" s="80">
        <v>725</v>
      </c>
      <c r="CK113" s="80">
        <v>696</v>
      </c>
      <c r="CL113" s="80">
        <v>589</v>
      </c>
      <c r="CM113" s="80">
        <v>582</v>
      </c>
      <c r="CN113" s="80">
        <v>443</v>
      </c>
      <c r="CO113" s="80">
        <v>503</v>
      </c>
      <c r="CP113" s="80">
        <v>462</v>
      </c>
      <c r="CQ113" s="80">
        <v>470</v>
      </c>
      <c r="CR113" s="80">
        <v>389</v>
      </c>
      <c r="CS113" s="80">
        <v>374</v>
      </c>
      <c r="CT113" s="80">
        <v>300</v>
      </c>
      <c r="CU113" s="80">
        <v>320</v>
      </c>
      <c r="CV113" s="80">
        <v>275</v>
      </c>
      <c r="CW113" s="80">
        <v>205</v>
      </c>
      <c r="CX113" s="80">
        <v>182</v>
      </c>
      <c r="CY113" s="80">
        <v>652</v>
      </c>
      <c r="CZ113" s="81">
        <v>980</v>
      </c>
      <c r="DA113" s="81">
        <v>1009</v>
      </c>
      <c r="DB113" s="81">
        <v>1102</v>
      </c>
      <c r="DC113" s="81">
        <v>1118</v>
      </c>
      <c r="DD113" s="81">
        <v>1141</v>
      </c>
      <c r="DE113" s="81">
        <v>1157</v>
      </c>
      <c r="DF113" s="81">
        <v>1121</v>
      </c>
      <c r="DG113" s="81">
        <v>1121</v>
      </c>
      <c r="DH113" s="81">
        <v>1180</v>
      </c>
      <c r="DI113" s="81">
        <v>1134</v>
      </c>
      <c r="DJ113" s="81">
        <v>1161</v>
      </c>
      <c r="DK113" s="81">
        <v>1169</v>
      </c>
      <c r="DL113" s="81">
        <v>1068</v>
      </c>
      <c r="DM113" s="81">
        <v>1137</v>
      </c>
      <c r="DN113" s="81">
        <v>1077</v>
      </c>
      <c r="DO113" s="81">
        <v>1054</v>
      </c>
      <c r="DP113" s="81">
        <v>875</v>
      </c>
      <c r="DQ113" s="81">
        <v>896</v>
      </c>
      <c r="DR113" s="81">
        <v>903</v>
      </c>
      <c r="DS113" s="81">
        <v>785</v>
      </c>
      <c r="DT113" s="81">
        <v>744</v>
      </c>
      <c r="DU113" s="81">
        <v>859</v>
      </c>
      <c r="DV113" s="81">
        <v>904</v>
      </c>
      <c r="DW113" s="81">
        <v>1023</v>
      </c>
      <c r="DX113" s="81">
        <v>1043</v>
      </c>
      <c r="DY113" s="81">
        <v>921</v>
      </c>
      <c r="DZ113" s="81">
        <v>1080</v>
      </c>
      <c r="EA113" s="81">
        <v>939</v>
      </c>
      <c r="EB113" s="81">
        <v>984</v>
      </c>
      <c r="EC113" s="81">
        <v>1095</v>
      </c>
      <c r="ED113" s="81">
        <v>1121</v>
      </c>
      <c r="EE113" s="81">
        <v>1072</v>
      </c>
      <c r="EF113" s="81">
        <v>1144</v>
      </c>
      <c r="EG113" s="81">
        <v>1192</v>
      </c>
      <c r="EH113" s="81">
        <v>1277</v>
      </c>
      <c r="EI113" s="81">
        <v>1319</v>
      </c>
      <c r="EJ113" s="81">
        <v>1235</v>
      </c>
      <c r="EK113" s="81">
        <v>1184</v>
      </c>
      <c r="EL113" s="81">
        <v>1311</v>
      </c>
      <c r="EM113" s="81">
        <v>1260</v>
      </c>
      <c r="EN113" s="81">
        <v>1331</v>
      </c>
      <c r="EO113" s="81">
        <v>1359</v>
      </c>
      <c r="EP113" s="81">
        <v>1180</v>
      </c>
      <c r="EQ113" s="81">
        <v>1210</v>
      </c>
      <c r="ER113" s="81">
        <v>1205</v>
      </c>
      <c r="ES113" s="81">
        <v>1219</v>
      </c>
      <c r="ET113" s="81">
        <v>1282</v>
      </c>
      <c r="EU113" s="81">
        <v>1403</v>
      </c>
      <c r="EV113" s="81">
        <v>1327</v>
      </c>
      <c r="EW113" s="81">
        <v>1301</v>
      </c>
      <c r="EX113" s="81">
        <v>1247</v>
      </c>
      <c r="EY113" s="81">
        <v>1325</v>
      </c>
      <c r="EZ113" s="81">
        <v>1371</v>
      </c>
      <c r="FA113" s="81">
        <v>1316</v>
      </c>
      <c r="FB113" s="81">
        <v>1360</v>
      </c>
      <c r="FC113" s="81">
        <v>1229</v>
      </c>
      <c r="FD113" s="81">
        <v>1294</v>
      </c>
      <c r="FE113" s="81">
        <v>1266</v>
      </c>
      <c r="FF113" s="81">
        <v>1137</v>
      </c>
      <c r="FG113" s="81">
        <v>1149</v>
      </c>
      <c r="FH113" s="81">
        <v>1139</v>
      </c>
      <c r="FI113" s="81">
        <v>1084</v>
      </c>
      <c r="FJ113" s="81">
        <v>1025</v>
      </c>
      <c r="FK113" s="81">
        <v>983</v>
      </c>
      <c r="FL113" s="81">
        <v>922</v>
      </c>
      <c r="FM113" s="81">
        <v>929</v>
      </c>
      <c r="FN113" s="81">
        <v>983</v>
      </c>
      <c r="FO113" s="81">
        <v>955</v>
      </c>
      <c r="FP113" s="81">
        <v>896</v>
      </c>
      <c r="FQ113" s="81">
        <v>916</v>
      </c>
      <c r="FR113" s="81">
        <v>1010</v>
      </c>
      <c r="FS113" s="81">
        <v>971</v>
      </c>
      <c r="FT113" s="81">
        <v>1081</v>
      </c>
      <c r="FU113" s="81">
        <v>1116</v>
      </c>
      <c r="FV113" s="81">
        <v>858</v>
      </c>
      <c r="FW113" s="81">
        <v>881</v>
      </c>
      <c r="FX113" s="81">
        <v>854</v>
      </c>
      <c r="FY113" s="81">
        <v>788</v>
      </c>
      <c r="FZ113" s="81">
        <v>661</v>
      </c>
      <c r="GA113" s="81">
        <v>549</v>
      </c>
      <c r="GB113" s="81">
        <v>606</v>
      </c>
      <c r="GC113" s="81">
        <v>615</v>
      </c>
      <c r="GD113" s="81">
        <v>570</v>
      </c>
      <c r="GE113" s="81">
        <v>485</v>
      </c>
      <c r="GF113" s="81">
        <v>480</v>
      </c>
      <c r="GG113" s="81">
        <v>500</v>
      </c>
      <c r="GH113" s="81">
        <v>390</v>
      </c>
      <c r="GI113" s="81">
        <v>368</v>
      </c>
      <c r="GJ113" s="81">
        <v>352</v>
      </c>
      <c r="GK113" s="81">
        <v>325</v>
      </c>
      <c r="GL113" s="82">
        <v>1481</v>
      </c>
    </row>
    <row r="114" spans="1:194" s="1" customFormat="1" hidden="1" x14ac:dyDescent="0.2">
      <c r="A114" s="83" t="s">
        <v>220</v>
      </c>
      <c r="B114" s="262" t="s">
        <v>324</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0">
        <v>444</v>
      </c>
      <c r="N114" s="80">
        <v>428</v>
      </c>
      <c r="O114" s="80">
        <v>545</v>
      </c>
      <c r="P114" s="80">
        <v>565</v>
      </c>
      <c r="Q114" s="80">
        <v>547</v>
      </c>
      <c r="R114" s="80">
        <v>596</v>
      </c>
      <c r="S114" s="80">
        <v>642</v>
      </c>
      <c r="T114" s="80">
        <v>639</v>
      </c>
      <c r="U114" s="80">
        <v>622</v>
      </c>
      <c r="V114" s="80">
        <v>677</v>
      </c>
      <c r="W114" s="80">
        <v>715</v>
      </c>
      <c r="X114" s="80">
        <v>630</v>
      </c>
      <c r="Y114" s="80">
        <v>730</v>
      </c>
      <c r="Z114" s="80">
        <v>679</v>
      </c>
      <c r="AA114" s="80">
        <v>675</v>
      </c>
      <c r="AB114" s="80">
        <v>648</v>
      </c>
      <c r="AC114" s="80">
        <v>624</v>
      </c>
      <c r="AD114" s="80">
        <v>593</v>
      </c>
      <c r="AE114" s="80">
        <v>613</v>
      </c>
      <c r="AF114" s="80">
        <v>488</v>
      </c>
      <c r="AG114" s="80">
        <v>488</v>
      </c>
      <c r="AH114" s="80">
        <v>510</v>
      </c>
      <c r="AI114" s="80">
        <v>539</v>
      </c>
      <c r="AJ114" s="80">
        <v>602</v>
      </c>
      <c r="AK114" s="80">
        <v>568</v>
      </c>
      <c r="AL114" s="80">
        <v>597</v>
      </c>
      <c r="AM114" s="80">
        <v>554</v>
      </c>
      <c r="AN114" s="80">
        <v>537</v>
      </c>
      <c r="AO114" s="80">
        <v>530</v>
      </c>
      <c r="AP114" s="80">
        <v>596</v>
      </c>
      <c r="AQ114" s="80">
        <v>621</v>
      </c>
      <c r="AR114" s="80">
        <v>604</v>
      </c>
      <c r="AS114" s="80">
        <v>584</v>
      </c>
      <c r="AT114" s="80">
        <v>590</v>
      </c>
      <c r="AU114" s="80">
        <v>573</v>
      </c>
      <c r="AV114" s="80">
        <v>584</v>
      </c>
      <c r="AW114" s="80">
        <v>528</v>
      </c>
      <c r="AX114" s="80">
        <v>587</v>
      </c>
      <c r="AY114" s="80">
        <v>570</v>
      </c>
      <c r="AZ114" s="80">
        <v>586</v>
      </c>
      <c r="BA114" s="80">
        <v>586</v>
      </c>
      <c r="BB114" s="80">
        <v>550</v>
      </c>
      <c r="BC114" s="80">
        <v>501</v>
      </c>
      <c r="BD114" s="80">
        <v>571</v>
      </c>
      <c r="BE114" s="80">
        <v>516</v>
      </c>
      <c r="BF114" s="80">
        <v>569</v>
      </c>
      <c r="BG114" s="80">
        <v>676</v>
      </c>
      <c r="BH114" s="80">
        <v>655</v>
      </c>
      <c r="BI114" s="80">
        <v>777</v>
      </c>
      <c r="BJ114" s="80">
        <v>763</v>
      </c>
      <c r="BK114" s="80">
        <v>737</v>
      </c>
      <c r="BL114" s="80">
        <v>766</v>
      </c>
      <c r="BM114" s="80">
        <v>828</v>
      </c>
      <c r="BN114" s="80">
        <v>867</v>
      </c>
      <c r="BO114" s="80">
        <v>815</v>
      </c>
      <c r="BP114" s="80">
        <v>852</v>
      </c>
      <c r="BQ114" s="80">
        <v>858</v>
      </c>
      <c r="BR114" s="80">
        <v>830</v>
      </c>
      <c r="BS114" s="80">
        <v>809</v>
      </c>
      <c r="BT114" s="80">
        <v>833</v>
      </c>
      <c r="BU114" s="80">
        <v>831</v>
      </c>
      <c r="BV114" s="80">
        <v>760</v>
      </c>
      <c r="BW114" s="80">
        <v>796</v>
      </c>
      <c r="BX114" s="80">
        <v>736</v>
      </c>
      <c r="BY114" s="80">
        <v>761</v>
      </c>
      <c r="BZ114" s="80">
        <v>717</v>
      </c>
      <c r="CA114" s="80">
        <v>768</v>
      </c>
      <c r="CB114" s="80">
        <v>684</v>
      </c>
      <c r="CC114" s="80">
        <v>708</v>
      </c>
      <c r="CD114" s="80">
        <v>713</v>
      </c>
      <c r="CE114" s="80">
        <v>758</v>
      </c>
      <c r="CF114" s="80">
        <v>729</v>
      </c>
      <c r="CG114" s="80">
        <v>764</v>
      </c>
      <c r="CH114" s="80">
        <v>925</v>
      </c>
      <c r="CI114" s="80">
        <v>658</v>
      </c>
      <c r="CJ114" s="80">
        <v>586</v>
      </c>
      <c r="CK114" s="80">
        <v>683</v>
      </c>
      <c r="CL114" s="80">
        <v>557</v>
      </c>
      <c r="CM114" s="80">
        <v>500</v>
      </c>
      <c r="CN114" s="80">
        <v>488</v>
      </c>
      <c r="CO114" s="80">
        <v>413</v>
      </c>
      <c r="CP114" s="80">
        <v>396</v>
      </c>
      <c r="CQ114" s="80">
        <v>423</v>
      </c>
      <c r="CR114" s="80">
        <v>382</v>
      </c>
      <c r="CS114" s="80">
        <v>381</v>
      </c>
      <c r="CT114" s="80">
        <v>323</v>
      </c>
      <c r="CU114" s="80">
        <v>281</v>
      </c>
      <c r="CV114" s="80">
        <v>216</v>
      </c>
      <c r="CW114" s="80">
        <v>215</v>
      </c>
      <c r="CX114" s="80">
        <v>186</v>
      </c>
      <c r="CY114" s="80">
        <v>568</v>
      </c>
      <c r="CZ114" s="81">
        <v>444</v>
      </c>
      <c r="DA114" s="81">
        <v>488</v>
      </c>
      <c r="DB114" s="81">
        <v>473</v>
      </c>
      <c r="DC114" s="81">
        <v>486</v>
      </c>
      <c r="DD114" s="81">
        <v>515</v>
      </c>
      <c r="DE114" s="81">
        <v>588</v>
      </c>
      <c r="DF114" s="81">
        <v>597</v>
      </c>
      <c r="DG114" s="81">
        <v>581</v>
      </c>
      <c r="DH114" s="81">
        <v>637</v>
      </c>
      <c r="DI114" s="81">
        <v>643</v>
      </c>
      <c r="DJ114" s="81">
        <v>646</v>
      </c>
      <c r="DK114" s="81">
        <v>640</v>
      </c>
      <c r="DL114" s="81">
        <v>640</v>
      </c>
      <c r="DM114" s="81">
        <v>637</v>
      </c>
      <c r="DN114" s="81">
        <v>595</v>
      </c>
      <c r="DO114" s="81">
        <v>578</v>
      </c>
      <c r="DP114" s="81">
        <v>611</v>
      </c>
      <c r="DQ114" s="81">
        <v>623</v>
      </c>
      <c r="DR114" s="81">
        <v>577</v>
      </c>
      <c r="DS114" s="81">
        <v>467</v>
      </c>
      <c r="DT114" s="81">
        <v>396</v>
      </c>
      <c r="DU114" s="81">
        <v>414</v>
      </c>
      <c r="DV114" s="81">
        <v>461</v>
      </c>
      <c r="DW114" s="81">
        <v>506</v>
      </c>
      <c r="DX114" s="81">
        <v>523</v>
      </c>
      <c r="DY114" s="81">
        <v>553</v>
      </c>
      <c r="DZ114" s="81">
        <v>563</v>
      </c>
      <c r="EA114" s="81">
        <v>509</v>
      </c>
      <c r="EB114" s="81">
        <v>564</v>
      </c>
      <c r="EC114" s="81">
        <v>606</v>
      </c>
      <c r="ED114" s="81">
        <v>606</v>
      </c>
      <c r="EE114" s="81">
        <v>549</v>
      </c>
      <c r="EF114" s="81">
        <v>542</v>
      </c>
      <c r="EG114" s="81">
        <v>598</v>
      </c>
      <c r="EH114" s="81">
        <v>543</v>
      </c>
      <c r="EI114" s="81">
        <v>642</v>
      </c>
      <c r="EJ114" s="81">
        <v>639</v>
      </c>
      <c r="EK114" s="81">
        <v>584</v>
      </c>
      <c r="EL114" s="81">
        <v>636</v>
      </c>
      <c r="EM114" s="81">
        <v>633</v>
      </c>
      <c r="EN114" s="81">
        <v>635</v>
      </c>
      <c r="EO114" s="81">
        <v>599</v>
      </c>
      <c r="EP114" s="81">
        <v>605</v>
      </c>
      <c r="EQ114" s="81">
        <v>557</v>
      </c>
      <c r="ER114" s="81">
        <v>664</v>
      </c>
      <c r="ES114" s="81">
        <v>655</v>
      </c>
      <c r="ET114" s="81">
        <v>776</v>
      </c>
      <c r="EU114" s="81">
        <v>723</v>
      </c>
      <c r="EV114" s="81">
        <v>781</v>
      </c>
      <c r="EW114" s="81">
        <v>792</v>
      </c>
      <c r="EX114" s="81">
        <v>818</v>
      </c>
      <c r="EY114" s="81">
        <v>801</v>
      </c>
      <c r="EZ114" s="81">
        <v>856</v>
      </c>
      <c r="FA114" s="81">
        <v>828</v>
      </c>
      <c r="FB114" s="81">
        <v>868</v>
      </c>
      <c r="FC114" s="81">
        <v>956</v>
      </c>
      <c r="FD114" s="81">
        <v>948</v>
      </c>
      <c r="FE114" s="81">
        <v>894</v>
      </c>
      <c r="FF114" s="81">
        <v>905</v>
      </c>
      <c r="FG114" s="81">
        <v>946</v>
      </c>
      <c r="FH114" s="81">
        <v>880</v>
      </c>
      <c r="FI114" s="81">
        <v>837</v>
      </c>
      <c r="FJ114" s="81">
        <v>938</v>
      </c>
      <c r="FK114" s="81">
        <v>845</v>
      </c>
      <c r="FL114" s="81">
        <v>796</v>
      </c>
      <c r="FM114" s="81">
        <v>771</v>
      </c>
      <c r="FN114" s="81">
        <v>832</v>
      </c>
      <c r="FO114" s="81">
        <v>794</v>
      </c>
      <c r="FP114" s="81">
        <v>740</v>
      </c>
      <c r="FQ114" s="81">
        <v>817</v>
      </c>
      <c r="FR114" s="81">
        <v>759</v>
      </c>
      <c r="FS114" s="81">
        <v>797</v>
      </c>
      <c r="FT114" s="81">
        <v>911</v>
      </c>
      <c r="FU114" s="81">
        <v>992</v>
      </c>
      <c r="FV114" s="81">
        <v>800</v>
      </c>
      <c r="FW114" s="81">
        <v>732</v>
      </c>
      <c r="FX114" s="81">
        <v>736</v>
      </c>
      <c r="FY114" s="81">
        <v>782</v>
      </c>
      <c r="FZ114" s="81">
        <v>670</v>
      </c>
      <c r="GA114" s="81">
        <v>575</v>
      </c>
      <c r="GB114" s="81">
        <v>630</v>
      </c>
      <c r="GC114" s="81">
        <v>614</v>
      </c>
      <c r="GD114" s="81">
        <v>612</v>
      </c>
      <c r="GE114" s="81">
        <v>563</v>
      </c>
      <c r="GF114" s="81">
        <v>493</v>
      </c>
      <c r="GG114" s="81">
        <v>515</v>
      </c>
      <c r="GH114" s="81">
        <v>455</v>
      </c>
      <c r="GI114" s="81">
        <v>428</v>
      </c>
      <c r="GJ114" s="81">
        <v>368</v>
      </c>
      <c r="GK114" s="81">
        <v>329</v>
      </c>
      <c r="GL114" s="82">
        <v>1322</v>
      </c>
    </row>
    <row r="115" spans="1:194" s="1" customFormat="1" hidden="1" x14ac:dyDescent="0.2">
      <c r="A115" s="83" t="s">
        <v>220</v>
      </c>
      <c r="B115" s="262" t="s">
        <v>325</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0">
        <v>912</v>
      </c>
      <c r="N115" s="80">
        <v>1016</v>
      </c>
      <c r="O115" s="80">
        <v>1012</v>
      </c>
      <c r="P115" s="80">
        <v>1122</v>
      </c>
      <c r="Q115" s="80">
        <v>1087</v>
      </c>
      <c r="R115" s="80">
        <v>1035</v>
      </c>
      <c r="S115" s="80">
        <v>1108</v>
      </c>
      <c r="T115" s="80">
        <v>1100</v>
      </c>
      <c r="U115" s="80">
        <v>1152</v>
      </c>
      <c r="V115" s="80">
        <v>1061</v>
      </c>
      <c r="W115" s="80">
        <v>1089</v>
      </c>
      <c r="X115" s="80">
        <v>1059</v>
      </c>
      <c r="Y115" s="80">
        <v>1146</v>
      </c>
      <c r="Z115" s="80">
        <v>1007</v>
      </c>
      <c r="AA115" s="80">
        <v>1076</v>
      </c>
      <c r="AB115" s="80">
        <v>960</v>
      </c>
      <c r="AC115" s="80">
        <v>1023</v>
      </c>
      <c r="AD115" s="80">
        <v>936</v>
      </c>
      <c r="AE115" s="80">
        <v>936</v>
      </c>
      <c r="AF115" s="80">
        <v>847</v>
      </c>
      <c r="AG115" s="80">
        <v>883</v>
      </c>
      <c r="AH115" s="80">
        <v>964</v>
      </c>
      <c r="AI115" s="80">
        <v>1006</v>
      </c>
      <c r="AJ115" s="80">
        <v>1066</v>
      </c>
      <c r="AK115" s="80">
        <v>984</v>
      </c>
      <c r="AL115" s="80">
        <v>1095</v>
      </c>
      <c r="AM115" s="80">
        <v>1079</v>
      </c>
      <c r="AN115" s="80">
        <v>1199</v>
      </c>
      <c r="AO115" s="80">
        <v>1186</v>
      </c>
      <c r="AP115" s="80">
        <v>1314</v>
      </c>
      <c r="AQ115" s="80">
        <v>1135</v>
      </c>
      <c r="AR115" s="80">
        <v>1084</v>
      </c>
      <c r="AS115" s="80">
        <v>1235</v>
      </c>
      <c r="AT115" s="80">
        <v>1149</v>
      </c>
      <c r="AU115" s="80">
        <v>1160</v>
      </c>
      <c r="AV115" s="80">
        <v>1136</v>
      </c>
      <c r="AW115" s="80">
        <v>1118</v>
      </c>
      <c r="AX115" s="80">
        <v>1130</v>
      </c>
      <c r="AY115" s="80">
        <v>1118</v>
      </c>
      <c r="AZ115" s="80">
        <v>1077</v>
      </c>
      <c r="BA115" s="80">
        <v>1002</v>
      </c>
      <c r="BB115" s="80">
        <v>1084</v>
      </c>
      <c r="BC115" s="80">
        <v>916</v>
      </c>
      <c r="BD115" s="80">
        <v>972</v>
      </c>
      <c r="BE115" s="80">
        <v>1002</v>
      </c>
      <c r="BF115" s="80">
        <v>1081</v>
      </c>
      <c r="BG115" s="80">
        <v>1117</v>
      </c>
      <c r="BH115" s="80">
        <v>1165</v>
      </c>
      <c r="BI115" s="80">
        <v>1194</v>
      </c>
      <c r="BJ115" s="80">
        <v>1298</v>
      </c>
      <c r="BK115" s="80">
        <v>1211</v>
      </c>
      <c r="BL115" s="80">
        <v>1232</v>
      </c>
      <c r="BM115" s="80">
        <v>1230</v>
      </c>
      <c r="BN115" s="80">
        <v>1285</v>
      </c>
      <c r="BO115" s="80">
        <v>1301</v>
      </c>
      <c r="BP115" s="80">
        <v>1401</v>
      </c>
      <c r="BQ115" s="80">
        <v>1342</v>
      </c>
      <c r="BR115" s="80">
        <v>1257</v>
      </c>
      <c r="BS115" s="80">
        <v>1269</v>
      </c>
      <c r="BT115" s="80">
        <v>1248</v>
      </c>
      <c r="BU115" s="80">
        <v>1150</v>
      </c>
      <c r="BV115" s="80">
        <v>1148</v>
      </c>
      <c r="BW115" s="80">
        <v>1098</v>
      </c>
      <c r="BX115" s="80">
        <v>1102</v>
      </c>
      <c r="BY115" s="80">
        <v>1023</v>
      </c>
      <c r="BZ115" s="80">
        <v>987</v>
      </c>
      <c r="CA115" s="80">
        <v>974</v>
      </c>
      <c r="CB115" s="80">
        <v>989</v>
      </c>
      <c r="CC115" s="80">
        <v>948</v>
      </c>
      <c r="CD115" s="80">
        <v>992</v>
      </c>
      <c r="CE115" s="80">
        <v>952</v>
      </c>
      <c r="CF115" s="80">
        <v>952</v>
      </c>
      <c r="CG115" s="80">
        <v>1041</v>
      </c>
      <c r="CH115" s="80">
        <v>1153</v>
      </c>
      <c r="CI115" s="80">
        <v>832</v>
      </c>
      <c r="CJ115" s="80">
        <v>789</v>
      </c>
      <c r="CK115" s="80">
        <v>802</v>
      </c>
      <c r="CL115" s="80">
        <v>719</v>
      </c>
      <c r="CM115" s="80">
        <v>622</v>
      </c>
      <c r="CN115" s="80">
        <v>538</v>
      </c>
      <c r="CO115" s="80">
        <v>508</v>
      </c>
      <c r="CP115" s="80">
        <v>521</v>
      </c>
      <c r="CQ115" s="80">
        <v>474</v>
      </c>
      <c r="CR115" s="80">
        <v>432</v>
      </c>
      <c r="CS115" s="80">
        <v>370</v>
      </c>
      <c r="CT115" s="80">
        <v>347</v>
      </c>
      <c r="CU115" s="80">
        <v>255</v>
      </c>
      <c r="CV115" s="80">
        <v>233</v>
      </c>
      <c r="CW115" s="80">
        <v>200</v>
      </c>
      <c r="CX115" s="80">
        <v>174</v>
      </c>
      <c r="CY115" s="80">
        <v>377</v>
      </c>
      <c r="CZ115" s="81">
        <v>871</v>
      </c>
      <c r="DA115" s="81">
        <v>908</v>
      </c>
      <c r="DB115" s="81">
        <v>992</v>
      </c>
      <c r="DC115" s="81">
        <v>977</v>
      </c>
      <c r="DD115" s="81">
        <v>982</v>
      </c>
      <c r="DE115" s="81">
        <v>1010</v>
      </c>
      <c r="DF115" s="81">
        <v>1023</v>
      </c>
      <c r="DG115" s="81">
        <v>1006</v>
      </c>
      <c r="DH115" s="81">
        <v>1150</v>
      </c>
      <c r="DI115" s="81">
        <v>1056</v>
      </c>
      <c r="DJ115" s="81">
        <v>1079</v>
      </c>
      <c r="DK115" s="81">
        <v>1079</v>
      </c>
      <c r="DL115" s="81">
        <v>1018</v>
      </c>
      <c r="DM115" s="81">
        <v>1022</v>
      </c>
      <c r="DN115" s="81">
        <v>1002</v>
      </c>
      <c r="DO115" s="81">
        <v>991</v>
      </c>
      <c r="DP115" s="81">
        <v>935</v>
      </c>
      <c r="DQ115" s="81">
        <v>891</v>
      </c>
      <c r="DR115" s="81">
        <v>851</v>
      </c>
      <c r="DS115" s="81">
        <v>767</v>
      </c>
      <c r="DT115" s="81">
        <v>737</v>
      </c>
      <c r="DU115" s="81">
        <v>866</v>
      </c>
      <c r="DV115" s="81">
        <v>853</v>
      </c>
      <c r="DW115" s="81">
        <v>1064</v>
      </c>
      <c r="DX115" s="81">
        <v>1080</v>
      </c>
      <c r="DY115" s="81">
        <v>1125</v>
      </c>
      <c r="DZ115" s="81">
        <v>1079</v>
      </c>
      <c r="EA115" s="81">
        <v>1163</v>
      </c>
      <c r="EB115" s="81">
        <v>1287</v>
      </c>
      <c r="EC115" s="81">
        <v>1196</v>
      </c>
      <c r="ED115" s="81">
        <v>1229</v>
      </c>
      <c r="EE115" s="81">
        <v>1350</v>
      </c>
      <c r="EF115" s="81">
        <v>1270</v>
      </c>
      <c r="EG115" s="81">
        <v>1259</v>
      </c>
      <c r="EH115" s="81">
        <v>1184</v>
      </c>
      <c r="EI115" s="81">
        <v>1181</v>
      </c>
      <c r="EJ115" s="81">
        <v>1073</v>
      </c>
      <c r="EK115" s="81">
        <v>1171</v>
      </c>
      <c r="EL115" s="81">
        <v>1247</v>
      </c>
      <c r="EM115" s="81">
        <v>1029</v>
      </c>
      <c r="EN115" s="81">
        <v>1064</v>
      </c>
      <c r="EO115" s="81">
        <v>1091</v>
      </c>
      <c r="EP115" s="81">
        <v>960</v>
      </c>
      <c r="EQ115" s="81">
        <v>952</v>
      </c>
      <c r="ER115" s="81">
        <v>969</v>
      </c>
      <c r="ES115" s="81">
        <v>1091</v>
      </c>
      <c r="ET115" s="81">
        <v>1121</v>
      </c>
      <c r="EU115" s="81">
        <v>1198</v>
      </c>
      <c r="EV115" s="81">
        <v>1346</v>
      </c>
      <c r="EW115" s="81">
        <v>1392</v>
      </c>
      <c r="EX115" s="81">
        <v>1306</v>
      </c>
      <c r="EY115" s="81">
        <v>1304</v>
      </c>
      <c r="EZ115" s="81">
        <v>1300</v>
      </c>
      <c r="FA115" s="81">
        <v>1275</v>
      </c>
      <c r="FB115" s="81">
        <v>1353</v>
      </c>
      <c r="FC115" s="81">
        <v>1324</v>
      </c>
      <c r="FD115" s="81">
        <v>1375</v>
      </c>
      <c r="FE115" s="81">
        <v>1268</v>
      </c>
      <c r="FF115" s="81">
        <v>1251</v>
      </c>
      <c r="FG115" s="81">
        <v>1276</v>
      </c>
      <c r="FH115" s="81">
        <v>1179</v>
      </c>
      <c r="FI115" s="81">
        <v>1156</v>
      </c>
      <c r="FJ115" s="81">
        <v>1070</v>
      </c>
      <c r="FK115" s="81">
        <v>1079</v>
      </c>
      <c r="FL115" s="81">
        <v>1092</v>
      </c>
      <c r="FM115" s="81">
        <v>1002</v>
      </c>
      <c r="FN115" s="81">
        <v>1088</v>
      </c>
      <c r="FO115" s="81">
        <v>976</v>
      </c>
      <c r="FP115" s="81">
        <v>998</v>
      </c>
      <c r="FQ115" s="81">
        <v>1068</v>
      </c>
      <c r="FR115" s="81">
        <v>1017</v>
      </c>
      <c r="FS115" s="81">
        <v>1082</v>
      </c>
      <c r="FT115" s="81">
        <v>1157</v>
      </c>
      <c r="FU115" s="81">
        <v>1276</v>
      </c>
      <c r="FV115" s="81">
        <v>977</v>
      </c>
      <c r="FW115" s="81">
        <v>849</v>
      </c>
      <c r="FX115" s="81">
        <v>889</v>
      </c>
      <c r="FY115" s="81">
        <v>807</v>
      </c>
      <c r="FZ115" s="81">
        <v>734</v>
      </c>
      <c r="GA115" s="81">
        <v>654</v>
      </c>
      <c r="GB115" s="81">
        <v>641</v>
      </c>
      <c r="GC115" s="81">
        <v>670</v>
      </c>
      <c r="GD115" s="81">
        <v>645</v>
      </c>
      <c r="GE115" s="81">
        <v>542</v>
      </c>
      <c r="GF115" s="81">
        <v>493</v>
      </c>
      <c r="GG115" s="81">
        <v>433</v>
      </c>
      <c r="GH115" s="81">
        <v>390</v>
      </c>
      <c r="GI115" s="81">
        <v>336</v>
      </c>
      <c r="GJ115" s="81">
        <v>288</v>
      </c>
      <c r="GK115" s="81">
        <v>225</v>
      </c>
      <c r="GL115" s="82">
        <v>902</v>
      </c>
    </row>
    <row r="116" spans="1:194" s="1" customFormat="1" hidden="1" x14ac:dyDescent="0.2">
      <c r="A116" s="83" t="s">
        <v>220</v>
      </c>
      <c r="B116" s="262" t="s">
        <v>326</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0">
        <v>685</v>
      </c>
      <c r="N116" s="80">
        <v>792</v>
      </c>
      <c r="O116" s="80">
        <v>692</v>
      </c>
      <c r="P116" s="80">
        <v>772</v>
      </c>
      <c r="Q116" s="80">
        <v>847</v>
      </c>
      <c r="R116" s="80">
        <v>811</v>
      </c>
      <c r="S116" s="80">
        <v>858</v>
      </c>
      <c r="T116" s="80">
        <v>935</v>
      </c>
      <c r="U116" s="80">
        <v>912</v>
      </c>
      <c r="V116" s="80">
        <v>925</v>
      </c>
      <c r="W116" s="80">
        <v>891</v>
      </c>
      <c r="X116" s="80">
        <v>896</v>
      </c>
      <c r="Y116" s="80">
        <v>903</v>
      </c>
      <c r="Z116" s="80">
        <v>922</v>
      </c>
      <c r="AA116" s="80">
        <v>889</v>
      </c>
      <c r="AB116" s="80">
        <v>868</v>
      </c>
      <c r="AC116" s="80">
        <v>851</v>
      </c>
      <c r="AD116" s="80">
        <v>843</v>
      </c>
      <c r="AE116" s="80">
        <v>728</v>
      </c>
      <c r="AF116" s="80">
        <v>672</v>
      </c>
      <c r="AG116" s="80">
        <v>601</v>
      </c>
      <c r="AH116" s="80">
        <v>726</v>
      </c>
      <c r="AI116" s="80">
        <v>849</v>
      </c>
      <c r="AJ116" s="80">
        <v>851</v>
      </c>
      <c r="AK116" s="80">
        <v>843</v>
      </c>
      <c r="AL116" s="80">
        <v>820</v>
      </c>
      <c r="AM116" s="80">
        <v>981</v>
      </c>
      <c r="AN116" s="80">
        <v>1045</v>
      </c>
      <c r="AO116" s="80">
        <v>1036</v>
      </c>
      <c r="AP116" s="80">
        <v>1070</v>
      </c>
      <c r="AQ116" s="80">
        <v>1038</v>
      </c>
      <c r="AR116" s="80">
        <v>989</v>
      </c>
      <c r="AS116" s="80">
        <v>942</v>
      </c>
      <c r="AT116" s="80">
        <v>897</v>
      </c>
      <c r="AU116" s="80">
        <v>834</v>
      </c>
      <c r="AV116" s="80">
        <v>950</v>
      </c>
      <c r="AW116" s="80">
        <v>871</v>
      </c>
      <c r="AX116" s="80">
        <v>908</v>
      </c>
      <c r="AY116" s="80">
        <v>836</v>
      </c>
      <c r="AZ116" s="80">
        <v>898</v>
      </c>
      <c r="BA116" s="80">
        <v>926</v>
      </c>
      <c r="BB116" s="80">
        <v>926</v>
      </c>
      <c r="BC116" s="80">
        <v>867</v>
      </c>
      <c r="BD116" s="80">
        <v>842</v>
      </c>
      <c r="BE116" s="80">
        <v>850</v>
      </c>
      <c r="BF116" s="80">
        <v>965</v>
      </c>
      <c r="BG116" s="80">
        <v>955</v>
      </c>
      <c r="BH116" s="80">
        <v>1086</v>
      </c>
      <c r="BI116" s="80">
        <v>1092</v>
      </c>
      <c r="BJ116" s="80">
        <v>1200</v>
      </c>
      <c r="BK116" s="80">
        <v>1195</v>
      </c>
      <c r="BL116" s="80">
        <v>1148</v>
      </c>
      <c r="BM116" s="80">
        <v>1217</v>
      </c>
      <c r="BN116" s="80">
        <v>1215</v>
      </c>
      <c r="BO116" s="80">
        <v>1218</v>
      </c>
      <c r="BP116" s="80">
        <v>1217</v>
      </c>
      <c r="BQ116" s="80">
        <v>1203</v>
      </c>
      <c r="BR116" s="80">
        <v>1144</v>
      </c>
      <c r="BS116" s="80">
        <v>1183</v>
      </c>
      <c r="BT116" s="80">
        <v>1110</v>
      </c>
      <c r="BU116" s="80">
        <v>1071</v>
      </c>
      <c r="BV116" s="80">
        <v>1029</v>
      </c>
      <c r="BW116" s="80">
        <v>1069</v>
      </c>
      <c r="BX116" s="80">
        <v>906</v>
      </c>
      <c r="BY116" s="80">
        <v>939</v>
      </c>
      <c r="BZ116" s="80">
        <v>905</v>
      </c>
      <c r="CA116" s="80">
        <v>875</v>
      </c>
      <c r="CB116" s="80">
        <v>887</v>
      </c>
      <c r="CC116" s="80">
        <v>905</v>
      </c>
      <c r="CD116" s="80">
        <v>955</v>
      </c>
      <c r="CE116" s="80">
        <v>935</v>
      </c>
      <c r="CF116" s="80">
        <v>987</v>
      </c>
      <c r="CG116" s="80">
        <v>969</v>
      </c>
      <c r="CH116" s="80">
        <v>1082</v>
      </c>
      <c r="CI116" s="80">
        <v>845</v>
      </c>
      <c r="CJ116" s="80">
        <v>802</v>
      </c>
      <c r="CK116" s="80">
        <v>844</v>
      </c>
      <c r="CL116" s="80">
        <v>770</v>
      </c>
      <c r="CM116" s="80">
        <v>667</v>
      </c>
      <c r="CN116" s="80">
        <v>581</v>
      </c>
      <c r="CO116" s="80">
        <v>555</v>
      </c>
      <c r="CP116" s="80">
        <v>558</v>
      </c>
      <c r="CQ116" s="80">
        <v>493</v>
      </c>
      <c r="CR116" s="80">
        <v>440</v>
      </c>
      <c r="CS116" s="80">
        <v>386</v>
      </c>
      <c r="CT116" s="80">
        <v>333</v>
      </c>
      <c r="CU116" s="80">
        <v>299</v>
      </c>
      <c r="CV116" s="80">
        <v>236</v>
      </c>
      <c r="CW116" s="80">
        <v>187</v>
      </c>
      <c r="CX116" s="80">
        <v>171</v>
      </c>
      <c r="CY116" s="80">
        <v>564</v>
      </c>
      <c r="CZ116" s="81">
        <v>695</v>
      </c>
      <c r="DA116" s="81">
        <v>721</v>
      </c>
      <c r="DB116" s="81">
        <v>797</v>
      </c>
      <c r="DC116" s="81">
        <v>777</v>
      </c>
      <c r="DD116" s="81">
        <v>790</v>
      </c>
      <c r="DE116" s="81">
        <v>817</v>
      </c>
      <c r="DF116" s="81">
        <v>777</v>
      </c>
      <c r="DG116" s="81">
        <v>795</v>
      </c>
      <c r="DH116" s="81">
        <v>793</v>
      </c>
      <c r="DI116" s="81">
        <v>836</v>
      </c>
      <c r="DJ116" s="81">
        <v>805</v>
      </c>
      <c r="DK116" s="81">
        <v>872</v>
      </c>
      <c r="DL116" s="81">
        <v>968</v>
      </c>
      <c r="DM116" s="81">
        <v>885</v>
      </c>
      <c r="DN116" s="81">
        <v>833</v>
      </c>
      <c r="DO116" s="81">
        <v>865</v>
      </c>
      <c r="DP116" s="81">
        <v>769</v>
      </c>
      <c r="DQ116" s="81">
        <v>765</v>
      </c>
      <c r="DR116" s="81">
        <v>736</v>
      </c>
      <c r="DS116" s="81">
        <v>598</v>
      </c>
      <c r="DT116" s="81">
        <v>600</v>
      </c>
      <c r="DU116" s="81">
        <v>612</v>
      </c>
      <c r="DV116" s="81">
        <v>733</v>
      </c>
      <c r="DW116" s="81">
        <v>756</v>
      </c>
      <c r="DX116" s="81">
        <v>786</v>
      </c>
      <c r="DY116" s="81">
        <v>873</v>
      </c>
      <c r="DZ116" s="81">
        <v>885</v>
      </c>
      <c r="EA116" s="81">
        <v>899</v>
      </c>
      <c r="EB116" s="81">
        <v>905</v>
      </c>
      <c r="EC116" s="81">
        <v>903</v>
      </c>
      <c r="ED116" s="81">
        <v>960</v>
      </c>
      <c r="EE116" s="81">
        <v>878</v>
      </c>
      <c r="EF116" s="81">
        <v>951</v>
      </c>
      <c r="EG116" s="81">
        <v>957</v>
      </c>
      <c r="EH116" s="81">
        <v>933</v>
      </c>
      <c r="EI116" s="81">
        <v>868</v>
      </c>
      <c r="EJ116" s="81">
        <v>855</v>
      </c>
      <c r="EK116" s="81">
        <v>883</v>
      </c>
      <c r="EL116" s="81">
        <v>917</v>
      </c>
      <c r="EM116" s="81">
        <v>980</v>
      </c>
      <c r="EN116" s="81">
        <v>935</v>
      </c>
      <c r="EO116" s="81">
        <v>930</v>
      </c>
      <c r="EP116" s="81">
        <v>861</v>
      </c>
      <c r="EQ116" s="81">
        <v>883</v>
      </c>
      <c r="ER116" s="81">
        <v>906</v>
      </c>
      <c r="ES116" s="81">
        <v>918</v>
      </c>
      <c r="ET116" s="81">
        <v>1033</v>
      </c>
      <c r="EU116" s="81">
        <v>1069</v>
      </c>
      <c r="EV116" s="81">
        <v>1120</v>
      </c>
      <c r="EW116" s="81">
        <v>1223</v>
      </c>
      <c r="EX116" s="81">
        <v>1123</v>
      </c>
      <c r="EY116" s="81">
        <v>1167</v>
      </c>
      <c r="EZ116" s="81">
        <v>1218</v>
      </c>
      <c r="FA116" s="81">
        <v>1260</v>
      </c>
      <c r="FB116" s="81">
        <v>1163</v>
      </c>
      <c r="FC116" s="81">
        <v>1245</v>
      </c>
      <c r="FD116" s="81">
        <v>1294</v>
      </c>
      <c r="FE116" s="81">
        <v>1181</v>
      </c>
      <c r="FF116" s="81">
        <v>1136</v>
      </c>
      <c r="FG116" s="81">
        <v>1131</v>
      </c>
      <c r="FH116" s="81">
        <v>1077</v>
      </c>
      <c r="FI116" s="81">
        <v>1076</v>
      </c>
      <c r="FJ116" s="81">
        <v>991</v>
      </c>
      <c r="FK116" s="81">
        <v>1009</v>
      </c>
      <c r="FL116" s="81">
        <v>934</v>
      </c>
      <c r="FM116" s="81">
        <v>953</v>
      </c>
      <c r="FN116" s="81">
        <v>923</v>
      </c>
      <c r="FO116" s="81">
        <v>995</v>
      </c>
      <c r="FP116" s="81">
        <v>940</v>
      </c>
      <c r="FQ116" s="81">
        <v>972</v>
      </c>
      <c r="FR116" s="81">
        <v>958</v>
      </c>
      <c r="FS116" s="81">
        <v>1064</v>
      </c>
      <c r="FT116" s="81">
        <v>1096</v>
      </c>
      <c r="FU116" s="81">
        <v>1149</v>
      </c>
      <c r="FV116" s="81">
        <v>866</v>
      </c>
      <c r="FW116" s="81">
        <v>909</v>
      </c>
      <c r="FX116" s="81">
        <v>948</v>
      </c>
      <c r="FY116" s="81">
        <v>891</v>
      </c>
      <c r="FZ116" s="81">
        <v>700</v>
      </c>
      <c r="GA116" s="81">
        <v>626</v>
      </c>
      <c r="GB116" s="81">
        <v>616</v>
      </c>
      <c r="GC116" s="81">
        <v>631</v>
      </c>
      <c r="GD116" s="81">
        <v>573</v>
      </c>
      <c r="GE116" s="81">
        <v>535</v>
      </c>
      <c r="GF116" s="81">
        <v>490</v>
      </c>
      <c r="GG116" s="81">
        <v>413</v>
      </c>
      <c r="GH116" s="81">
        <v>357</v>
      </c>
      <c r="GI116" s="81">
        <v>323</v>
      </c>
      <c r="GJ116" s="81">
        <v>293</v>
      </c>
      <c r="GK116" s="81">
        <v>249</v>
      </c>
      <c r="GL116" s="82">
        <v>1044</v>
      </c>
    </row>
    <row r="117" spans="1:194" s="1" customFormat="1" hidden="1" x14ac:dyDescent="0.2">
      <c r="A117" s="83" t="s">
        <v>220</v>
      </c>
      <c r="B117" s="262" t="s">
        <v>327</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0">
        <v>1654</v>
      </c>
      <c r="N117" s="80">
        <v>1618</v>
      </c>
      <c r="O117" s="80">
        <v>1813</v>
      </c>
      <c r="P117" s="80">
        <v>1777</v>
      </c>
      <c r="Q117" s="80">
        <v>1845</v>
      </c>
      <c r="R117" s="80">
        <v>1860</v>
      </c>
      <c r="S117" s="80">
        <v>1950</v>
      </c>
      <c r="T117" s="80">
        <v>1959</v>
      </c>
      <c r="U117" s="80">
        <v>1888</v>
      </c>
      <c r="V117" s="80">
        <v>1969</v>
      </c>
      <c r="W117" s="80">
        <v>1859</v>
      </c>
      <c r="X117" s="80">
        <v>1921</v>
      </c>
      <c r="Y117" s="80">
        <v>1872</v>
      </c>
      <c r="Z117" s="80">
        <v>1961</v>
      </c>
      <c r="AA117" s="80">
        <v>1877</v>
      </c>
      <c r="AB117" s="80">
        <v>1813</v>
      </c>
      <c r="AC117" s="80">
        <v>1725</v>
      </c>
      <c r="AD117" s="80">
        <v>1647</v>
      </c>
      <c r="AE117" s="80">
        <v>1616</v>
      </c>
      <c r="AF117" s="80">
        <v>1241</v>
      </c>
      <c r="AG117" s="80">
        <v>1229</v>
      </c>
      <c r="AH117" s="80">
        <v>1202</v>
      </c>
      <c r="AI117" s="80">
        <v>1379</v>
      </c>
      <c r="AJ117" s="80">
        <v>1586</v>
      </c>
      <c r="AK117" s="80">
        <v>1554</v>
      </c>
      <c r="AL117" s="80">
        <v>1554</v>
      </c>
      <c r="AM117" s="80">
        <v>1684</v>
      </c>
      <c r="AN117" s="80">
        <v>1552</v>
      </c>
      <c r="AO117" s="80">
        <v>1851</v>
      </c>
      <c r="AP117" s="80">
        <v>1815</v>
      </c>
      <c r="AQ117" s="80">
        <v>1717</v>
      </c>
      <c r="AR117" s="80">
        <v>1656</v>
      </c>
      <c r="AS117" s="80">
        <v>1933</v>
      </c>
      <c r="AT117" s="80">
        <v>1747</v>
      </c>
      <c r="AU117" s="80">
        <v>1817</v>
      </c>
      <c r="AV117" s="80">
        <v>1897</v>
      </c>
      <c r="AW117" s="80">
        <v>1795</v>
      </c>
      <c r="AX117" s="80">
        <v>1833</v>
      </c>
      <c r="AY117" s="80">
        <v>1804</v>
      </c>
      <c r="AZ117" s="80">
        <v>1931</v>
      </c>
      <c r="BA117" s="80">
        <v>1980</v>
      </c>
      <c r="BB117" s="80">
        <v>1934</v>
      </c>
      <c r="BC117" s="80">
        <v>1862</v>
      </c>
      <c r="BD117" s="80">
        <v>1802</v>
      </c>
      <c r="BE117" s="80">
        <v>1745</v>
      </c>
      <c r="BF117" s="80">
        <v>1892</v>
      </c>
      <c r="BG117" s="80">
        <v>1799</v>
      </c>
      <c r="BH117" s="80">
        <v>1803</v>
      </c>
      <c r="BI117" s="80">
        <v>2092</v>
      </c>
      <c r="BJ117" s="80">
        <v>2112</v>
      </c>
      <c r="BK117" s="80">
        <v>1961</v>
      </c>
      <c r="BL117" s="80">
        <v>2127</v>
      </c>
      <c r="BM117" s="80">
        <v>1957</v>
      </c>
      <c r="BN117" s="80">
        <v>2050</v>
      </c>
      <c r="BO117" s="80">
        <v>1982</v>
      </c>
      <c r="BP117" s="80">
        <v>2216</v>
      </c>
      <c r="BQ117" s="80">
        <v>2023</v>
      </c>
      <c r="BR117" s="80">
        <v>2007</v>
      </c>
      <c r="BS117" s="80">
        <v>1890</v>
      </c>
      <c r="BT117" s="80">
        <v>1884</v>
      </c>
      <c r="BU117" s="80">
        <v>1831</v>
      </c>
      <c r="BV117" s="80">
        <v>1827</v>
      </c>
      <c r="BW117" s="80">
        <v>1760</v>
      </c>
      <c r="BX117" s="80">
        <v>1703</v>
      </c>
      <c r="BY117" s="80">
        <v>1673</v>
      </c>
      <c r="BZ117" s="80">
        <v>1567</v>
      </c>
      <c r="CA117" s="80">
        <v>1550</v>
      </c>
      <c r="CB117" s="80">
        <v>1486</v>
      </c>
      <c r="CC117" s="80">
        <v>1410</v>
      </c>
      <c r="CD117" s="80">
        <v>1444</v>
      </c>
      <c r="CE117" s="80">
        <v>1413</v>
      </c>
      <c r="CF117" s="80">
        <v>1486</v>
      </c>
      <c r="CG117" s="80">
        <v>1631</v>
      </c>
      <c r="CH117" s="80">
        <v>1670</v>
      </c>
      <c r="CI117" s="80">
        <v>1224</v>
      </c>
      <c r="CJ117" s="80">
        <v>1154</v>
      </c>
      <c r="CK117" s="80">
        <v>1171</v>
      </c>
      <c r="CL117" s="80">
        <v>1105</v>
      </c>
      <c r="CM117" s="80">
        <v>928</v>
      </c>
      <c r="CN117" s="80">
        <v>835</v>
      </c>
      <c r="CO117" s="80">
        <v>873</v>
      </c>
      <c r="CP117" s="80">
        <v>774</v>
      </c>
      <c r="CQ117" s="80">
        <v>763</v>
      </c>
      <c r="CR117" s="80">
        <v>676</v>
      </c>
      <c r="CS117" s="80">
        <v>629</v>
      </c>
      <c r="CT117" s="80">
        <v>601</v>
      </c>
      <c r="CU117" s="80">
        <v>476</v>
      </c>
      <c r="CV117" s="80">
        <v>462</v>
      </c>
      <c r="CW117" s="80">
        <v>384</v>
      </c>
      <c r="CX117" s="80">
        <v>308</v>
      </c>
      <c r="CY117" s="80">
        <v>1021</v>
      </c>
      <c r="CZ117" s="81">
        <v>1537</v>
      </c>
      <c r="DA117" s="81">
        <v>1562</v>
      </c>
      <c r="DB117" s="81">
        <v>1602</v>
      </c>
      <c r="DC117" s="81">
        <v>1703</v>
      </c>
      <c r="DD117" s="81">
        <v>1855</v>
      </c>
      <c r="DE117" s="81">
        <v>1738</v>
      </c>
      <c r="DF117" s="81">
        <v>1818</v>
      </c>
      <c r="DG117" s="81">
        <v>1904</v>
      </c>
      <c r="DH117" s="81">
        <v>1904</v>
      </c>
      <c r="DI117" s="81">
        <v>1773</v>
      </c>
      <c r="DJ117" s="81">
        <v>1758</v>
      </c>
      <c r="DK117" s="81">
        <v>1800</v>
      </c>
      <c r="DL117" s="81">
        <v>1776</v>
      </c>
      <c r="DM117" s="81">
        <v>1713</v>
      </c>
      <c r="DN117" s="81">
        <v>1660</v>
      </c>
      <c r="DO117" s="81">
        <v>1647</v>
      </c>
      <c r="DP117" s="81">
        <v>1654</v>
      </c>
      <c r="DQ117" s="81">
        <v>1491</v>
      </c>
      <c r="DR117" s="81">
        <v>1391</v>
      </c>
      <c r="DS117" s="81">
        <v>1083</v>
      </c>
      <c r="DT117" s="81">
        <v>1051</v>
      </c>
      <c r="DU117" s="81">
        <v>1101</v>
      </c>
      <c r="DV117" s="81">
        <v>1286</v>
      </c>
      <c r="DW117" s="81">
        <v>1554</v>
      </c>
      <c r="DX117" s="81">
        <v>1489</v>
      </c>
      <c r="DY117" s="81">
        <v>1523</v>
      </c>
      <c r="DZ117" s="81">
        <v>1568</v>
      </c>
      <c r="EA117" s="81">
        <v>1712</v>
      </c>
      <c r="EB117" s="81">
        <v>1937</v>
      </c>
      <c r="EC117" s="81">
        <v>1885</v>
      </c>
      <c r="ED117" s="81">
        <v>1900</v>
      </c>
      <c r="EE117" s="81">
        <v>1959</v>
      </c>
      <c r="EF117" s="81">
        <v>2115</v>
      </c>
      <c r="EG117" s="81">
        <v>1987</v>
      </c>
      <c r="EH117" s="81">
        <v>1970</v>
      </c>
      <c r="EI117" s="81">
        <v>2056</v>
      </c>
      <c r="EJ117" s="81">
        <v>1968</v>
      </c>
      <c r="EK117" s="81">
        <v>2101</v>
      </c>
      <c r="EL117" s="81">
        <v>2086</v>
      </c>
      <c r="EM117" s="81">
        <v>2051</v>
      </c>
      <c r="EN117" s="81">
        <v>2030</v>
      </c>
      <c r="EO117" s="81">
        <v>1988</v>
      </c>
      <c r="EP117" s="81">
        <v>1912</v>
      </c>
      <c r="EQ117" s="81">
        <v>1812</v>
      </c>
      <c r="ER117" s="81">
        <v>1753</v>
      </c>
      <c r="ES117" s="81">
        <v>1820</v>
      </c>
      <c r="ET117" s="81">
        <v>1850</v>
      </c>
      <c r="EU117" s="81">
        <v>1946</v>
      </c>
      <c r="EV117" s="81">
        <v>2141</v>
      </c>
      <c r="EW117" s="81">
        <v>2161</v>
      </c>
      <c r="EX117" s="81">
        <v>1983</v>
      </c>
      <c r="EY117" s="81">
        <v>2134</v>
      </c>
      <c r="EZ117" s="81">
        <v>2127</v>
      </c>
      <c r="FA117" s="81">
        <v>2229</v>
      </c>
      <c r="FB117" s="81">
        <v>2134</v>
      </c>
      <c r="FC117" s="81">
        <v>2241</v>
      </c>
      <c r="FD117" s="81">
        <v>2068</v>
      </c>
      <c r="FE117" s="81">
        <v>2062</v>
      </c>
      <c r="FF117" s="81">
        <v>2149</v>
      </c>
      <c r="FG117" s="81">
        <v>1915</v>
      </c>
      <c r="FH117" s="81">
        <v>1970</v>
      </c>
      <c r="FI117" s="81">
        <v>1759</v>
      </c>
      <c r="FJ117" s="81">
        <v>1800</v>
      </c>
      <c r="FK117" s="81">
        <v>1674</v>
      </c>
      <c r="FL117" s="81">
        <v>1625</v>
      </c>
      <c r="FM117" s="81">
        <v>1575</v>
      </c>
      <c r="FN117" s="81">
        <v>1539</v>
      </c>
      <c r="FO117" s="81">
        <v>1571</v>
      </c>
      <c r="FP117" s="81">
        <v>1498</v>
      </c>
      <c r="FQ117" s="81">
        <v>1527</v>
      </c>
      <c r="FR117" s="81">
        <v>1611</v>
      </c>
      <c r="FS117" s="81">
        <v>1582</v>
      </c>
      <c r="FT117" s="81">
        <v>1629</v>
      </c>
      <c r="FU117" s="81">
        <v>1933</v>
      </c>
      <c r="FV117" s="81">
        <v>1405</v>
      </c>
      <c r="FW117" s="81">
        <v>1405</v>
      </c>
      <c r="FX117" s="81">
        <v>1279</v>
      </c>
      <c r="FY117" s="81">
        <v>1251</v>
      </c>
      <c r="FZ117" s="81">
        <v>1206</v>
      </c>
      <c r="GA117" s="81">
        <v>984</v>
      </c>
      <c r="GB117" s="81">
        <v>1045</v>
      </c>
      <c r="GC117" s="81">
        <v>1012</v>
      </c>
      <c r="GD117" s="81">
        <v>1025</v>
      </c>
      <c r="GE117" s="81">
        <v>893</v>
      </c>
      <c r="GF117" s="81">
        <v>831</v>
      </c>
      <c r="GG117" s="81">
        <v>752</v>
      </c>
      <c r="GH117" s="81">
        <v>605</v>
      </c>
      <c r="GI117" s="81">
        <v>669</v>
      </c>
      <c r="GJ117" s="81">
        <v>589</v>
      </c>
      <c r="GK117" s="81">
        <v>513</v>
      </c>
      <c r="GL117" s="82">
        <v>1963</v>
      </c>
    </row>
    <row r="118" spans="1:194" s="1" customFormat="1" hidden="1" x14ac:dyDescent="0.2">
      <c r="A118" s="83" t="s">
        <v>220</v>
      </c>
      <c r="B118" s="262" t="s">
        <v>328</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0">
        <v>1603</v>
      </c>
      <c r="N118" s="80">
        <v>1743</v>
      </c>
      <c r="O118" s="80">
        <v>1630</v>
      </c>
      <c r="P118" s="80">
        <v>1759</v>
      </c>
      <c r="Q118" s="80">
        <v>1822</v>
      </c>
      <c r="R118" s="80">
        <v>1755</v>
      </c>
      <c r="S118" s="80">
        <v>1847</v>
      </c>
      <c r="T118" s="80">
        <v>1852</v>
      </c>
      <c r="U118" s="80">
        <v>1848</v>
      </c>
      <c r="V118" s="80">
        <v>1798</v>
      </c>
      <c r="W118" s="80">
        <v>1678</v>
      </c>
      <c r="X118" s="80">
        <v>1554</v>
      </c>
      <c r="Y118" s="80">
        <v>1768</v>
      </c>
      <c r="Z118" s="80">
        <v>1572</v>
      </c>
      <c r="AA118" s="80">
        <v>1507</v>
      </c>
      <c r="AB118" s="80">
        <v>1681</v>
      </c>
      <c r="AC118" s="80">
        <v>1505</v>
      </c>
      <c r="AD118" s="80">
        <v>1494</v>
      </c>
      <c r="AE118" s="80">
        <v>1490</v>
      </c>
      <c r="AF118" s="80">
        <v>1749</v>
      </c>
      <c r="AG118" s="80">
        <v>2002</v>
      </c>
      <c r="AH118" s="80">
        <v>1986</v>
      </c>
      <c r="AI118" s="80">
        <v>1882</v>
      </c>
      <c r="AJ118" s="80">
        <v>1941</v>
      </c>
      <c r="AK118" s="80">
        <v>1768</v>
      </c>
      <c r="AL118" s="80">
        <v>1824</v>
      </c>
      <c r="AM118" s="80">
        <v>1841</v>
      </c>
      <c r="AN118" s="80">
        <v>1942</v>
      </c>
      <c r="AO118" s="80">
        <v>1939</v>
      </c>
      <c r="AP118" s="80">
        <v>2038</v>
      </c>
      <c r="AQ118" s="80">
        <v>1970</v>
      </c>
      <c r="AR118" s="80">
        <v>1845</v>
      </c>
      <c r="AS118" s="80">
        <v>1958</v>
      </c>
      <c r="AT118" s="80">
        <v>1898</v>
      </c>
      <c r="AU118" s="80">
        <v>1762</v>
      </c>
      <c r="AV118" s="80">
        <v>1874</v>
      </c>
      <c r="AW118" s="80">
        <v>1859</v>
      </c>
      <c r="AX118" s="80">
        <v>1770</v>
      </c>
      <c r="AY118" s="80">
        <v>1724</v>
      </c>
      <c r="AZ118" s="80">
        <v>1758</v>
      </c>
      <c r="BA118" s="80">
        <v>1626</v>
      </c>
      <c r="BB118" s="80">
        <v>1589</v>
      </c>
      <c r="BC118" s="80">
        <v>1375</v>
      </c>
      <c r="BD118" s="80">
        <v>1422</v>
      </c>
      <c r="BE118" s="80">
        <v>1481</v>
      </c>
      <c r="BF118" s="80">
        <v>1480</v>
      </c>
      <c r="BG118" s="80">
        <v>1465</v>
      </c>
      <c r="BH118" s="80">
        <v>1623</v>
      </c>
      <c r="BI118" s="80">
        <v>1705</v>
      </c>
      <c r="BJ118" s="80">
        <v>1791</v>
      </c>
      <c r="BK118" s="80">
        <v>1777</v>
      </c>
      <c r="BL118" s="80">
        <v>1842</v>
      </c>
      <c r="BM118" s="80">
        <v>1696</v>
      </c>
      <c r="BN118" s="80">
        <v>1776</v>
      </c>
      <c r="BO118" s="80">
        <v>1710</v>
      </c>
      <c r="BP118" s="80">
        <v>1766</v>
      </c>
      <c r="BQ118" s="80">
        <v>1762</v>
      </c>
      <c r="BR118" s="80">
        <v>1640</v>
      </c>
      <c r="BS118" s="80">
        <v>1817</v>
      </c>
      <c r="BT118" s="80">
        <v>1613</v>
      </c>
      <c r="BU118" s="80">
        <v>1527</v>
      </c>
      <c r="BV118" s="80">
        <v>1470</v>
      </c>
      <c r="BW118" s="80">
        <v>1501</v>
      </c>
      <c r="BX118" s="80">
        <v>1435</v>
      </c>
      <c r="BY118" s="80">
        <v>1421</v>
      </c>
      <c r="BZ118" s="80">
        <v>1320</v>
      </c>
      <c r="CA118" s="80">
        <v>1344</v>
      </c>
      <c r="CB118" s="80">
        <v>1322</v>
      </c>
      <c r="CC118" s="80">
        <v>1282</v>
      </c>
      <c r="CD118" s="80">
        <v>1107</v>
      </c>
      <c r="CE118" s="80">
        <v>1271</v>
      </c>
      <c r="CF118" s="80">
        <v>1247</v>
      </c>
      <c r="CG118" s="80">
        <v>1256</v>
      </c>
      <c r="CH118" s="80">
        <v>1381</v>
      </c>
      <c r="CI118" s="80">
        <v>1037</v>
      </c>
      <c r="CJ118" s="80">
        <v>1026</v>
      </c>
      <c r="CK118" s="80">
        <v>958</v>
      </c>
      <c r="CL118" s="80">
        <v>940</v>
      </c>
      <c r="CM118" s="80">
        <v>771</v>
      </c>
      <c r="CN118" s="80">
        <v>688</v>
      </c>
      <c r="CO118" s="80">
        <v>675</v>
      </c>
      <c r="CP118" s="80">
        <v>572</v>
      </c>
      <c r="CQ118" s="80">
        <v>590</v>
      </c>
      <c r="CR118" s="80">
        <v>488</v>
      </c>
      <c r="CS118" s="80">
        <v>486</v>
      </c>
      <c r="CT118" s="80">
        <v>351</v>
      </c>
      <c r="CU118" s="80">
        <v>332</v>
      </c>
      <c r="CV118" s="80">
        <v>282</v>
      </c>
      <c r="CW118" s="80">
        <v>248</v>
      </c>
      <c r="CX118" s="80">
        <v>192</v>
      </c>
      <c r="CY118" s="80">
        <v>578</v>
      </c>
      <c r="CZ118" s="81">
        <v>1586</v>
      </c>
      <c r="DA118" s="81">
        <v>1579</v>
      </c>
      <c r="DB118" s="81">
        <v>1636</v>
      </c>
      <c r="DC118" s="81">
        <v>1650</v>
      </c>
      <c r="DD118" s="81">
        <v>1675</v>
      </c>
      <c r="DE118" s="81">
        <v>1699</v>
      </c>
      <c r="DF118" s="81">
        <v>1886</v>
      </c>
      <c r="DG118" s="81">
        <v>1801</v>
      </c>
      <c r="DH118" s="81">
        <v>1777</v>
      </c>
      <c r="DI118" s="81">
        <v>1744</v>
      </c>
      <c r="DJ118" s="81">
        <v>1568</v>
      </c>
      <c r="DK118" s="81">
        <v>1660</v>
      </c>
      <c r="DL118" s="81">
        <v>1678</v>
      </c>
      <c r="DM118" s="81">
        <v>1532</v>
      </c>
      <c r="DN118" s="81">
        <v>1556</v>
      </c>
      <c r="DO118" s="81">
        <v>1428</v>
      </c>
      <c r="DP118" s="81">
        <v>1427</v>
      </c>
      <c r="DQ118" s="81">
        <v>1355</v>
      </c>
      <c r="DR118" s="81">
        <v>1298</v>
      </c>
      <c r="DS118" s="81">
        <v>1394</v>
      </c>
      <c r="DT118" s="81">
        <v>1657</v>
      </c>
      <c r="DU118" s="81">
        <v>1650</v>
      </c>
      <c r="DV118" s="81">
        <v>1568</v>
      </c>
      <c r="DW118" s="81">
        <v>1641</v>
      </c>
      <c r="DX118" s="81">
        <v>1699</v>
      </c>
      <c r="DY118" s="81">
        <v>1695</v>
      </c>
      <c r="DZ118" s="81">
        <v>1747</v>
      </c>
      <c r="EA118" s="81">
        <v>1912</v>
      </c>
      <c r="EB118" s="81">
        <v>1899</v>
      </c>
      <c r="EC118" s="81">
        <v>1902</v>
      </c>
      <c r="ED118" s="81">
        <v>1892</v>
      </c>
      <c r="EE118" s="81">
        <v>1882</v>
      </c>
      <c r="EF118" s="81">
        <v>1911</v>
      </c>
      <c r="EG118" s="81">
        <v>1770</v>
      </c>
      <c r="EH118" s="81">
        <v>1775</v>
      </c>
      <c r="EI118" s="81">
        <v>1850</v>
      </c>
      <c r="EJ118" s="81">
        <v>1618</v>
      </c>
      <c r="EK118" s="81">
        <v>1667</v>
      </c>
      <c r="EL118" s="81">
        <v>1732</v>
      </c>
      <c r="EM118" s="81">
        <v>1613</v>
      </c>
      <c r="EN118" s="81">
        <v>1593</v>
      </c>
      <c r="EO118" s="81">
        <v>1533</v>
      </c>
      <c r="EP118" s="81">
        <v>1330</v>
      </c>
      <c r="EQ118" s="81">
        <v>1331</v>
      </c>
      <c r="ER118" s="81">
        <v>1387</v>
      </c>
      <c r="ES118" s="81">
        <v>1467</v>
      </c>
      <c r="ET118" s="81">
        <v>1461</v>
      </c>
      <c r="EU118" s="81">
        <v>1623</v>
      </c>
      <c r="EV118" s="81">
        <v>1688</v>
      </c>
      <c r="EW118" s="81">
        <v>1756</v>
      </c>
      <c r="EX118" s="81">
        <v>1695</v>
      </c>
      <c r="EY118" s="81">
        <v>1754</v>
      </c>
      <c r="EZ118" s="81">
        <v>1654</v>
      </c>
      <c r="FA118" s="81">
        <v>1709</v>
      </c>
      <c r="FB118" s="81">
        <v>1720</v>
      </c>
      <c r="FC118" s="81">
        <v>1824</v>
      </c>
      <c r="FD118" s="81">
        <v>1629</v>
      </c>
      <c r="FE118" s="81">
        <v>1669</v>
      </c>
      <c r="FF118" s="81">
        <v>1643</v>
      </c>
      <c r="FG118" s="81">
        <v>1660</v>
      </c>
      <c r="FH118" s="81">
        <v>1535</v>
      </c>
      <c r="FI118" s="81">
        <v>1474</v>
      </c>
      <c r="FJ118" s="81">
        <v>1454</v>
      </c>
      <c r="FK118" s="81">
        <v>1513</v>
      </c>
      <c r="FL118" s="81">
        <v>1403</v>
      </c>
      <c r="FM118" s="81">
        <v>1403</v>
      </c>
      <c r="FN118" s="81">
        <v>1406</v>
      </c>
      <c r="FO118" s="81">
        <v>1285</v>
      </c>
      <c r="FP118" s="81">
        <v>1239</v>
      </c>
      <c r="FQ118" s="81">
        <v>1241</v>
      </c>
      <c r="FR118" s="81">
        <v>1294</v>
      </c>
      <c r="FS118" s="81">
        <v>1394</v>
      </c>
      <c r="FT118" s="81">
        <v>1374</v>
      </c>
      <c r="FU118" s="81">
        <v>1524</v>
      </c>
      <c r="FV118" s="81">
        <v>1080</v>
      </c>
      <c r="FW118" s="81">
        <v>1091</v>
      </c>
      <c r="FX118" s="81">
        <v>1034</v>
      </c>
      <c r="FY118" s="81">
        <v>1063</v>
      </c>
      <c r="FZ118" s="81">
        <v>873</v>
      </c>
      <c r="GA118" s="81">
        <v>807</v>
      </c>
      <c r="GB118" s="81">
        <v>828</v>
      </c>
      <c r="GC118" s="81">
        <v>732</v>
      </c>
      <c r="GD118" s="81">
        <v>759</v>
      </c>
      <c r="GE118" s="81">
        <v>699</v>
      </c>
      <c r="GF118" s="81">
        <v>622</v>
      </c>
      <c r="GG118" s="81">
        <v>552</v>
      </c>
      <c r="GH118" s="81">
        <v>466</v>
      </c>
      <c r="GI118" s="81">
        <v>428</v>
      </c>
      <c r="GJ118" s="81">
        <v>388</v>
      </c>
      <c r="GK118" s="81">
        <v>317</v>
      </c>
      <c r="GL118" s="82">
        <v>1170</v>
      </c>
    </row>
    <row r="119" spans="1:194" s="1" customFormat="1" hidden="1" x14ac:dyDescent="0.2">
      <c r="A119" s="83" t="s">
        <v>220</v>
      </c>
      <c r="B119" s="262" t="s">
        <v>329</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0">
        <v>1280</v>
      </c>
      <c r="N119" s="80">
        <v>1428</v>
      </c>
      <c r="O119" s="80">
        <v>1536</v>
      </c>
      <c r="P119" s="80">
        <v>1573</v>
      </c>
      <c r="Q119" s="80">
        <v>1615</v>
      </c>
      <c r="R119" s="80">
        <v>1603</v>
      </c>
      <c r="S119" s="80">
        <v>1611</v>
      </c>
      <c r="T119" s="80">
        <v>1621</v>
      </c>
      <c r="U119" s="80">
        <v>1876</v>
      </c>
      <c r="V119" s="80">
        <v>1661</v>
      </c>
      <c r="W119" s="80">
        <v>1594</v>
      </c>
      <c r="X119" s="80">
        <v>1603</v>
      </c>
      <c r="Y119" s="80">
        <v>1624</v>
      </c>
      <c r="Z119" s="80">
        <v>1645</v>
      </c>
      <c r="AA119" s="80">
        <v>1560</v>
      </c>
      <c r="AB119" s="80">
        <v>1460</v>
      </c>
      <c r="AC119" s="80">
        <v>1575</v>
      </c>
      <c r="AD119" s="80">
        <v>1510</v>
      </c>
      <c r="AE119" s="80">
        <v>1444</v>
      </c>
      <c r="AF119" s="80">
        <v>1438</v>
      </c>
      <c r="AG119" s="80">
        <v>1549</v>
      </c>
      <c r="AH119" s="80">
        <v>1595</v>
      </c>
      <c r="AI119" s="80">
        <v>1715</v>
      </c>
      <c r="AJ119" s="80">
        <v>1652</v>
      </c>
      <c r="AK119" s="80">
        <v>1878</v>
      </c>
      <c r="AL119" s="80">
        <v>1849</v>
      </c>
      <c r="AM119" s="80">
        <v>1912</v>
      </c>
      <c r="AN119" s="80">
        <v>1906</v>
      </c>
      <c r="AO119" s="80">
        <v>2053</v>
      </c>
      <c r="AP119" s="80">
        <v>2181</v>
      </c>
      <c r="AQ119" s="80">
        <v>1983</v>
      </c>
      <c r="AR119" s="80">
        <v>2044</v>
      </c>
      <c r="AS119" s="80">
        <v>1935</v>
      </c>
      <c r="AT119" s="80">
        <v>1721</v>
      </c>
      <c r="AU119" s="80">
        <v>1809</v>
      </c>
      <c r="AV119" s="80">
        <v>1699</v>
      </c>
      <c r="AW119" s="80">
        <v>1626</v>
      </c>
      <c r="AX119" s="80">
        <v>1548</v>
      </c>
      <c r="AY119" s="80">
        <v>1567</v>
      </c>
      <c r="AZ119" s="80">
        <v>1551</v>
      </c>
      <c r="BA119" s="80">
        <v>1559</v>
      </c>
      <c r="BB119" s="80">
        <v>1568</v>
      </c>
      <c r="BC119" s="80">
        <v>1458</v>
      </c>
      <c r="BD119" s="80">
        <v>1285</v>
      </c>
      <c r="BE119" s="80">
        <v>1387</v>
      </c>
      <c r="BF119" s="80">
        <v>1435</v>
      </c>
      <c r="BG119" s="80">
        <v>1470</v>
      </c>
      <c r="BH119" s="80">
        <v>1652</v>
      </c>
      <c r="BI119" s="80">
        <v>1759</v>
      </c>
      <c r="BJ119" s="80">
        <v>1933</v>
      </c>
      <c r="BK119" s="80">
        <v>1791</v>
      </c>
      <c r="BL119" s="80">
        <v>1782</v>
      </c>
      <c r="BM119" s="80">
        <v>1860</v>
      </c>
      <c r="BN119" s="80">
        <v>1841</v>
      </c>
      <c r="BO119" s="80">
        <v>1874</v>
      </c>
      <c r="BP119" s="80">
        <v>2023</v>
      </c>
      <c r="BQ119" s="80">
        <v>1999</v>
      </c>
      <c r="BR119" s="80">
        <v>1980</v>
      </c>
      <c r="BS119" s="80">
        <v>1912</v>
      </c>
      <c r="BT119" s="80">
        <v>1932</v>
      </c>
      <c r="BU119" s="80">
        <v>1827</v>
      </c>
      <c r="BV119" s="80">
        <v>1892</v>
      </c>
      <c r="BW119" s="80">
        <v>1893</v>
      </c>
      <c r="BX119" s="80">
        <v>1896</v>
      </c>
      <c r="BY119" s="80">
        <v>1685</v>
      </c>
      <c r="BZ119" s="80">
        <v>1530</v>
      </c>
      <c r="CA119" s="80">
        <v>1572</v>
      </c>
      <c r="CB119" s="80">
        <v>1536</v>
      </c>
      <c r="CC119" s="80">
        <v>1472</v>
      </c>
      <c r="CD119" s="80">
        <v>1473</v>
      </c>
      <c r="CE119" s="80">
        <v>1424</v>
      </c>
      <c r="CF119" s="80">
        <v>1462</v>
      </c>
      <c r="CG119" s="80">
        <v>1512</v>
      </c>
      <c r="CH119" s="80">
        <v>1561</v>
      </c>
      <c r="CI119" s="80">
        <v>1151</v>
      </c>
      <c r="CJ119" s="80">
        <v>1048</v>
      </c>
      <c r="CK119" s="80">
        <v>994</v>
      </c>
      <c r="CL119" s="80">
        <v>949</v>
      </c>
      <c r="CM119" s="80">
        <v>831</v>
      </c>
      <c r="CN119" s="80">
        <v>718</v>
      </c>
      <c r="CO119" s="80">
        <v>731</v>
      </c>
      <c r="CP119" s="80">
        <v>741</v>
      </c>
      <c r="CQ119" s="80">
        <v>699</v>
      </c>
      <c r="CR119" s="80">
        <v>619</v>
      </c>
      <c r="CS119" s="80">
        <v>509</v>
      </c>
      <c r="CT119" s="80">
        <v>435</v>
      </c>
      <c r="CU119" s="80">
        <v>391</v>
      </c>
      <c r="CV119" s="80">
        <v>303</v>
      </c>
      <c r="CW119" s="80">
        <v>311</v>
      </c>
      <c r="CX119" s="80">
        <v>254</v>
      </c>
      <c r="CY119" s="80">
        <v>512</v>
      </c>
      <c r="CZ119" s="81">
        <v>1290</v>
      </c>
      <c r="DA119" s="81">
        <v>1296</v>
      </c>
      <c r="DB119" s="81">
        <v>1375</v>
      </c>
      <c r="DC119" s="81">
        <v>1498</v>
      </c>
      <c r="DD119" s="81">
        <v>1479</v>
      </c>
      <c r="DE119" s="81">
        <v>1488</v>
      </c>
      <c r="DF119" s="81">
        <v>1494</v>
      </c>
      <c r="DG119" s="81">
        <v>1490</v>
      </c>
      <c r="DH119" s="81">
        <v>1726</v>
      </c>
      <c r="DI119" s="81">
        <v>1510</v>
      </c>
      <c r="DJ119" s="81">
        <v>1545</v>
      </c>
      <c r="DK119" s="81">
        <v>1525</v>
      </c>
      <c r="DL119" s="81">
        <v>1573</v>
      </c>
      <c r="DM119" s="81">
        <v>1562</v>
      </c>
      <c r="DN119" s="81">
        <v>1507</v>
      </c>
      <c r="DO119" s="81">
        <v>1417</v>
      </c>
      <c r="DP119" s="81">
        <v>1419</v>
      </c>
      <c r="DQ119" s="81">
        <v>1396</v>
      </c>
      <c r="DR119" s="81">
        <v>1355</v>
      </c>
      <c r="DS119" s="81">
        <v>1376</v>
      </c>
      <c r="DT119" s="81">
        <v>1408</v>
      </c>
      <c r="DU119" s="81">
        <v>1457</v>
      </c>
      <c r="DV119" s="81">
        <v>1669</v>
      </c>
      <c r="DW119" s="81">
        <v>1803</v>
      </c>
      <c r="DX119" s="81">
        <v>1741</v>
      </c>
      <c r="DY119" s="81">
        <v>1755</v>
      </c>
      <c r="DZ119" s="81">
        <v>1906</v>
      </c>
      <c r="EA119" s="81">
        <v>1982</v>
      </c>
      <c r="EB119" s="81">
        <v>2177</v>
      </c>
      <c r="EC119" s="81">
        <v>2122</v>
      </c>
      <c r="ED119" s="81">
        <v>1946</v>
      </c>
      <c r="EE119" s="81">
        <v>1889</v>
      </c>
      <c r="EF119" s="81">
        <v>1883</v>
      </c>
      <c r="EG119" s="81">
        <v>1894</v>
      </c>
      <c r="EH119" s="81">
        <v>1803</v>
      </c>
      <c r="EI119" s="81">
        <v>1770</v>
      </c>
      <c r="EJ119" s="81">
        <v>1659</v>
      </c>
      <c r="EK119" s="81">
        <v>1708</v>
      </c>
      <c r="EL119" s="81">
        <v>1642</v>
      </c>
      <c r="EM119" s="81">
        <v>1721</v>
      </c>
      <c r="EN119" s="81">
        <v>1707</v>
      </c>
      <c r="EO119" s="81">
        <v>1655</v>
      </c>
      <c r="EP119" s="81">
        <v>1522</v>
      </c>
      <c r="EQ119" s="81">
        <v>1448</v>
      </c>
      <c r="ER119" s="81">
        <v>1587</v>
      </c>
      <c r="ES119" s="81">
        <v>1579</v>
      </c>
      <c r="ET119" s="81">
        <v>1576</v>
      </c>
      <c r="EU119" s="81">
        <v>1777</v>
      </c>
      <c r="EV119" s="81">
        <v>1952</v>
      </c>
      <c r="EW119" s="81">
        <v>2063</v>
      </c>
      <c r="EX119" s="81">
        <v>1989</v>
      </c>
      <c r="EY119" s="81">
        <v>1945</v>
      </c>
      <c r="EZ119" s="81">
        <v>2026</v>
      </c>
      <c r="FA119" s="81">
        <v>2091</v>
      </c>
      <c r="FB119" s="81">
        <v>2010</v>
      </c>
      <c r="FC119" s="81">
        <v>2070</v>
      </c>
      <c r="FD119" s="81">
        <v>2125</v>
      </c>
      <c r="FE119" s="81">
        <v>2080</v>
      </c>
      <c r="FF119" s="81">
        <v>2096</v>
      </c>
      <c r="FG119" s="81">
        <v>1956</v>
      </c>
      <c r="FH119" s="81">
        <v>1921</v>
      </c>
      <c r="FI119" s="81">
        <v>1935</v>
      </c>
      <c r="FJ119" s="81">
        <v>1928</v>
      </c>
      <c r="FK119" s="81">
        <v>1856</v>
      </c>
      <c r="FL119" s="81">
        <v>1764</v>
      </c>
      <c r="FM119" s="81">
        <v>1688</v>
      </c>
      <c r="FN119" s="81">
        <v>1681</v>
      </c>
      <c r="FO119" s="81">
        <v>1659</v>
      </c>
      <c r="FP119" s="81">
        <v>1666</v>
      </c>
      <c r="FQ119" s="81">
        <v>1620</v>
      </c>
      <c r="FR119" s="81">
        <v>1568</v>
      </c>
      <c r="FS119" s="81">
        <v>1651</v>
      </c>
      <c r="FT119" s="81">
        <v>1662</v>
      </c>
      <c r="FU119" s="81">
        <v>1855</v>
      </c>
      <c r="FV119" s="81">
        <v>1333</v>
      </c>
      <c r="FW119" s="81">
        <v>1295</v>
      </c>
      <c r="FX119" s="81">
        <v>1179</v>
      </c>
      <c r="FY119" s="81">
        <v>1076</v>
      </c>
      <c r="FZ119" s="81">
        <v>1025</v>
      </c>
      <c r="GA119" s="81">
        <v>959</v>
      </c>
      <c r="GB119" s="81">
        <v>1008</v>
      </c>
      <c r="GC119" s="81">
        <v>931</v>
      </c>
      <c r="GD119" s="81">
        <v>951</v>
      </c>
      <c r="GE119" s="81">
        <v>810</v>
      </c>
      <c r="GF119" s="81">
        <v>782</v>
      </c>
      <c r="GG119" s="81">
        <v>665</v>
      </c>
      <c r="GH119" s="81">
        <v>636</v>
      </c>
      <c r="GI119" s="81">
        <v>553</v>
      </c>
      <c r="GJ119" s="81">
        <v>481</v>
      </c>
      <c r="GK119" s="81">
        <v>465</v>
      </c>
      <c r="GL119" s="82">
        <v>1272</v>
      </c>
    </row>
    <row r="120" spans="1:194" s="1" customFormat="1" hidden="1" x14ac:dyDescent="0.2">
      <c r="A120" s="83" t="s">
        <v>220</v>
      </c>
      <c r="B120" s="262" t="s">
        <v>330</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0">
        <v>5543</v>
      </c>
      <c r="N120" s="80">
        <v>5922</v>
      </c>
      <c r="O120" s="80">
        <v>6341</v>
      </c>
      <c r="P120" s="80">
        <v>6422</v>
      </c>
      <c r="Q120" s="80">
        <v>6790</v>
      </c>
      <c r="R120" s="80">
        <v>6645</v>
      </c>
      <c r="S120" s="80">
        <v>6810</v>
      </c>
      <c r="T120" s="80">
        <v>6968</v>
      </c>
      <c r="U120" s="80">
        <v>7220</v>
      </c>
      <c r="V120" s="80">
        <v>7331</v>
      </c>
      <c r="W120" s="80">
        <v>7163</v>
      </c>
      <c r="X120" s="80">
        <v>7036</v>
      </c>
      <c r="Y120" s="80">
        <v>7309</v>
      </c>
      <c r="Z120" s="80">
        <v>6939</v>
      </c>
      <c r="AA120" s="80">
        <v>6705</v>
      </c>
      <c r="AB120" s="80">
        <v>6507</v>
      </c>
      <c r="AC120" s="80">
        <v>6318</v>
      </c>
      <c r="AD120" s="80">
        <v>6231</v>
      </c>
      <c r="AE120" s="80">
        <v>6030</v>
      </c>
      <c r="AF120" s="80">
        <v>5412</v>
      </c>
      <c r="AG120" s="80">
        <v>5061</v>
      </c>
      <c r="AH120" s="80">
        <v>5347</v>
      </c>
      <c r="AI120" s="80">
        <v>5606</v>
      </c>
      <c r="AJ120" s="80">
        <v>6087</v>
      </c>
      <c r="AK120" s="80">
        <v>5976</v>
      </c>
      <c r="AL120" s="80">
        <v>5994</v>
      </c>
      <c r="AM120" s="80">
        <v>5679</v>
      </c>
      <c r="AN120" s="80">
        <v>5819</v>
      </c>
      <c r="AO120" s="80">
        <v>5600</v>
      </c>
      <c r="AP120" s="80">
        <v>5680</v>
      </c>
      <c r="AQ120" s="80">
        <v>5810</v>
      </c>
      <c r="AR120" s="80">
        <v>5769</v>
      </c>
      <c r="AS120" s="80">
        <v>5850</v>
      </c>
      <c r="AT120" s="80">
        <v>5496</v>
      </c>
      <c r="AU120" s="80">
        <v>5619</v>
      </c>
      <c r="AV120" s="80">
        <v>5870</v>
      </c>
      <c r="AW120" s="80">
        <v>5854</v>
      </c>
      <c r="AX120" s="80">
        <v>6010</v>
      </c>
      <c r="AY120" s="80">
        <v>6575</v>
      </c>
      <c r="AZ120" s="80">
        <v>6732</v>
      </c>
      <c r="BA120" s="80">
        <v>7070</v>
      </c>
      <c r="BB120" s="80">
        <v>7242</v>
      </c>
      <c r="BC120" s="80">
        <v>7184</v>
      </c>
      <c r="BD120" s="80">
        <v>7185</v>
      </c>
      <c r="BE120" s="80">
        <v>7199</v>
      </c>
      <c r="BF120" s="80">
        <v>7456</v>
      </c>
      <c r="BG120" s="80">
        <v>7373</v>
      </c>
      <c r="BH120" s="80">
        <v>7473</v>
      </c>
      <c r="BI120" s="80">
        <v>7693</v>
      </c>
      <c r="BJ120" s="80">
        <v>7571</v>
      </c>
      <c r="BK120" s="80">
        <v>7380</v>
      </c>
      <c r="BL120" s="80">
        <v>7440</v>
      </c>
      <c r="BM120" s="80">
        <v>7487</v>
      </c>
      <c r="BN120" s="80">
        <v>7799</v>
      </c>
      <c r="BO120" s="80">
        <v>7732</v>
      </c>
      <c r="BP120" s="80">
        <v>7710</v>
      </c>
      <c r="BQ120" s="80">
        <v>7734</v>
      </c>
      <c r="BR120" s="80">
        <v>7501</v>
      </c>
      <c r="BS120" s="80">
        <v>7057</v>
      </c>
      <c r="BT120" s="80">
        <v>6892</v>
      </c>
      <c r="BU120" s="80">
        <v>6423</v>
      </c>
      <c r="BV120" s="80">
        <v>5936</v>
      </c>
      <c r="BW120" s="80">
        <v>5919</v>
      </c>
      <c r="BX120" s="80">
        <v>5574</v>
      </c>
      <c r="BY120" s="80">
        <v>5387</v>
      </c>
      <c r="BZ120" s="80">
        <v>5155</v>
      </c>
      <c r="CA120" s="80">
        <v>4878</v>
      </c>
      <c r="CB120" s="80">
        <v>4874</v>
      </c>
      <c r="CC120" s="80">
        <v>4716</v>
      </c>
      <c r="CD120" s="80">
        <v>4528</v>
      </c>
      <c r="CE120" s="80">
        <v>4641</v>
      </c>
      <c r="CF120" s="80">
        <v>4856</v>
      </c>
      <c r="CG120" s="80">
        <v>5171</v>
      </c>
      <c r="CH120" s="80">
        <v>5646</v>
      </c>
      <c r="CI120" s="80">
        <v>4414</v>
      </c>
      <c r="CJ120" s="80">
        <v>4010</v>
      </c>
      <c r="CK120" s="80">
        <v>3987</v>
      </c>
      <c r="CL120" s="80">
        <v>3756</v>
      </c>
      <c r="CM120" s="80">
        <v>3113</v>
      </c>
      <c r="CN120" s="80">
        <v>2698</v>
      </c>
      <c r="CO120" s="80">
        <v>2827</v>
      </c>
      <c r="CP120" s="80">
        <v>2747</v>
      </c>
      <c r="CQ120" s="80">
        <v>2540</v>
      </c>
      <c r="CR120" s="80">
        <v>2420</v>
      </c>
      <c r="CS120" s="80">
        <v>2300</v>
      </c>
      <c r="CT120" s="80">
        <v>1942</v>
      </c>
      <c r="CU120" s="80">
        <v>1702</v>
      </c>
      <c r="CV120" s="80">
        <v>1488</v>
      </c>
      <c r="CW120" s="80">
        <v>1439</v>
      </c>
      <c r="CX120" s="80">
        <v>1227</v>
      </c>
      <c r="CY120" s="80">
        <v>4369</v>
      </c>
      <c r="CZ120" s="81">
        <v>5338</v>
      </c>
      <c r="DA120" s="81">
        <v>5657</v>
      </c>
      <c r="DB120" s="81">
        <v>5854</v>
      </c>
      <c r="DC120" s="81">
        <v>6154</v>
      </c>
      <c r="DD120" s="81">
        <v>6402</v>
      </c>
      <c r="DE120" s="81">
        <v>6631</v>
      </c>
      <c r="DF120" s="81">
        <v>6509</v>
      </c>
      <c r="DG120" s="81">
        <v>6665</v>
      </c>
      <c r="DH120" s="81">
        <v>6958</v>
      </c>
      <c r="DI120" s="81">
        <v>6905</v>
      </c>
      <c r="DJ120" s="81">
        <v>6856</v>
      </c>
      <c r="DK120" s="81">
        <v>6547</v>
      </c>
      <c r="DL120" s="81">
        <v>6610</v>
      </c>
      <c r="DM120" s="81">
        <v>6488</v>
      </c>
      <c r="DN120" s="81">
        <v>6446</v>
      </c>
      <c r="DO120" s="81">
        <v>6135</v>
      </c>
      <c r="DP120" s="81">
        <v>6157</v>
      </c>
      <c r="DQ120" s="81">
        <v>6063</v>
      </c>
      <c r="DR120" s="81">
        <v>5749</v>
      </c>
      <c r="DS120" s="81">
        <v>4907</v>
      </c>
      <c r="DT120" s="81">
        <v>4725</v>
      </c>
      <c r="DU120" s="81">
        <v>5246</v>
      </c>
      <c r="DV120" s="81">
        <v>5392</v>
      </c>
      <c r="DW120" s="81">
        <v>5521</v>
      </c>
      <c r="DX120" s="81">
        <v>5627</v>
      </c>
      <c r="DY120" s="81">
        <v>5432</v>
      </c>
      <c r="DZ120" s="81">
        <v>5371</v>
      </c>
      <c r="EA120" s="81">
        <v>5320</v>
      </c>
      <c r="EB120" s="81">
        <v>5597</v>
      </c>
      <c r="EC120" s="81">
        <v>5756</v>
      </c>
      <c r="ED120" s="81">
        <v>5644</v>
      </c>
      <c r="EE120" s="81">
        <v>5764</v>
      </c>
      <c r="EF120" s="81">
        <v>6063</v>
      </c>
      <c r="EG120" s="81">
        <v>5945</v>
      </c>
      <c r="EH120" s="81">
        <v>6200</v>
      </c>
      <c r="EI120" s="81">
        <v>6403</v>
      </c>
      <c r="EJ120" s="81">
        <v>6690</v>
      </c>
      <c r="EK120" s="81">
        <v>7010</v>
      </c>
      <c r="EL120" s="81">
        <v>7324</v>
      </c>
      <c r="EM120" s="81">
        <v>7658</v>
      </c>
      <c r="EN120" s="81">
        <v>7825</v>
      </c>
      <c r="EO120" s="81">
        <v>7615</v>
      </c>
      <c r="EP120" s="81">
        <v>7434</v>
      </c>
      <c r="EQ120" s="81">
        <v>7358</v>
      </c>
      <c r="ER120" s="81">
        <v>7358</v>
      </c>
      <c r="ES120" s="81">
        <v>7600</v>
      </c>
      <c r="ET120" s="81">
        <v>7445</v>
      </c>
      <c r="EU120" s="81">
        <v>7703</v>
      </c>
      <c r="EV120" s="81">
        <v>7701</v>
      </c>
      <c r="EW120" s="81">
        <v>8096</v>
      </c>
      <c r="EX120" s="81">
        <v>7460</v>
      </c>
      <c r="EY120" s="81">
        <v>7651</v>
      </c>
      <c r="EZ120" s="81">
        <v>7874</v>
      </c>
      <c r="FA120" s="81">
        <v>7889</v>
      </c>
      <c r="FB120" s="81">
        <v>7881</v>
      </c>
      <c r="FC120" s="81">
        <v>7808</v>
      </c>
      <c r="FD120" s="81">
        <v>7775</v>
      </c>
      <c r="FE120" s="81">
        <v>7379</v>
      </c>
      <c r="FF120" s="81">
        <v>7101</v>
      </c>
      <c r="FG120" s="81">
        <v>6909</v>
      </c>
      <c r="FH120" s="81">
        <v>6501</v>
      </c>
      <c r="FI120" s="81">
        <v>6355</v>
      </c>
      <c r="FJ120" s="81">
        <v>6017</v>
      </c>
      <c r="FK120" s="81">
        <v>5740</v>
      </c>
      <c r="FL120" s="81">
        <v>5437</v>
      </c>
      <c r="FM120" s="81">
        <v>5321</v>
      </c>
      <c r="FN120" s="81">
        <v>5130</v>
      </c>
      <c r="FO120" s="81">
        <v>5164</v>
      </c>
      <c r="FP120" s="81">
        <v>5002</v>
      </c>
      <c r="FQ120" s="81">
        <v>5149</v>
      </c>
      <c r="FR120" s="81">
        <v>5264</v>
      </c>
      <c r="FS120" s="81">
        <v>5441</v>
      </c>
      <c r="FT120" s="81">
        <v>5717</v>
      </c>
      <c r="FU120" s="81">
        <v>6114</v>
      </c>
      <c r="FV120" s="81">
        <v>4930</v>
      </c>
      <c r="FW120" s="81">
        <v>4617</v>
      </c>
      <c r="FX120" s="81">
        <v>4713</v>
      </c>
      <c r="FY120" s="81">
        <v>4318</v>
      </c>
      <c r="FZ120" s="81">
        <v>3765</v>
      </c>
      <c r="GA120" s="81">
        <v>3356</v>
      </c>
      <c r="GB120" s="81">
        <v>3466</v>
      </c>
      <c r="GC120" s="81">
        <v>3501</v>
      </c>
      <c r="GD120" s="81">
        <v>3227</v>
      </c>
      <c r="GE120" s="81">
        <v>3091</v>
      </c>
      <c r="GF120" s="81">
        <v>2842</v>
      </c>
      <c r="GG120" s="81">
        <v>2671</v>
      </c>
      <c r="GH120" s="81">
        <v>2466</v>
      </c>
      <c r="GI120" s="81">
        <v>2316</v>
      </c>
      <c r="GJ120" s="81">
        <v>2132</v>
      </c>
      <c r="GK120" s="81">
        <v>1887</v>
      </c>
      <c r="GL120" s="82">
        <v>8257</v>
      </c>
    </row>
    <row r="121" spans="1:194" s="1" customFormat="1" hidden="1" x14ac:dyDescent="0.2">
      <c r="A121" s="83" t="s">
        <v>220</v>
      </c>
      <c r="B121" s="262" t="s">
        <v>331</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0">
        <v>1536</v>
      </c>
      <c r="N121" s="80">
        <v>1638</v>
      </c>
      <c r="O121" s="80">
        <v>1625</v>
      </c>
      <c r="P121" s="80">
        <v>1738</v>
      </c>
      <c r="Q121" s="80">
        <v>1680</v>
      </c>
      <c r="R121" s="80">
        <v>1692</v>
      </c>
      <c r="S121" s="80">
        <v>1660</v>
      </c>
      <c r="T121" s="80">
        <v>1737</v>
      </c>
      <c r="U121" s="80">
        <v>1775</v>
      </c>
      <c r="V121" s="80">
        <v>1771</v>
      </c>
      <c r="W121" s="80">
        <v>1734</v>
      </c>
      <c r="X121" s="80">
        <v>1628</v>
      </c>
      <c r="Y121" s="80">
        <v>1724</v>
      </c>
      <c r="Z121" s="80">
        <v>1578</v>
      </c>
      <c r="AA121" s="80">
        <v>1585</v>
      </c>
      <c r="AB121" s="80">
        <v>1480</v>
      </c>
      <c r="AC121" s="80">
        <v>1533</v>
      </c>
      <c r="AD121" s="80">
        <v>1377</v>
      </c>
      <c r="AE121" s="80">
        <v>1401</v>
      </c>
      <c r="AF121" s="80">
        <v>1175</v>
      </c>
      <c r="AG121" s="80">
        <v>1209</v>
      </c>
      <c r="AH121" s="80">
        <v>1337</v>
      </c>
      <c r="AI121" s="80">
        <v>1379</v>
      </c>
      <c r="AJ121" s="80">
        <v>1522</v>
      </c>
      <c r="AK121" s="80">
        <v>1693</v>
      </c>
      <c r="AL121" s="80">
        <v>1514</v>
      </c>
      <c r="AM121" s="80">
        <v>1642</v>
      </c>
      <c r="AN121" s="80">
        <v>1601</v>
      </c>
      <c r="AO121" s="80">
        <v>1751</v>
      </c>
      <c r="AP121" s="80">
        <v>1767</v>
      </c>
      <c r="AQ121" s="80">
        <v>1688</v>
      </c>
      <c r="AR121" s="80">
        <v>1656</v>
      </c>
      <c r="AS121" s="80">
        <v>1706</v>
      </c>
      <c r="AT121" s="80">
        <v>1722</v>
      </c>
      <c r="AU121" s="80">
        <v>1721</v>
      </c>
      <c r="AV121" s="80">
        <v>1635</v>
      </c>
      <c r="AW121" s="80">
        <v>1633</v>
      </c>
      <c r="AX121" s="80">
        <v>1667</v>
      </c>
      <c r="AY121" s="80">
        <v>1577</v>
      </c>
      <c r="AZ121" s="80">
        <v>1593</v>
      </c>
      <c r="BA121" s="80">
        <v>1590</v>
      </c>
      <c r="BB121" s="80">
        <v>1608</v>
      </c>
      <c r="BC121" s="80">
        <v>1472</v>
      </c>
      <c r="BD121" s="80">
        <v>1485</v>
      </c>
      <c r="BE121" s="80">
        <v>1524</v>
      </c>
      <c r="BF121" s="80">
        <v>1469</v>
      </c>
      <c r="BG121" s="80">
        <v>1512</v>
      </c>
      <c r="BH121" s="80">
        <v>1613</v>
      </c>
      <c r="BI121" s="80">
        <v>1788</v>
      </c>
      <c r="BJ121" s="80">
        <v>1861</v>
      </c>
      <c r="BK121" s="80">
        <v>1854</v>
      </c>
      <c r="BL121" s="80">
        <v>1919</v>
      </c>
      <c r="BM121" s="80">
        <v>1884</v>
      </c>
      <c r="BN121" s="80">
        <v>1871</v>
      </c>
      <c r="BO121" s="80">
        <v>1952</v>
      </c>
      <c r="BP121" s="80">
        <v>1962</v>
      </c>
      <c r="BQ121" s="80">
        <v>1934</v>
      </c>
      <c r="BR121" s="80">
        <v>1839</v>
      </c>
      <c r="BS121" s="80">
        <v>1829</v>
      </c>
      <c r="BT121" s="80">
        <v>1810</v>
      </c>
      <c r="BU121" s="80">
        <v>1664</v>
      </c>
      <c r="BV121" s="80">
        <v>1621</v>
      </c>
      <c r="BW121" s="80">
        <v>1576</v>
      </c>
      <c r="BX121" s="80">
        <v>1547</v>
      </c>
      <c r="BY121" s="80">
        <v>1411</v>
      </c>
      <c r="BZ121" s="80">
        <v>1269</v>
      </c>
      <c r="CA121" s="80">
        <v>1276</v>
      </c>
      <c r="CB121" s="80">
        <v>1308</v>
      </c>
      <c r="CC121" s="80">
        <v>1300</v>
      </c>
      <c r="CD121" s="80">
        <v>1213</v>
      </c>
      <c r="CE121" s="80">
        <v>1281</v>
      </c>
      <c r="CF121" s="80">
        <v>1272</v>
      </c>
      <c r="CG121" s="80">
        <v>1435</v>
      </c>
      <c r="CH121" s="80">
        <v>1461</v>
      </c>
      <c r="CI121" s="80">
        <v>1013</v>
      </c>
      <c r="CJ121" s="80">
        <v>1022</v>
      </c>
      <c r="CK121" s="80">
        <v>970</v>
      </c>
      <c r="CL121" s="80">
        <v>927</v>
      </c>
      <c r="CM121" s="80">
        <v>770</v>
      </c>
      <c r="CN121" s="80">
        <v>625</v>
      </c>
      <c r="CO121" s="80">
        <v>661</v>
      </c>
      <c r="CP121" s="80">
        <v>579</v>
      </c>
      <c r="CQ121" s="80">
        <v>558</v>
      </c>
      <c r="CR121" s="80">
        <v>454</v>
      </c>
      <c r="CS121" s="80">
        <v>434</v>
      </c>
      <c r="CT121" s="80">
        <v>380</v>
      </c>
      <c r="CU121" s="80">
        <v>298</v>
      </c>
      <c r="CV121" s="80">
        <v>253</v>
      </c>
      <c r="CW121" s="80">
        <v>239</v>
      </c>
      <c r="CX121" s="80">
        <v>187</v>
      </c>
      <c r="CY121" s="80">
        <v>529</v>
      </c>
      <c r="CZ121" s="81">
        <v>1417</v>
      </c>
      <c r="DA121" s="81">
        <v>1499</v>
      </c>
      <c r="DB121" s="81">
        <v>1502</v>
      </c>
      <c r="DC121" s="81">
        <v>1573</v>
      </c>
      <c r="DD121" s="81">
        <v>1613</v>
      </c>
      <c r="DE121" s="81">
        <v>1603</v>
      </c>
      <c r="DF121" s="81">
        <v>1629</v>
      </c>
      <c r="DG121" s="81">
        <v>1667</v>
      </c>
      <c r="DH121" s="81">
        <v>1751</v>
      </c>
      <c r="DI121" s="81">
        <v>1733</v>
      </c>
      <c r="DJ121" s="81">
        <v>1668</v>
      </c>
      <c r="DK121" s="81">
        <v>1571</v>
      </c>
      <c r="DL121" s="81">
        <v>1636</v>
      </c>
      <c r="DM121" s="81">
        <v>1499</v>
      </c>
      <c r="DN121" s="81">
        <v>1557</v>
      </c>
      <c r="DO121" s="81">
        <v>1459</v>
      </c>
      <c r="DP121" s="81">
        <v>1422</v>
      </c>
      <c r="DQ121" s="81">
        <v>1362</v>
      </c>
      <c r="DR121" s="81">
        <v>1372</v>
      </c>
      <c r="DS121" s="81">
        <v>1093</v>
      </c>
      <c r="DT121" s="81">
        <v>1098</v>
      </c>
      <c r="DU121" s="81">
        <v>1287</v>
      </c>
      <c r="DV121" s="81">
        <v>1284</v>
      </c>
      <c r="DW121" s="81">
        <v>1455</v>
      </c>
      <c r="DX121" s="81">
        <v>1551</v>
      </c>
      <c r="DY121" s="81">
        <v>1610</v>
      </c>
      <c r="DZ121" s="81">
        <v>1628</v>
      </c>
      <c r="EA121" s="81">
        <v>1680</v>
      </c>
      <c r="EB121" s="81">
        <v>1838</v>
      </c>
      <c r="EC121" s="81">
        <v>1890</v>
      </c>
      <c r="ED121" s="81">
        <v>1847</v>
      </c>
      <c r="EE121" s="81">
        <v>1898</v>
      </c>
      <c r="EF121" s="81">
        <v>1843</v>
      </c>
      <c r="EG121" s="81">
        <v>1813</v>
      </c>
      <c r="EH121" s="81">
        <v>1893</v>
      </c>
      <c r="EI121" s="81">
        <v>1876</v>
      </c>
      <c r="EJ121" s="81">
        <v>1744</v>
      </c>
      <c r="EK121" s="81">
        <v>1719</v>
      </c>
      <c r="EL121" s="81">
        <v>1826</v>
      </c>
      <c r="EM121" s="81">
        <v>1712</v>
      </c>
      <c r="EN121" s="81">
        <v>1744</v>
      </c>
      <c r="EO121" s="81">
        <v>1622</v>
      </c>
      <c r="EP121" s="81">
        <v>1503</v>
      </c>
      <c r="EQ121" s="81">
        <v>1426</v>
      </c>
      <c r="ER121" s="81">
        <v>1413</v>
      </c>
      <c r="ES121" s="81">
        <v>1551</v>
      </c>
      <c r="ET121" s="81">
        <v>1628</v>
      </c>
      <c r="EU121" s="81">
        <v>1682</v>
      </c>
      <c r="EV121" s="81">
        <v>1875</v>
      </c>
      <c r="EW121" s="81">
        <v>1919</v>
      </c>
      <c r="EX121" s="81">
        <v>1882</v>
      </c>
      <c r="EY121" s="81">
        <v>1899</v>
      </c>
      <c r="EZ121" s="81">
        <v>1998</v>
      </c>
      <c r="FA121" s="81">
        <v>1987</v>
      </c>
      <c r="FB121" s="81">
        <v>2000</v>
      </c>
      <c r="FC121" s="81">
        <v>1978</v>
      </c>
      <c r="FD121" s="81">
        <v>1968</v>
      </c>
      <c r="FE121" s="81">
        <v>1910</v>
      </c>
      <c r="FF121" s="81">
        <v>1863</v>
      </c>
      <c r="FG121" s="81">
        <v>1876</v>
      </c>
      <c r="FH121" s="81">
        <v>1589</v>
      </c>
      <c r="FI121" s="81">
        <v>1617</v>
      </c>
      <c r="FJ121" s="81">
        <v>1528</v>
      </c>
      <c r="FK121" s="81">
        <v>1484</v>
      </c>
      <c r="FL121" s="81">
        <v>1374</v>
      </c>
      <c r="FM121" s="81">
        <v>1275</v>
      </c>
      <c r="FN121" s="81">
        <v>1330</v>
      </c>
      <c r="FO121" s="81">
        <v>1355</v>
      </c>
      <c r="FP121" s="81">
        <v>1233</v>
      </c>
      <c r="FQ121" s="81">
        <v>1387</v>
      </c>
      <c r="FR121" s="81">
        <v>1301</v>
      </c>
      <c r="FS121" s="81">
        <v>1319</v>
      </c>
      <c r="FT121" s="81">
        <v>1412</v>
      </c>
      <c r="FU121" s="81">
        <v>1610</v>
      </c>
      <c r="FV121" s="81">
        <v>1143</v>
      </c>
      <c r="FW121" s="81">
        <v>1055</v>
      </c>
      <c r="FX121" s="81">
        <v>1080</v>
      </c>
      <c r="FY121" s="81">
        <v>1011</v>
      </c>
      <c r="FZ121" s="81">
        <v>918</v>
      </c>
      <c r="GA121" s="81">
        <v>804</v>
      </c>
      <c r="GB121" s="81">
        <v>791</v>
      </c>
      <c r="GC121" s="81">
        <v>696</v>
      </c>
      <c r="GD121" s="81">
        <v>785</v>
      </c>
      <c r="GE121" s="81">
        <v>625</v>
      </c>
      <c r="GF121" s="81">
        <v>588</v>
      </c>
      <c r="GG121" s="81">
        <v>533</v>
      </c>
      <c r="GH121" s="81">
        <v>444</v>
      </c>
      <c r="GI121" s="81">
        <v>379</v>
      </c>
      <c r="GJ121" s="81">
        <v>358</v>
      </c>
      <c r="GK121" s="81">
        <v>305</v>
      </c>
      <c r="GL121" s="82">
        <v>1161</v>
      </c>
    </row>
    <row r="122" spans="1:194" s="1" customFormat="1" hidden="1" x14ac:dyDescent="0.2">
      <c r="A122" s="83" t="s">
        <v>220</v>
      </c>
      <c r="B122" s="262" t="s">
        <v>332</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0">
        <v>3608</v>
      </c>
      <c r="N122" s="80">
        <v>3827</v>
      </c>
      <c r="O122" s="80">
        <v>3876</v>
      </c>
      <c r="P122" s="80">
        <v>4058</v>
      </c>
      <c r="Q122" s="80">
        <v>4199</v>
      </c>
      <c r="R122" s="80">
        <v>4252</v>
      </c>
      <c r="S122" s="80">
        <v>4419</v>
      </c>
      <c r="T122" s="80">
        <v>4526</v>
      </c>
      <c r="U122" s="80">
        <v>4556</v>
      </c>
      <c r="V122" s="80">
        <v>4506</v>
      </c>
      <c r="W122" s="80">
        <v>4502</v>
      </c>
      <c r="X122" s="80">
        <v>4366</v>
      </c>
      <c r="Y122" s="80">
        <v>4387</v>
      </c>
      <c r="Z122" s="80">
        <v>4182</v>
      </c>
      <c r="AA122" s="80">
        <v>4267</v>
      </c>
      <c r="AB122" s="80">
        <v>4040</v>
      </c>
      <c r="AC122" s="80">
        <v>4106</v>
      </c>
      <c r="AD122" s="80">
        <v>3929</v>
      </c>
      <c r="AE122" s="80">
        <v>3817</v>
      </c>
      <c r="AF122" s="80">
        <v>3539</v>
      </c>
      <c r="AG122" s="80">
        <v>3497</v>
      </c>
      <c r="AH122" s="80">
        <v>3633</v>
      </c>
      <c r="AI122" s="80">
        <v>3872</v>
      </c>
      <c r="AJ122" s="80">
        <v>4232</v>
      </c>
      <c r="AK122" s="80">
        <v>4418</v>
      </c>
      <c r="AL122" s="80">
        <v>4476</v>
      </c>
      <c r="AM122" s="80">
        <v>4605</v>
      </c>
      <c r="AN122" s="80">
        <v>4386</v>
      </c>
      <c r="AO122" s="80">
        <v>4826</v>
      </c>
      <c r="AP122" s="80">
        <v>4601</v>
      </c>
      <c r="AQ122" s="80">
        <v>4480</v>
      </c>
      <c r="AR122" s="80">
        <v>4439</v>
      </c>
      <c r="AS122" s="80">
        <v>4410</v>
      </c>
      <c r="AT122" s="80">
        <v>4261</v>
      </c>
      <c r="AU122" s="80">
        <v>4375</v>
      </c>
      <c r="AV122" s="80">
        <v>4151</v>
      </c>
      <c r="AW122" s="80">
        <v>4095</v>
      </c>
      <c r="AX122" s="80">
        <v>3870</v>
      </c>
      <c r="AY122" s="80">
        <v>3925</v>
      </c>
      <c r="AZ122" s="80">
        <v>3914</v>
      </c>
      <c r="BA122" s="80">
        <v>3972</v>
      </c>
      <c r="BB122" s="80">
        <v>3747</v>
      </c>
      <c r="BC122" s="80">
        <v>3467</v>
      </c>
      <c r="BD122" s="80">
        <v>3399</v>
      </c>
      <c r="BE122" s="80">
        <v>3504</v>
      </c>
      <c r="BF122" s="80">
        <v>3621</v>
      </c>
      <c r="BG122" s="80">
        <v>3658</v>
      </c>
      <c r="BH122" s="80">
        <v>3946</v>
      </c>
      <c r="BI122" s="80">
        <v>4221</v>
      </c>
      <c r="BJ122" s="80">
        <v>4392</v>
      </c>
      <c r="BK122" s="80">
        <v>4360</v>
      </c>
      <c r="BL122" s="80">
        <v>4337</v>
      </c>
      <c r="BM122" s="80">
        <v>4395</v>
      </c>
      <c r="BN122" s="80">
        <v>4605</v>
      </c>
      <c r="BO122" s="80">
        <v>4761</v>
      </c>
      <c r="BP122" s="80">
        <v>4854</v>
      </c>
      <c r="BQ122" s="80">
        <v>4523</v>
      </c>
      <c r="BR122" s="80">
        <v>4768</v>
      </c>
      <c r="BS122" s="80">
        <v>4809</v>
      </c>
      <c r="BT122" s="80">
        <v>4482</v>
      </c>
      <c r="BU122" s="80">
        <v>4241</v>
      </c>
      <c r="BV122" s="80">
        <v>4321</v>
      </c>
      <c r="BW122" s="80">
        <v>4228</v>
      </c>
      <c r="BX122" s="80">
        <v>4108</v>
      </c>
      <c r="BY122" s="80">
        <v>3869</v>
      </c>
      <c r="BZ122" s="80">
        <v>3611</v>
      </c>
      <c r="CA122" s="80">
        <v>3602</v>
      </c>
      <c r="CB122" s="80">
        <v>3629</v>
      </c>
      <c r="CC122" s="80">
        <v>3419</v>
      </c>
      <c r="CD122" s="80">
        <v>3328</v>
      </c>
      <c r="CE122" s="80">
        <v>3347</v>
      </c>
      <c r="CF122" s="80">
        <v>3477</v>
      </c>
      <c r="CG122" s="80">
        <v>3558</v>
      </c>
      <c r="CH122" s="80">
        <v>3805</v>
      </c>
      <c r="CI122" s="80">
        <v>2910</v>
      </c>
      <c r="CJ122" s="80">
        <v>2784</v>
      </c>
      <c r="CK122" s="80">
        <v>2593</v>
      </c>
      <c r="CL122" s="80">
        <v>2227</v>
      </c>
      <c r="CM122" s="80">
        <v>2114</v>
      </c>
      <c r="CN122" s="80">
        <v>1922</v>
      </c>
      <c r="CO122" s="80">
        <v>1792</v>
      </c>
      <c r="CP122" s="80">
        <v>1801</v>
      </c>
      <c r="CQ122" s="80">
        <v>1667</v>
      </c>
      <c r="CR122" s="80">
        <v>1451</v>
      </c>
      <c r="CS122" s="80">
        <v>1316</v>
      </c>
      <c r="CT122" s="80">
        <v>1189</v>
      </c>
      <c r="CU122" s="80">
        <v>923</v>
      </c>
      <c r="CV122" s="80">
        <v>873</v>
      </c>
      <c r="CW122" s="80">
        <v>749</v>
      </c>
      <c r="CX122" s="80">
        <v>591</v>
      </c>
      <c r="CY122" s="80">
        <v>1813</v>
      </c>
      <c r="CZ122" s="81">
        <v>3480</v>
      </c>
      <c r="DA122" s="81">
        <v>3593</v>
      </c>
      <c r="DB122" s="81">
        <v>3780</v>
      </c>
      <c r="DC122" s="81">
        <v>4005</v>
      </c>
      <c r="DD122" s="81">
        <v>3875</v>
      </c>
      <c r="DE122" s="81">
        <v>3989</v>
      </c>
      <c r="DF122" s="81">
        <v>3979</v>
      </c>
      <c r="DG122" s="81">
        <v>4237</v>
      </c>
      <c r="DH122" s="81">
        <v>4408</v>
      </c>
      <c r="DI122" s="81">
        <v>4461</v>
      </c>
      <c r="DJ122" s="81">
        <v>4251</v>
      </c>
      <c r="DK122" s="81">
        <v>4203</v>
      </c>
      <c r="DL122" s="81">
        <v>4190</v>
      </c>
      <c r="DM122" s="81">
        <v>4153</v>
      </c>
      <c r="DN122" s="81">
        <v>4208</v>
      </c>
      <c r="DO122" s="81">
        <v>3804</v>
      </c>
      <c r="DP122" s="81">
        <v>3703</v>
      </c>
      <c r="DQ122" s="81">
        <v>3573</v>
      </c>
      <c r="DR122" s="81">
        <v>3357</v>
      </c>
      <c r="DS122" s="81">
        <v>2955</v>
      </c>
      <c r="DT122" s="81">
        <v>3042</v>
      </c>
      <c r="DU122" s="81">
        <v>3432</v>
      </c>
      <c r="DV122" s="81">
        <v>3535</v>
      </c>
      <c r="DW122" s="81">
        <v>3898</v>
      </c>
      <c r="DX122" s="81">
        <v>3846</v>
      </c>
      <c r="DY122" s="81">
        <v>3931</v>
      </c>
      <c r="DZ122" s="81">
        <v>4246</v>
      </c>
      <c r="EA122" s="81">
        <v>4341</v>
      </c>
      <c r="EB122" s="81">
        <v>4642</v>
      </c>
      <c r="EC122" s="81">
        <v>4508</v>
      </c>
      <c r="ED122" s="81">
        <v>4454</v>
      </c>
      <c r="EE122" s="81">
        <v>4390</v>
      </c>
      <c r="EF122" s="81">
        <v>4584</v>
      </c>
      <c r="EG122" s="81">
        <v>4388</v>
      </c>
      <c r="EH122" s="81">
        <v>4566</v>
      </c>
      <c r="EI122" s="81">
        <v>4599</v>
      </c>
      <c r="EJ122" s="81">
        <v>4420</v>
      </c>
      <c r="EK122" s="81">
        <v>4198</v>
      </c>
      <c r="EL122" s="81">
        <v>4318</v>
      </c>
      <c r="EM122" s="81">
        <v>4293</v>
      </c>
      <c r="EN122" s="81">
        <v>4186</v>
      </c>
      <c r="EO122" s="81">
        <v>3999</v>
      </c>
      <c r="EP122" s="81">
        <v>3680</v>
      </c>
      <c r="EQ122" s="81">
        <v>3547</v>
      </c>
      <c r="ER122" s="81">
        <v>3871</v>
      </c>
      <c r="ES122" s="81">
        <v>3814</v>
      </c>
      <c r="ET122" s="81">
        <v>4027</v>
      </c>
      <c r="EU122" s="81">
        <v>4106</v>
      </c>
      <c r="EV122" s="81">
        <v>4514</v>
      </c>
      <c r="EW122" s="81">
        <v>4735</v>
      </c>
      <c r="EX122" s="81">
        <v>4738</v>
      </c>
      <c r="EY122" s="81">
        <v>4578</v>
      </c>
      <c r="EZ122" s="81">
        <v>4724</v>
      </c>
      <c r="FA122" s="81">
        <v>4948</v>
      </c>
      <c r="FB122" s="81">
        <v>5118</v>
      </c>
      <c r="FC122" s="81">
        <v>4992</v>
      </c>
      <c r="FD122" s="81">
        <v>4955</v>
      </c>
      <c r="FE122" s="81">
        <v>5061</v>
      </c>
      <c r="FF122" s="81">
        <v>5068</v>
      </c>
      <c r="FG122" s="81">
        <v>4778</v>
      </c>
      <c r="FH122" s="81">
        <v>4560</v>
      </c>
      <c r="FI122" s="81">
        <v>4514</v>
      </c>
      <c r="FJ122" s="81">
        <v>4543</v>
      </c>
      <c r="FK122" s="81">
        <v>4248</v>
      </c>
      <c r="FL122" s="81">
        <v>4063</v>
      </c>
      <c r="FM122" s="81">
        <v>3903</v>
      </c>
      <c r="FN122" s="81">
        <v>3848</v>
      </c>
      <c r="FO122" s="81">
        <v>3831</v>
      </c>
      <c r="FP122" s="81">
        <v>3658</v>
      </c>
      <c r="FQ122" s="81">
        <v>3618</v>
      </c>
      <c r="FR122" s="81">
        <v>3711</v>
      </c>
      <c r="FS122" s="81">
        <v>3714</v>
      </c>
      <c r="FT122" s="81">
        <v>3835</v>
      </c>
      <c r="FU122" s="81">
        <v>4149</v>
      </c>
      <c r="FV122" s="81">
        <v>3222</v>
      </c>
      <c r="FW122" s="81">
        <v>2905</v>
      </c>
      <c r="FX122" s="81">
        <v>2829</v>
      </c>
      <c r="FY122" s="81">
        <v>2500</v>
      </c>
      <c r="FZ122" s="81">
        <v>2426</v>
      </c>
      <c r="GA122" s="81">
        <v>2139</v>
      </c>
      <c r="GB122" s="81">
        <v>2324</v>
      </c>
      <c r="GC122" s="81">
        <v>2257</v>
      </c>
      <c r="GD122" s="81">
        <v>2181</v>
      </c>
      <c r="GE122" s="81">
        <v>2019</v>
      </c>
      <c r="GF122" s="81">
        <v>1792</v>
      </c>
      <c r="GG122" s="81">
        <v>1701</v>
      </c>
      <c r="GH122" s="81">
        <v>1421</v>
      </c>
      <c r="GI122" s="81">
        <v>1344</v>
      </c>
      <c r="GJ122" s="81">
        <v>1182</v>
      </c>
      <c r="GK122" s="81">
        <v>1047</v>
      </c>
      <c r="GL122" s="82">
        <v>3905</v>
      </c>
    </row>
    <row r="123" spans="1:194" s="1" customFormat="1" hidden="1" x14ac:dyDescent="0.2">
      <c r="A123" s="83" t="s">
        <v>220</v>
      </c>
      <c r="B123" s="262" t="s">
        <v>333</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0">
        <v>1263</v>
      </c>
      <c r="N123" s="80">
        <v>1320</v>
      </c>
      <c r="O123" s="80">
        <v>1306</v>
      </c>
      <c r="P123" s="80">
        <v>1400</v>
      </c>
      <c r="Q123" s="80">
        <v>1484</v>
      </c>
      <c r="R123" s="80">
        <v>1430</v>
      </c>
      <c r="S123" s="80">
        <v>1353</v>
      </c>
      <c r="T123" s="80">
        <v>1338</v>
      </c>
      <c r="U123" s="80">
        <v>1434</v>
      </c>
      <c r="V123" s="80">
        <v>1377</v>
      </c>
      <c r="W123" s="80">
        <v>1252</v>
      </c>
      <c r="X123" s="80">
        <v>1241</v>
      </c>
      <c r="Y123" s="80">
        <v>1330</v>
      </c>
      <c r="Z123" s="80">
        <v>1191</v>
      </c>
      <c r="AA123" s="80">
        <v>1201</v>
      </c>
      <c r="AB123" s="80">
        <v>1158</v>
      </c>
      <c r="AC123" s="80">
        <v>1081</v>
      </c>
      <c r="AD123" s="80">
        <v>1043</v>
      </c>
      <c r="AE123" s="80">
        <v>994</v>
      </c>
      <c r="AF123" s="80">
        <v>855</v>
      </c>
      <c r="AG123" s="80">
        <v>830</v>
      </c>
      <c r="AH123" s="80">
        <v>892</v>
      </c>
      <c r="AI123" s="80">
        <v>886</v>
      </c>
      <c r="AJ123" s="80">
        <v>1015</v>
      </c>
      <c r="AK123" s="80">
        <v>1012</v>
      </c>
      <c r="AL123" s="80">
        <v>944</v>
      </c>
      <c r="AM123" s="80">
        <v>992</v>
      </c>
      <c r="AN123" s="80">
        <v>1111</v>
      </c>
      <c r="AO123" s="80">
        <v>1065</v>
      </c>
      <c r="AP123" s="80">
        <v>1112</v>
      </c>
      <c r="AQ123" s="80">
        <v>1226</v>
      </c>
      <c r="AR123" s="80">
        <v>1211</v>
      </c>
      <c r="AS123" s="80">
        <v>1232</v>
      </c>
      <c r="AT123" s="80">
        <v>1241</v>
      </c>
      <c r="AU123" s="80">
        <v>1381</v>
      </c>
      <c r="AV123" s="80">
        <v>1309</v>
      </c>
      <c r="AW123" s="80">
        <v>1324</v>
      </c>
      <c r="AX123" s="80">
        <v>1198</v>
      </c>
      <c r="AY123" s="80">
        <v>1295</v>
      </c>
      <c r="AZ123" s="80">
        <v>1366</v>
      </c>
      <c r="BA123" s="80">
        <v>1208</v>
      </c>
      <c r="BB123" s="80">
        <v>1252</v>
      </c>
      <c r="BC123" s="80">
        <v>1234</v>
      </c>
      <c r="BD123" s="80">
        <v>1186</v>
      </c>
      <c r="BE123" s="80">
        <v>1245</v>
      </c>
      <c r="BF123" s="80">
        <v>1242</v>
      </c>
      <c r="BG123" s="80">
        <v>1163</v>
      </c>
      <c r="BH123" s="80">
        <v>1186</v>
      </c>
      <c r="BI123" s="80">
        <v>1196</v>
      </c>
      <c r="BJ123" s="80">
        <v>1273</v>
      </c>
      <c r="BK123" s="80">
        <v>1210</v>
      </c>
      <c r="BL123" s="80">
        <v>1248</v>
      </c>
      <c r="BM123" s="80">
        <v>1132</v>
      </c>
      <c r="BN123" s="80">
        <v>1261</v>
      </c>
      <c r="BO123" s="80">
        <v>1233</v>
      </c>
      <c r="BP123" s="80">
        <v>1228</v>
      </c>
      <c r="BQ123" s="80">
        <v>1116</v>
      </c>
      <c r="BR123" s="80">
        <v>1077</v>
      </c>
      <c r="BS123" s="80">
        <v>997</v>
      </c>
      <c r="BT123" s="80">
        <v>930</v>
      </c>
      <c r="BU123" s="80">
        <v>953</v>
      </c>
      <c r="BV123" s="80">
        <v>891</v>
      </c>
      <c r="BW123" s="80">
        <v>828</v>
      </c>
      <c r="BX123" s="80">
        <v>742</v>
      </c>
      <c r="BY123" s="80">
        <v>767</v>
      </c>
      <c r="BZ123" s="80">
        <v>761</v>
      </c>
      <c r="CA123" s="80">
        <v>722</v>
      </c>
      <c r="CB123" s="80">
        <v>714</v>
      </c>
      <c r="CC123" s="80">
        <v>630</v>
      </c>
      <c r="CD123" s="80">
        <v>642</v>
      </c>
      <c r="CE123" s="80">
        <v>668</v>
      </c>
      <c r="CF123" s="80">
        <v>698</v>
      </c>
      <c r="CG123" s="80">
        <v>650</v>
      </c>
      <c r="CH123" s="80">
        <v>754</v>
      </c>
      <c r="CI123" s="80">
        <v>542</v>
      </c>
      <c r="CJ123" s="80">
        <v>459</v>
      </c>
      <c r="CK123" s="80">
        <v>466</v>
      </c>
      <c r="CL123" s="80">
        <v>412</v>
      </c>
      <c r="CM123" s="80">
        <v>343</v>
      </c>
      <c r="CN123" s="80">
        <v>269</v>
      </c>
      <c r="CO123" s="80">
        <v>317</v>
      </c>
      <c r="CP123" s="80">
        <v>303</v>
      </c>
      <c r="CQ123" s="80">
        <v>260</v>
      </c>
      <c r="CR123" s="80">
        <v>263</v>
      </c>
      <c r="CS123" s="80">
        <v>176</v>
      </c>
      <c r="CT123" s="80">
        <v>198</v>
      </c>
      <c r="CU123" s="80">
        <v>170</v>
      </c>
      <c r="CV123" s="80">
        <v>131</v>
      </c>
      <c r="CW123" s="80">
        <v>123</v>
      </c>
      <c r="CX123" s="80">
        <v>100</v>
      </c>
      <c r="CY123" s="80">
        <v>292</v>
      </c>
      <c r="CZ123" s="81">
        <v>1190</v>
      </c>
      <c r="DA123" s="81">
        <v>1209</v>
      </c>
      <c r="DB123" s="81">
        <v>1337</v>
      </c>
      <c r="DC123" s="81">
        <v>1300</v>
      </c>
      <c r="DD123" s="81">
        <v>1295</v>
      </c>
      <c r="DE123" s="81">
        <v>1360</v>
      </c>
      <c r="DF123" s="81">
        <v>1263</v>
      </c>
      <c r="DG123" s="81">
        <v>1348</v>
      </c>
      <c r="DH123" s="81">
        <v>1306</v>
      </c>
      <c r="DI123" s="81">
        <v>1321</v>
      </c>
      <c r="DJ123" s="81">
        <v>1218</v>
      </c>
      <c r="DK123" s="81">
        <v>1251</v>
      </c>
      <c r="DL123" s="81">
        <v>1295</v>
      </c>
      <c r="DM123" s="81">
        <v>1230</v>
      </c>
      <c r="DN123" s="81">
        <v>1117</v>
      </c>
      <c r="DO123" s="81">
        <v>1113</v>
      </c>
      <c r="DP123" s="81">
        <v>1053</v>
      </c>
      <c r="DQ123" s="81">
        <v>973</v>
      </c>
      <c r="DR123" s="81">
        <v>944</v>
      </c>
      <c r="DS123" s="81">
        <v>696</v>
      </c>
      <c r="DT123" s="81">
        <v>756</v>
      </c>
      <c r="DU123" s="81">
        <v>831</v>
      </c>
      <c r="DV123" s="81">
        <v>839</v>
      </c>
      <c r="DW123" s="81">
        <v>977</v>
      </c>
      <c r="DX123" s="81">
        <v>1002</v>
      </c>
      <c r="DY123" s="81">
        <v>1030</v>
      </c>
      <c r="DZ123" s="81">
        <v>1152</v>
      </c>
      <c r="EA123" s="81">
        <v>1152</v>
      </c>
      <c r="EB123" s="81">
        <v>1161</v>
      </c>
      <c r="EC123" s="81">
        <v>1248</v>
      </c>
      <c r="ED123" s="81">
        <v>1330</v>
      </c>
      <c r="EE123" s="81">
        <v>1489</v>
      </c>
      <c r="EF123" s="81">
        <v>1368</v>
      </c>
      <c r="EG123" s="81">
        <v>1491</v>
      </c>
      <c r="EH123" s="81">
        <v>1496</v>
      </c>
      <c r="EI123" s="81">
        <v>1528</v>
      </c>
      <c r="EJ123" s="81">
        <v>1505</v>
      </c>
      <c r="EK123" s="81">
        <v>1349</v>
      </c>
      <c r="EL123" s="81">
        <v>1443</v>
      </c>
      <c r="EM123" s="81">
        <v>1442</v>
      </c>
      <c r="EN123" s="81">
        <v>1357</v>
      </c>
      <c r="EO123" s="81">
        <v>1396</v>
      </c>
      <c r="EP123" s="81">
        <v>1236</v>
      </c>
      <c r="EQ123" s="81">
        <v>1180</v>
      </c>
      <c r="ER123" s="81">
        <v>1212</v>
      </c>
      <c r="ES123" s="81">
        <v>1253</v>
      </c>
      <c r="ET123" s="81">
        <v>1158</v>
      </c>
      <c r="EU123" s="81">
        <v>1157</v>
      </c>
      <c r="EV123" s="81">
        <v>1208</v>
      </c>
      <c r="EW123" s="81">
        <v>1274</v>
      </c>
      <c r="EX123" s="81">
        <v>1142</v>
      </c>
      <c r="EY123" s="81">
        <v>1214</v>
      </c>
      <c r="EZ123" s="81">
        <v>1189</v>
      </c>
      <c r="FA123" s="81">
        <v>1217</v>
      </c>
      <c r="FB123" s="81">
        <v>1185</v>
      </c>
      <c r="FC123" s="81">
        <v>1082</v>
      </c>
      <c r="FD123" s="81">
        <v>1080</v>
      </c>
      <c r="FE123" s="81">
        <v>1058</v>
      </c>
      <c r="FF123" s="81">
        <v>979</v>
      </c>
      <c r="FG123" s="81">
        <v>962</v>
      </c>
      <c r="FH123" s="81">
        <v>845</v>
      </c>
      <c r="FI123" s="81">
        <v>859</v>
      </c>
      <c r="FJ123" s="81">
        <v>757</v>
      </c>
      <c r="FK123" s="81">
        <v>807</v>
      </c>
      <c r="FL123" s="81">
        <v>727</v>
      </c>
      <c r="FM123" s="81">
        <v>689</v>
      </c>
      <c r="FN123" s="81">
        <v>743</v>
      </c>
      <c r="FO123" s="81">
        <v>726</v>
      </c>
      <c r="FP123" s="81">
        <v>683</v>
      </c>
      <c r="FQ123" s="81">
        <v>699</v>
      </c>
      <c r="FR123" s="81">
        <v>704</v>
      </c>
      <c r="FS123" s="81">
        <v>642</v>
      </c>
      <c r="FT123" s="81">
        <v>773</v>
      </c>
      <c r="FU123" s="81">
        <v>856</v>
      </c>
      <c r="FV123" s="81">
        <v>603</v>
      </c>
      <c r="FW123" s="81">
        <v>566</v>
      </c>
      <c r="FX123" s="81">
        <v>494</v>
      </c>
      <c r="FY123" s="81">
        <v>511</v>
      </c>
      <c r="FZ123" s="81">
        <v>465</v>
      </c>
      <c r="GA123" s="81">
        <v>401</v>
      </c>
      <c r="GB123" s="81">
        <v>395</v>
      </c>
      <c r="GC123" s="81">
        <v>377</v>
      </c>
      <c r="GD123" s="81">
        <v>331</v>
      </c>
      <c r="GE123" s="81">
        <v>334</v>
      </c>
      <c r="GF123" s="81">
        <v>314</v>
      </c>
      <c r="GG123" s="81">
        <v>249</v>
      </c>
      <c r="GH123" s="81">
        <v>240</v>
      </c>
      <c r="GI123" s="81">
        <v>212</v>
      </c>
      <c r="GJ123" s="81">
        <v>211</v>
      </c>
      <c r="GK123" s="81">
        <v>176</v>
      </c>
      <c r="GL123" s="82">
        <v>641</v>
      </c>
    </row>
    <row r="124" spans="1:194" s="1" customFormat="1" hidden="1" x14ac:dyDescent="0.2">
      <c r="A124" s="83" t="s">
        <v>220</v>
      </c>
      <c r="B124" s="262" t="s">
        <v>334</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0">
        <v>1239</v>
      </c>
      <c r="N124" s="80">
        <v>1339</v>
      </c>
      <c r="O124" s="80">
        <v>1447</v>
      </c>
      <c r="P124" s="80">
        <v>1482</v>
      </c>
      <c r="Q124" s="80">
        <v>1598</v>
      </c>
      <c r="R124" s="80">
        <v>1562</v>
      </c>
      <c r="S124" s="80">
        <v>1678</v>
      </c>
      <c r="T124" s="80">
        <v>1673</v>
      </c>
      <c r="U124" s="80">
        <v>1837</v>
      </c>
      <c r="V124" s="80">
        <v>1794</v>
      </c>
      <c r="W124" s="80">
        <v>1718</v>
      </c>
      <c r="X124" s="80">
        <v>1752</v>
      </c>
      <c r="Y124" s="80">
        <v>1830</v>
      </c>
      <c r="Z124" s="80">
        <v>1666</v>
      </c>
      <c r="AA124" s="80">
        <v>1662</v>
      </c>
      <c r="AB124" s="80">
        <v>1639</v>
      </c>
      <c r="AC124" s="80">
        <v>1507</v>
      </c>
      <c r="AD124" s="80">
        <v>1501</v>
      </c>
      <c r="AE124" s="80">
        <v>1366</v>
      </c>
      <c r="AF124" s="80">
        <v>948</v>
      </c>
      <c r="AG124" s="80">
        <v>886</v>
      </c>
      <c r="AH124" s="80">
        <v>1030</v>
      </c>
      <c r="AI124" s="80">
        <v>1113</v>
      </c>
      <c r="AJ124" s="80">
        <v>1266</v>
      </c>
      <c r="AK124" s="80">
        <v>1197</v>
      </c>
      <c r="AL124" s="80">
        <v>1323</v>
      </c>
      <c r="AM124" s="80">
        <v>1340</v>
      </c>
      <c r="AN124" s="80">
        <v>1264</v>
      </c>
      <c r="AO124" s="80">
        <v>1326</v>
      </c>
      <c r="AP124" s="80">
        <v>1311</v>
      </c>
      <c r="AQ124" s="80">
        <v>1231</v>
      </c>
      <c r="AR124" s="80">
        <v>1411</v>
      </c>
      <c r="AS124" s="80">
        <v>1475</v>
      </c>
      <c r="AT124" s="80">
        <v>1332</v>
      </c>
      <c r="AU124" s="80">
        <v>1509</v>
      </c>
      <c r="AV124" s="80">
        <v>1498</v>
      </c>
      <c r="AW124" s="80">
        <v>1587</v>
      </c>
      <c r="AX124" s="80">
        <v>1620</v>
      </c>
      <c r="AY124" s="80">
        <v>1586</v>
      </c>
      <c r="AZ124" s="80">
        <v>1790</v>
      </c>
      <c r="BA124" s="80">
        <v>1703</v>
      </c>
      <c r="BB124" s="80">
        <v>1750</v>
      </c>
      <c r="BC124" s="80">
        <v>1661</v>
      </c>
      <c r="BD124" s="80">
        <v>1642</v>
      </c>
      <c r="BE124" s="80">
        <v>1530</v>
      </c>
      <c r="BF124" s="80">
        <v>1642</v>
      </c>
      <c r="BG124" s="80">
        <v>1662</v>
      </c>
      <c r="BH124" s="80">
        <v>1638</v>
      </c>
      <c r="BI124" s="80">
        <v>1749</v>
      </c>
      <c r="BJ124" s="80">
        <v>1709</v>
      </c>
      <c r="BK124" s="80">
        <v>1638</v>
      </c>
      <c r="BL124" s="80">
        <v>1714</v>
      </c>
      <c r="BM124" s="80">
        <v>1610</v>
      </c>
      <c r="BN124" s="80">
        <v>1548</v>
      </c>
      <c r="BO124" s="80">
        <v>1624</v>
      </c>
      <c r="BP124" s="80">
        <v>1656</v>
      </c>
      <c r="BQ124" s="80">
        <v>1638</v>
      </c>
      <c r="BR124" s="80">
        <v>1647</v>
      </c>
      <c r="BS124" s="80">
        <v>1560</v>
      </c>
      <c r="BT124" s="80">
        <v>1369</v>
      </c>
      <c r="BU124" s="80">
        <v>1408</v>
      </c>
      <c r="BV124" s="80">
        <v>1361</v>
      </c>
      <c r="BW124" s="80">
        <v>1314</v>
      </c>
      <c r="BX124" s="80">
        <v>1265</v>
      </c>
      <c r="BY124" s="80">
        <v>1184</v>
      </c>
      <c r="BZ124" s="80">
        <v>1153</v>
      </c>
      <c r="CA124" s="80">
        <v>1092</v>
      </c>
      <c r="CB124" s="80">
        <v>1020</v>
      </c>
      <c r="CC124" s="80">
        <v>1026</v>
      </c>
      <c r="CD124" s="80">
        <v>1035</v>
      </c>
      <c r="CE124" s="80">
        <v>1005</v>
      </c>
      <c r="CF124" s="80">
        <v>1009</v>
      </c>
      <c r="CG124" s="80">
        <v>1147</v>
      </c>
      <c r="CH124" s="80">
        <v>1091</v>
      </c>
      <c r="CI124" s="80">
        <v>815</v>
      </c>
      <c r="CJ124" s="80">
        <v>785</v>
      </c>
      <c r="CK124" s="80">
        <v>788</v>
      </c>
      <c r="CL124" s="80">
        <v>744</v>
      </c>
      <c r="CM124" s="80">
        <v>604</v>
      </c>
      <c r="CN124" s="80">
        <v>549</v>
      </c>
      <c r="CO124" s="80">
        <v>538</v>
      </c>
      <c r="CP124" s="80">
        <v>573</v>
      </c>
      <c r="CQ124" s="80">
        <v>511</v>
      </c>
      <c r="CR124" s="80">
        <v>460</v>
      </c>
      <c r="CS124" s="80">
        <v>419</v>
      </c>
      <c r="CT124" s="80">
        <v>372</v>
      </c>
      <c r="CU124" s="80">
        <v>327</v>
      </c>
      <c r="CV124" s="80">
        <v>312</v>
      </c>
      <c r="CW124" s="80">
        <v>250</v>
      </c>
      <c r="CX124" s="80">
        <v>236</v>
      </c>
      <c r="CY124" s="80">
        <v>796</v>
      </c>
      <c r="CZ124" s="81">
        <v>1177</v>
      </c>
      <c r="DA124" s="81">
        <v>1342</v>
      </c>
      <c r="DB124" s="81">
        <v>1335</v>
      </c>
      <c r="DC124" s="81">
        <v>1523</v>
      </c>
      <c r="DD124" s="81">
        <v>1581</v>
      </c>
      <c r="DE124" s="81">
        <v>1461</v>
      </c>
      <c r="DF124" s="81">
        <v>1622</v>
      </c>
      <c r="DG124" s="81">
        <v>1541</v>
      </c>
      <c r="DH124" s="81">
        <v>1645</v>
      </c>
      <c r="DI124" s="81">
        <v>1745</v>
      </c>
      <c r="DJ124" s="81">
        <v>1704</v>
      </c>
      <c r="DK124" s="81">
        <v>1687</v>
      </c>
      <c r="DL124" s="81">
        <v>1692</v>
      </c>
      <c r="DM124" s="81">
        <v>1618</v>
      </c>
      <c r="DN124" s="81">
        <v>1588</v>
      </c>
      <c r="DO124" s="81">
        <v>1518</v>
      </c>
      <c r="DP124" s="81">
        <v>1470</v>
      </c>
      <c r="DQ124" s="81">
        <v>1453</v>
      </c>
      <c r="DR124" s="81">
        <v>1386</v>
      </c>
      <c r="DS124" s="81">
        <v>842</v>
      </c>
      <c r="DT124" s="81">
        <v>788</v>
      </c>
      <c r="DU124" s="81">
        <v>891</v>
      </c>
      <c r="DV124" s="81">
        <v>990</v>
      </c>
      <c r="DW124" s="81">
        <v>1165</v>
      </c>
      <c r="DX124" s="81">
        <v>1188</v>
      </c>
      <c r="DY124" s="81">
        <v>1165</v>
      </c>
      <c r="DZ124" s="81">
        <v>1101</v>
      </c>
      <c r="EA124" s="81">
        <v>1077</v>
      </c>
      <c r="EB124" s="81">
        <v>1272</v>
      </c>
      <c r="EC124" s="81">
        <v>1337</v>
      </c>
      <c r="ED124" s="81">
        <v>1421</v>
      </c>
      <c r="EE124" s="81">
        <v>1416</v>
      </c>
      <c r="EF124" s="81">
        <v>1437</v>
      </c>
      <c r="EG124" s="81">
        <v>1473</v>
      </c>
      <c r="EH124" s="81">
        <v>1677</v>
      </c>
      <c r="EI124" s="81">
        <v>1755</v>
      </c>
      <c r="EJ124" s="81">
        <v>1813</v>
      </c>
      <c r="EK124" s="81">
        <v>1697</v>
      </c>
      <c r="EL124" s="81">
        <v>1856</v>
      </c>
      <c r="EM124" s="81">
        <v>1985</v>
      </c>
      <c r="EN124" s="81">
        <v>1776</v>
      </c>
      <c r="EO124" s="81">
        <v>1941</v>
      </c>
      <c r="EP124" s="81">
        <v>1839</v>
      </c>
      <c r="EQ124" s="81">
        <v>1668</v>
      </c>
      <c r="ER124" s="81">
        <v>1695</v>
      </c>
      <c r="ES124" s="81">
        <v>1692</v>
      </c>
      <c r="ET124" s="81">
        <v>1607</v>
      </c>
      <c r="EU124" s="81">
        <v>1738</v>
      </c>
      <c r="EV124" s="81">
        <v>1841</v>
      </c>
      <c r="EW124" s="81">
        <v>1806</v>
      </c>
      <c r="EX124" s="81">
        <v>1799</v>
      </c>
      <c r="EY124" s="81">
        <v>1717</v>
      </c>
      <c r="EZ124" s="81">
        <v>1749</v>
      </c>
      <c r="FA124" s="81">
        <v>1746</v>
      </c>
      <c r="FB124" s="81">
        <v>1771</v>
      </c>
      <c r="FC124" s="81">
        <v>1732</v>
      </c>
      <c r="FD124" s="81">
        <v>1765</v>
      </c>
      <c r="FE124" s="81">
        <v>1692</v>
      </c>
      <c r="FF124" s="81">
        <v>1568</v>
      </c>
      <c r="FG124" s="81">
        <v>1522</v>
      </c>
      <c r="FH124" s="81">
        <v>1383</v>
      </c>
      <c r="FI124" s="81">
        <v>1371</v>
      </c>
      <c r="FJ124" s="81">
        <v>1358</v>
      </c>
      <c r="FK124" s="81">
        <v>1232</v>
      </c>
      <c r="FL124" s="81">
        <v>1139</v>
      </c>
      <c r="FM124" s="81">
        <v>1191</v>
      </c>
      <c r="FN124" s="81">
        <v>1075</v>
      </c>
      <c r="FO124" s="81">
        <v>1088</v>
      </c>
      <c r="FP124" s="81">
        <v>1023</v>
      </c>
      <c r="FQ124" s="81">
        <v>1107</v>
      </c>
      <c r="FR124" s="81">
        <v>1163</v>
      </c>
      <c r="FS124" s="81">
        <v>1090</v>
      </c>
      <c r="FT124" s="81">
        <v>1164</v>
      </c>
      <c r="FU124" s="81">
        <v>1225</v>
      </c>
      <c r="FV124" s="81">
        <v>964</v>
      </c>
      <c r="FW124" s="81">
        <v>988</v>
      </c>
      <c r="FX124" s="81">
        <v>971</v>
      </c>
      <c r="FY124" s="81">
        <v>889</v>
      </c>
      <c r="FZ124" s="81">
        <v>749</v>
      </c>
      <c r="GA124" s="81">
        <v>706</v>
      </c>
      <c r="GB124" s="81">
        <v>787</v>
      </c>
      <c r="GC124" s="81">
        <v>755</v>
      </c>
      <c r="GD124" s="81">
        <v>679</v>
      </c>
      <c r="GE124" s="81">
        <v>644</v>
      </c>
      <c r="GF124" s="81">
        <v>634</v>
      </c>
      <c r="GG124" s="81">
        <v>574</v>
      </c>
      <c r="GH124" s="81">
        <v>522</v>
      </c>
      <c r="GI124" s="81">
        <v>418</v>
      </c>
      <c r="GJ124" s="81">
        <v>389</v>
      </c>
      <c r="GK124" s="81">
        <v>383</v>
      </c>
      <c r="GL124" s="82">
        <v>1608</v>
      </c>
    </row>
    <row r="125" spans="1:194" s="1" customFormat="1" hidden="1" x14ac:dyDescent="0.2">
      <c r="A125" s="83" t="s">
        <v>220</v>
      </c>
      <c r="B125" s="262" t="s">
        <v>335</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0">
        <v>1543</v>
      </c>
      <c r="N125" s="80">
        <v>1717</v>
      </c>
      <c r="O125" s="80">
        <v>1767</v>
      </c>
      <c r="P125" s="80">
        <v>1832</v>
      </c>
      <c r="Q125" s="80">
        <v>1871</v>
      </c>
      <c r="R125" s="80">
        <v>1920</v>
      </c>
      <c r="S125" s="80">
        <v>1984</v>
      </c>
      <c r="T125" s="80">
        <v>1980</v>
      </c>
      <c r="U125" s="80">
        <v>2025</v>
      </c>
      <c r="V125" s="80">
        <v>2080</v>
      </c>
      <c r="W125" s="80">
        <v>1941</v>
      </c>
      <c r="X125" s="80">
        <v>2059</v>
      </c>
      <c r="Y125" s="80">
        <v>2042</v>
      </c>
      <c r="Z125" s="80">
        <v>2034</v>
      </c>
      <c r="AA125" s="80">
        <v>1948</v>
      </c>
      <c r="AB125" s="80">
        <v>1875</v>
      </c>
      <c r="AC125" s="80">
        <v>1857</v>
      </c>
      <c r="AD125" s="80">
        <v>1878</v>
      </c>
      <c r="AE125" s="80">
        <v>2018</v>
      </c>
      <c r="AF125" s="80">
        <v>3023</v>
      </c>
      <c r="AG125" s="80">
        <v>3474</v>
      </c>
      <c r="AH125" s="80">
        <v>3433</v>
      </c>
      <c r="AI125" s="80">
        <v>2858</v>
      </c>
      <c r="AJ125" s="80">
        <v>2629</v>
      </c>
      <c r="AK125" s="80">
        <v>2490</v>
      </c>
      <c r="AL125" s="80">
        <v>2511</v>
      </c>
      <c r="AM125" s="80">
        <v>2845</v>
      </c>
      <c r="AN125" s="80">
        <v>2665</v>
      </c>
      <c r="AO125" s="80">
        <v>2481</v>
      </c>
      <c r="AP125" s="80">
        <v>2465</v>
      </c>
      <c r="AQ125" s="80">
        <v>2705</v>
      </c>
      <c r="AR125" s="80">
        <v>2393</v>
      </c>
      <c r="AS125" s="80">
        <v>2173</v>
      </c>
      <c r="AT125" s="80">
        <v>2235</v>
      </c>
      <c r="AU125" s="80">
        <v>2143</v>
      </c>
      <c r="AV125" s="80">
        <v>2094</v>
      </c>
      <c r="AW125" s="80">
        <v>2295</v>
      </c>
      <c r="AX125" s="80">
        <v>2051</v>
      </c>
      <c r="AY125" s="80">
        <v>2083</v>
      </c>
      <c r="AZ125" s="80">
        <v>2141</v>
      </c>
      <c r="BA125" s="80">
        <v>2080</v>
      </c>
      <c r="BB125" s="80">
        <v>2025</v>
      </c>
      <c r="BC125" s="80">
        <v>1914</v>
      </c>
      <c r="BD125" s="80">
        <v>1916</v>
      </c>
      <c r="BE125" s="80">
        <v>1915</v>
      </c>
      <c r="BF125" s="80">
        <v>2073</v>
      </c>
      <c r="BG125" s="80">
        <v>2071</v>
      </c>
      <c r="BH125" s="80">
        <v>2213</v>
      </c>
      <c r="BI125" s="80">
        <v>2374</v>
      </c>
      <c r="BJ125" s="80">
        <v>2432</v>
      </c>
      <c r="BK125" s="80">
        <v>2443</v>
      </c>
      <c r="BL125" s="80">
        <v>2501</v>
      </c>
      <c r="BM125" s="80">
        <v>2496</v>
      </c>
      <c r="BN125" s="80">
        <v>2506</v>
      </c>
      <c r="BO125" s="80">
        <v>2527</v>
      </c>
      <c r="BP125" s="80">
        <v>2586</v>
      </c>
      <c r="BQ125" s="80">
        <v>2654</v>
      </c>
      <c r="BR125" s="80">
        <v>2486</v>
      </c>
      <c r="BS125" s="80">
        <v>2446</v>
      </c>
      <c r="BT125" s="80">
        <v>2424</v>
      </c>
      <c r="BU125" s="80">
        <v>2285</v>
      </c>
      <c r="BV125" s="80">
        <v>2335</v>
      </c>
      <c r="BW125" s="80">
        <v>2186</v>
      </c>
      <c r="BX125" s="80">
        <v>2056</v>
      </c>
      <c r="BY125" s="80">
        <v>2023</v>
      </c>
      <c r="BZ125" s="80">
        <v>1940</v>
      </c>
      <c r="CA125" s="80">
        <v>1939</v>
      </c>
      <c r="CB125" s="80">
        <v>1875</v>
      </c>
      <c r="CC125" s="80">
        <v>1808</v>
      </c>
      <c r="CD125" s="80">
        <v>1935</v>
      </c>
      <c r="CE125" s="80">
        <v>1940</v>
      </c>
      <c r="CF125" s="80">
        <v>1961</v>
      </c>
      <c r="CG125" s="80">
        <v>2031</v>
      </c>
      <c r="CH125" s="80">
        <v>2265</v>
      </c>
      <c r="CI125" s="80">
        <v>1744</v>
      </c>
      <c r="CJ125" s="80">
        <v>1557</v>
      </c>
      <c r="CK125" s="80">
        <v>1505</v>
      </c>
      <c r="CL125" s="80">
        <v>1382</v>
      </c>
      <c r="CM125" s="80">
        <v>1176</v>
      </c>
      <c r="CN125" s="80">
        <v>969</v>
      </c>
      <c r="CO125" s="80">
        <v>1009</v>
      </c>
      <c r="CP125" s="80">
        <v>969</v>
      </c>
      <c r="CQ125" s="80">
        <v>961</v>
      </c>
      <c r="CR125" s="80">
        <v>844</v>
      </c>
      <c r="CS125" s="80">
        <v>826</v>
      </c>
      <c r="CT125" s="80">
        <v>660</v>
      </c>
      <c r="CU125" s="80">
        <v>566</v>
      </c>
      <c r="CV125" s="80">
        <v>501</v>
      </c>
      <c r="CW125" s="80">
        <v>408</v>
      </c>
      <c r="CX125" s="80">
        <v>383</v>
      </c>
      <c r="CY125" s="80">
        <v>1142</v>
      </c>
      <c r="CZ125" s="81">
        <v>1506</v>
      </c>
      <c r="DA125" s="81">
        <v>1563</v>
      </c>
      <c r="DB125" s="81">
        <v>1640</v>
      </c>
      <c r="DC125" s="81">
        <v>1714</v>
      </c>
      <c r="DD125" s="81">
        <v>1800</v>
      </c>
      <c r="DE125" s="81">
        <v>1810</v>
      </c>
      <c r="DF125" s="81">
        <v>1825</v>
      </c>
      <c r="DG125" s="81">
        <v>1782</v>
      </c>
      <c r="DH125" s="81">
        <v>2029</v>
      </c>
      <c r="DI125" s="81">
        <v>1892</v>
      </c>
      <c r="DJ125" s="81">
        <v>2007</v>
      </c>
      <c r="DK125" s="81">
        <v>1933</v>
      </c>
      <c r="DL125" s="81">
        <v>1953</v>
      </c>
      <c r="DM125" s="81">
        <v>1928</v>
      </c>
      <c r="DN125" s="81">
        <v>1886</v>
      </c>
      <c r="DO125" s="81">
        <v>1872</v>
      </c>
      <c r="DP125" s="81">
        <v>1844</v>
      </c>
      <c r="DQ125" s="81">
        <v>1807</v>
      </c>
      <c r="DR125" s="81">
        <v>2026</v>
      </c>
      <c r="DS125" s="81">
        <v>3545</v>
      </c>
      <c r="DT125" s="81">
        <v>4051</v>
      </c>
      <c r="DU125" s="81">
        <v>3713</v>
      </c>
      <c r="DV125" s="81">
        <v>2973</v>
      </c>
      <c r="DW125" s="81">
        <v>2530</v>
      </c>
      <c r="DX125" s="81">
        <v>2286</v>
      </c>
      <c r="DY125" s="81">
        <v>2142</v>
      </c>
      <c r="DZ125" s="81">
        <v>2599</v>
      </c>
      <c r="EA125" s="81">
        <v>2147</v>
      </c>
      <c r="EB125" s="81">
        <v>2482</v>
      </c>
      <c r="EC125" s="81">
        <v>2349</v>
      </c>
      <c r="ED125" s="81">
        <v>2299</v>
      </c>
      <c r="EE125" s="81">
        <v>2127</v>
      </c>
      <c r="EF125" s="81">
        <v>2328</v>
      </c>
      <c r="EG125" s="81">
        <v>2109</v>
      </c>
      <c r="EH125" s="81">
        <v>2201</v>
      </c>
      <c r="EI125" s="81">
        <v>2190</v>
      </c>
      <c r="EJ125" s="81">
        <v>2027</v>
      </c>
      <c r="EK125" s="81">
        <v>2125</v>
      </c>
      <c r="EL125" s="81">
        <v>2154</v>
      </c>
      <c r="EM125" s="81">
        <v>2219</v>
      </c>
      <c r="EN125" s="81">
        <v>2126</v>
      </c>
      <c r="EO125" s="81">
        <v>2111</v>
      </c>
      <c r="EP125" s="81">
        <v>2015</v>
      </c>
      <c r="EQ125" s="81">
        <v>1963</v>
      </c>
      <c r="ER125" s="81">
        <v>1994</v>
      </c>
      <c r="ES125" s="81">
        <v>2122</v>
      </c>
      <c r="ET125" s="81">
        <v>2167</v>
      </c>
      <c r="EU125" s="81">
        <v>2176</v>
      </c>
      <c r="EV125" s="81">
        <v>2507</v>
      </c>
      <c r="EW125" s="81">
        <v>2603</v>
      </c>
      <c r="EX125" s="81">
        <v>2601</v>
      </c>
      <c r="EY125" s="81">
        <v>2571</v>
      </c>
      <c r="EZ125" s="81">
        <v>2591</v>
      </c>
      <c r="FA125" s="81">
        <v>2543</v>
      </c>
      <c r="FB125" s="81">
        <v>2546</v>
      </c>
      <c r="FC125" s="81">
        <v>2743</v>
      </c>
      <c r="FD125" s="81">
        <v>2701</v>
      </c>
      <c r="FE125" s="81">
        <v>2596</v>
      </c>
      <c r="FF125" s="81">
        <v>2602</v>
      </c>
      <c r="FG125" s="81">
        <v>2452</v>
      </c>
      <c r="FH125" s="81">
        <v>2384</v>
      </c>
      <c r="FI125" s="81">
        <v>2206</v>
      </c>
      <c r="FJ125" s="81">
        <v>2235</v>
      </c>
      <c r="FK125" s="81">
        <v>2151</v>
      </c>
      <c r="FL125" s="81">
        <v>2126</v>
      </c>
      <c r="FM125" s="81">
        <v>2069</v>
      </c>
      <c r="FN125" s="81">
        <v>2124</v>
      </c>
      <c r="FO125" s="81">
        <v>2003</v>
      </c>
      <c r="FP125" s="81">
        <v>2015</v>
      </c>
      <c r="FQ125" s="81">
        <v>2005</v>
      </c>
      <c r="FR125" s="81">
        <v>2056</v>
      </c>
      <c r="FS125" s="81">
        <v>2195</v>
      </c>
      <c r="FT125" s="81">
        <v>2288</v>
      </c>
      <c r="FU125" s="81">
        <v>2469</v>
      </c>
      <c r="FV125" s="81">
        <v>1811</v>
      </c>
      <c r="FW125" s="81">
        <v>1880</v>
      </c>
      <c r="FX125" s="81">
        <v>1752</v>
      </c>
      <c r="FY125" s="81">
        <v>1610</v>
      </c>
      <c r="FZ125" s="81">
        <v>1410</v>
      </c>
      <c r="GA125" s="81">
        <v>1206</v>
      </c>
      <c r="GB125" s="81">
        <v>1352</v>
      </c>
      <c r="GC125" s="81">
        <v>1291</v>
      </c>
      <c r="GD125" s="81">
        <v>1212</v>
      </c>
      <c r="GE125" s="81">
        <v>1187</v>
      </c>
      <c r="GF125" s="81">
        <v>1081</v>
      </c>
      <c r="GG125" s="81">
        <v>966</v>
      </c>
      <c r="GH125" s="81">
        <v>875</v>
      </c>
      <c r="GI125" s="81">
        <v>723</v>
      </c>
      <c r="GJ125" s="81">
        <v>682</v>
      </c>
      <c r="GK125" s="81">
        <v>623</v>
      </c>
      <c r="GL125" s="82">
        <v>2574</v>
      </c>
    </row>
    <row r="126" spans="1:194" s="1" customFormat="1" hidden="1" x14ac:dyDescent="0.2">
      <c r="A126" s="83" t="s">
        <v>220</v>
      </c>
      <c r="B126" s="262" t="s">
        <v>336</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0">
        <v>2036</v>
      </c>
      <c r="N126" s="80">
        <v>2102</v>
      </c>
      <c r="O126" s="80">
        <v>2131</v>
      </c>
      <c r="P126" s="80">
        <v>2277</v>
      </c>
      <c r="Q126" s="80">
        <v>2281</v>
      </c>
      <c r="R126" s="80">
        <v>2178</v>
      </c>
      <c r="S126" s="80">
        <v>2246</v>
      </c>
      <c r="T126" s="80">
        <v>2219</v>
      </c>
      <c r="U126" s="80">
        <v>2328</v>
      </c>
      <c r="V126" s="80">
        <v>2198</v>
      </c>
      <c r="W126" s="80">
        <v>2179</v>
      </c>
      <c r="X126" s="80">
        <v>2124</v>
      </c>
      <c r="Y126" s="80">
        <v>2154</v>
      </c>
      <c r="Z126" s="80">
        <v>2032</v>
      </c>
      <c r="AA126" s="80">
        <v>2092</v>
      </c>
      <c r="AB126" s="80">
        <v>1972</v>
      </c>
      <c r="AC126" s="80">
        <v>2010</v>
      </c>
      <c r="AD126" s="80">
        <v>1789</v>
      </c>
      <c r="AE126" s="80">
        <v>1734</v>
      </c>
      <c r="AF126" s="80">
        <v>1551</v>
      </c>
      <c r="AG126" s="80">
        <v>1515</v>
      </c>
      <c r="AH126" s="80">
        <v>1602</v>
      </c>
      <c r="AI126" s="80">
        <v>1705</v>
      </c>
      <c r="AJ126" s="80">
        <v>1979</v>
      </c>
      <c r="AK126" s="80">
        <v>2075</v>
      </c>
      <c r="AL126" s="80">
        <v>2045</v>
      </c>
      <c r="AM126" s="80">
        <v>2204</v>
      </c>
      <c r="AN126" s="80">
        <v>2291</v>
      </c>
      <c r="AO126" s="80">
        <v>2451</v>
      </c>
      <c r="AP126" s="80">
        <v>2382</v>
      </c>
      <c r="AQ126" s="80">
        <v>2299</v>
      </c>
      <c r="AR126" s="80">
        <v>2310</v>
      </c>
      <c r="AS126" s="80">
        <v>2358</v>
      </c>
      <c r="AT126" s="80">
        <v>2356</v>
      </c>
      <c r="AU126" s="80">
        <v>2337</v>
      </c>
      <c r="AV126" s="80">
        <v>2480</v>
      </c>
      <c r="AW126" s="80">
        <v>2191</v>
      </c>
      <c r="AX126" s="80">
        <v>2357</v>
      </c>
      <c r="AY126" s="80">
        <v>2257</v>
      </c>
      <c r="AZ126" s="80">
        <v>2085</v>
      </c>
      <c r="BA126" s="80">
        <v>2126</v>
      </c>
      <c r="BB126" s="80">
        <v>1996</v>
      </c>
      <c r="BC126" s="80">
        <v>1841</v>
      </c>
      <c r="BD126" s="80">
        <v>1812</v>
      </c>
      <c r="BE126" s="80">
        <v>2024</v>
      </c>
      <c r="BF126" s="80">
        <v>2055</v>
      </c>
      <c r="BG126" s="80">
        <v>2089</v>
      </c>
      <c r="BH126" s="80">
        <v>2262</v>
      </c>
      <c r="BI126" s="80">
        <v>2365</v>
      </c>
      <c r="BJ126" s="80">
        <v>2592</v>
      </c>
      <c r="BK126" s="80">
        <v>2583</v>
      </c>
      <c r="BL126" s="80">
        <v>2520</v>
      </c>
      <c r="BM126" s="80">
        <v>2574</v>
      </c>
      <c r="BN126" s="80">
        <v>2576</v>
      </c>
      <c r="BO126" s="80">
        <v>2704</v>
      </c>
      <c r="BP126" s="80">
        <v>2526</v>
      </c>
      <c r="BQ126" s="80">
        <v>2542</v>
      </c>
      <c r="BR126" s="80">
        <v>2475</v>
      </c>
      <c r="BS126" s="80">
        <v>2422</v>
      </c>
      <c r="BT126" s="80">
        <v>2329</v>
      </c>
      <c r="BU126" s="80">
        <v>2266</v>
      </c>
      <c r="BV126" s="80">
        <v>2208</v>
      </c>
      <c r="BW126" s="80">
        <v>2183</v>
      </c>
      <c r="BX126" s="80">
        <v>2007</v>
      </c>
      <c r="BY126" s="80">
        <v>1961</v>
      </c>
      <c r="BZ126" s="80">
        <v>1872</v>
      </c>
      <c r="CA126" s="80">
        <v>1899</v>
      </c>
      <c r="CB126" s="80">
        <v>1845</v>
      </c>
      <c r="CC126" s="80">
        <v>1702</v>
      </c>
      <c r="CD126" s="80">
        <v>1723</v>
      </c>
      <c r="CE126" s="80">
        <v>1806</v>
      </c>
      <c r="CF126" s="80">
        <v>1866</v>
      </c>
      <c r="CG126" s="80">
        <v>1796</v>
      </c>
      <c r="CH126" s="80">
        <v>1969</v>
      </c>
      <c r="CI126" s="80">
        <v>1496</v>
      </c>
      <c r="CJ126" s="80">
        <v>1429</v>
      </c>
      <c r="CK126" s="80">
        <v>1471</v>
      </c>
      <c r="CL126" s="80">
        <v>1264</v>
      </c>
      <c r="CM126" s="80">
        <v>1002</v>
      </c>
      <c r="CN126" s="80">
        <v>944</v>
      </c>
      <c r="CO126" s="80">
        <v>930</v>
      </c>
      <c r="CP126" s="80">
        <v>867</v>
      </c>
      <c r="CQ126" s="80">
        <v>852</v>
      </c>
      <c r="CR126" s="80">
        <v>709</v>
      </c>
      <c r="CS126" s="80">
        <v>583</v>
      </c>
      <c r="CT126" s="80">
        <v>557</v>
      </c>
      <c r="CU126" s="80">
        <v>490</v>
      </c>
      <c r="CV126" s="80">
        <v>413</v>
      </c>
      <c r="CW126" s="80">
        <v>338</v>
      </c>
      <c r="CX126" s="80">
        <v>246</v>
      </c>
      <c r="CY126" s="80">
        <v>849</v>
      </c>
      <c r="CZ126" s="81">
        <v>1925</v>
      </c>
      <c r="DA126" s="81">
        <v>1932</v>
      </c>
      <c r="DB126" s="81">
        <v>2123</v>
      </c>
      <c r="DC126" s="81">
        <v>2183</v>
      </c>
      <c r="DD126" s="81">
        <v>2113</v>
      </c>
      <c r="DE126" s="81">
        <v>2108</v>
      </c>
      <c r="DF126" s="81">
        <v>2075</v>
      </c>
      <c r="DG126" s="81">
        <v>2214</v>
      </c>
      <c r="DH126" s="81">
        <v>2231</v>
      </c>
      <c r="DI126" s="81">
        <v>2126</v>
      </c>
      <c r="DJ126" s="81">
        <v>2061</v>
      </c>
      <c r="DK126" s="81">
        <v>2060</v>
      </c>
      <c r="DL126" s="81">
        <v>2015</v>
      </c>
      <c r="DM126" s="81">
        <v>2036</v>
      </c>
      <c r="DN126" s="81">
        <v>1931</v>
      </c>
      <c r="DO126" s="81">
        <v>1852</v>
      </c>
      <c r="DP126" s="81">
        <v>1869</v>
      </c>
      <c r="DQ126" s="81">
        <v>1784</v>
      </c>
      <c r="DR126" s="81">
        <v>1660</v>
      </c>
      <c r="DS126" s="81">
        <v>1343</v>
      </c>
      <c r="DT126" s="81">
        <v>1368</v>
      </c>
      <c r="DU126" s="81">
        <v>1584</v>
      </c>
      <c r="DV126" s="81">
        <v>1803</v>
      </c>
      <c r="DW126" s="81">
        <v>1954</v>
      </c>
      <c r="DX126" s="81">
        <v>2086</v>
      </c>
      <c r="DY126" s="81">
        <v>2203</v>
      </c>
      <c r="DZ126" s="81">
        <v>2276</v>
      </c>
      <c r="EA126" s="81">
        <v>2239</v>
      </c>
      <c r="EB126" s="81">
        <v>2459</v>
      </c>
      <c r="EC126" s="81">
        <v>2566</v>
      </c>
      <c r="ED126" s="81">
        <v>2554</v>
      </c>
      <c r="EE126" s="81">
        <v>2397</v>
      </c>
      <c r="EF126" s="81">
        <v>2592</v>
      </c>
      <c r="EG126" s="81">
        <v>2608</v>
      </c>
      <c r="EH126" s="81">
        <v>2570</v>
      </c>
      <c r="EI126" s="81">
        <v>2488</v>
      </c>
      <c r="EJ126" s="81">
        <v>2431</v>
      </c>
      <c r="EK126" s="81">
        <v>2396</v>
      </c>
      <c r="EL126" s="81">
        <v>2337</v>
      </c>
      <c r="EM126" s="81">
        <v>2237</v>
      </c>
      <c r="EN126" s="81">
        <v>2381</v>
      </c>
      <c r="EO126" s="81">
        <v>2144</v>
      </c>
      <c r="EP126" s="81">
        <v>1871</v>
      </c>
      <c r="EQ126" s="81">
        <v>1803</v>
      </c>
      <c r="ER126" s="81">
        <v>2052</v>
      </c>
      <c r="ES126" s="81">
        <v>2119</v>
      </c>
      <c r="ET126" s="81">
        <v>2085</v>
      </c>
      <c r="EU126" s="81">
        <v>2316</v>
      </c>
      <c r="EV126" s="81">
        <v>2531</v>
      </c>
      <c r="EW126" s="81">
        <v>2561</v>
      </c>
      <c r="EX126" s="81">
        <v>2582</v>
      </c>
      <c r="EY126" s="81">
        <v>2569</v>
      </c>
      <c r="EZ126" s="81">
        <v>2593</v>
      </c>
      <c r="FA126" s="81">
        <v>2674</v>
      </c>
      <c r="FB126" s="81">
        <v>2531</v>
      </c>
      <c r="FC126" s="81">
        <v>2503</v>
      </c>
      <c r="FD126" s="81">
        <v>2543</v>
      </c>
      <c r="FE126" s="81">
        <v>2444</v>
      </c>
      <c r="FF126" s="81">
        <v>2374</v>
      </c>
      <c r="FG126" s="81">
        <v>2428</v>
      </c>
      <c r="FH126" s="81">
        <v>2240</v>
      </c>
      <c r="FI126" s="81">
        <v>2283</v>
      </c>
      <c r="FJ126" s="81">
        <v>2166</v>
      </c>
      <c r="FK126" s="81">
        <v>2058</v>
      </c>
      <c r="FL126" s="81">
        <v>2041</v>
      </c>
      <c r="FM126" s="81">
        <v>1885</v>
      </c>
      <c r="FN126" s="81">
        <v>1913</v>
      </c>
      <c r="FO126" s="81">
        <v>1931</v>
      </c>
      <c r="FP126" s="81">
        <v>1781</v>
      </c>
      <c r="FQ126" s="81">
        <v>1786</v>
      </c>
      <c r="FR126" s="81">
        <v>1883</v>
      </c>
      <c r="FS126" s="81">
        <v>1879</v>
      </c>
      <c r="FT126" s="81">
        <v>1985</v>
      </c>
      <c r="FU126" s="81">
        <v>2121</v>
      </c>
      <c r="FV126" s="81">
        <v>1682</v>
      </c>
      <c r="FW126" s="81">
        <v>1629</v>
      </c>
      <c r="FX126" s="81">
        <v>1599</v>
      </c>
      <c r="FY126" s="81">
        <v>1443</v>
      </c>
      <c r="FZ126" s="81">
        <v>1268</v>
      </c>
      <c r="GA126" s="81">
        <v>1141</v>
      </c>
      <c r="GB126" s="81">
        <v>1117</v>
      </c>
      <c r="GC126" s="81">
        <v>1110</v>
      </c>
      <c r="GD126" s="81">
        <v>1025</v>
      </c>
      <c r="GE126" s="81">
        <v>904</v>
      </c>
      <c r="GF126" s="81">
        <v>850</v>
      </c>
      <c r="GG126" s="81">
        <v>729</v>
      </c>
      <c r="GH126" s="81">
        <v>768</v>
      </c>
      <c r="GI126" s="81">
        <v>643</v>
      </c>
      <c r="GJ126" s="81">
        <v>524</v>
      </c>
      <c r="GK126" s="81">
        <v>434</v>
      </c>
      <c r="GL126" s="82">
        <v>2013</v>
      </c>
    </row>
    <row r="127" spans="1:194" s="1" customFormat="1" hidden="1" x14ac:dyDescent="0.2">
      <c r="A127" s="83" t="s">
        <v>220</v>
      </c>
      <c r="B127" s="262" t="s">
        <v>337</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0">
        <v>1046</v>
      </c>
      <c r="N127" s="80">
        <v>1083</v>
      </c>
      <c r="O127" s="80">
        <v>1176</v>
      </c>
      <c r="P127" s="80">
        <v>1174</v>
      </c>
      <c r="Q127" s="80">
        <v>1298</v>
      </c>
      <c r="R127" s="80">
        <v>1306</v>
      </c>
      <c r="S127" s="80">
        <v>1331</v>
      </c>
      <c r="T127" s="80">
        <v>1334</v>
      </c>
      <c r="U127" s="80">
        <v>1403</v>
      </c>
      <c r="V127" s="80">
        <v>1267</v>
      </c>
      <c r="W127" s="80">
        <v>1346</v>
      </c>
      <c r="X127" s="80">
        <v>1381</v>
      </c>
      <c r="Y127" s="80">
        <v>1281</v>
      </c>
      <c r="Z127" s="80">
        <v>1301</v>
      </c>
      <c r="AA127" s="80">
        <v>1257</v>
      </c>
      <c r="AB127" s="80">
        <v>1273</v>
      </c>
      <c r="AC127" s="80">
        <v>1214</v>
      </c>
      <c r="AD127" s="80">
        <v>1214</v>
      </c>
      <c r="AE127" s="80">
        <v>1192</v>
      </c>
      <c r="AF127" s="80">
        <v>949</v>
      </c>
      <c r="AG127" s="80">
        <v>954</v>
      </c>
      <c r="AH127" s="80">
        <v>965</v>
      </c>
      <c r="AI127" s="80">
        <v>1047</v>
      </c>
      <c r="AJ127" s="80">
        <v>1214</v>
      </c>
      <c r="AK127" s="80">
        <v>1172</v>
      </c>
      <c r="AL127" s="80">
        <v>1176</v>
      </c>
      <c r="AM127" s="80">
        <v>1299</v>
      </c>
      <c r="AN127" s="80">
        <v>1290</v>
      </c>
      <c r="AO127" s="80">
        <v>1264</v>
      </c>
      <c r="AP127" s="80">
        <v>1343</v>
      </c>
      <c r="AQ127" s="80">
        <v>1332</v>
      </c>
      <c r="AR127" s="80">
        <v>1335</v>
      </c>
      <c r="AS127" s="80">
        <v>1259</v>
      </c>
      <c r="AT127" s="80">
        <v>1390</v>
      </c>
      <c r="AU127" s="80">
        <v>1300</v>
      </c>
      <c r="AV127" s="80">
        <v>1300</v>
      </c>
      <c r="AW127" s="80">
        <v>1329</v>
      </c>
      <c r="AX127" s="80">
        <v>1379</v>
      </c>
      <c r="AY127" s="80">
        <v>1362</v>
      </c>
      <c r="AZ127" s="80">
        <v>1384</v>
      </c>
      <c r="BA127" s="80">
        <v>1334</v>
      </c>
      <c r="BB127" s="80">
        <v>1277</v>
      </c>
      <c r="BC127" s="80">
        <v>1238</v>
      </c>
      <c r="BD127" s="80">
        <v>1198</v>
      </c>
      <c r="BE127" s="80">
        <v>1278</v>
      </c>
      <c r="BF127" s="80">
        <v>1382</v>
      </c>
      <c r="BG127" s="80">
        <v>1376</v>
      </c>
      <c r="BH127" s="80">
        <v>1527</v>
      </c>
      <c r="BI127" s="80">
        <v>1587</v>
      </c>
      <c r="BJ127" s="80">
        <v>1570</v>
      </c>
      <c r="BK127" s="80">
        <v>1550</v>
      </c>
      <c r="BL127" s="80">
        <v>1558</v>
      </c>
      <c r="BM127" s="80">
        <v>1549</v>
      </c>
      <c r="BN127" s="80">
        <v>1608</v>
      </c>
      <c r="BO127" s="80">
        <v>1678</v>
      </c>
      <c r="BP127" s="80">
        <v>1607</v>
      </c>
      <c r="BQ127" s="80">
        <v>1620</v>
      </c>
      <c r="BR127" s="80">
        <v>1659</v>
      </c>
      <c r="BS127" s="80">
        <v>1469</v>
      </c>
      <c r="BT127" s="80">
        <v>1435</v>
      </c>
      <c r="BU127" s="80">
        <v>1321</v>
      </c>
      <c r="BV127" s="80">
        <v>1300</v>
      </c>
      <c r="BW127" s="80">
        <v>1224</v>
      </c>
      <c r="BX127" s="80">
        <v>1159</v>
      </c>
      <c r="BY127" s="80">
        <v>1136</v>
      </c>
      <c r="BZ127" s="80">
        <v>1077</v>
      </c>
      <c r="CA127" s="80">
        <v>1041</v>
      </c>
      <c r="CB127" s="80">
        <v>1068</v>
      </c>
      <c r="CC127" s="80">
        <v>1024</v>
      </c>
      <c r="CD127" s="80">
        <v>956</v>
      </c>
      <c r="CE127" s="80">
        <v>1046</v>
      </c>
      <c r="CF127" s="80">
        <v>1042</v>
      </c>
      <c r="CG127" s="80">
        <v>1016</v>
      </c>
      <c r="CH127" s="80">
        <v>1156</v>
      </c>
      <c r="CI127" s="80">
        <v>898</v>
      </c>
      <c r="CJ127" s="80">
        <v>899</v>
      </c>
      <c r="CK127" s="80">
        <v>848</v>
      </c>
      <c r="CL127" s="80">
        <v>738</v>
      </c>
      <c r="CM127" s="80">
        <v>646</v>
      </c>
      <c r="CN127" s="80">
        <v>568</v>
      </c>
      <c r="CO127" s="80">
        <v>604</v>
      </c>
      <c r="CP127" s="80">
        <v>562</v>
      </c>
      <c r="CQ127" s="80">
        <v>485</v>
      </c>
      <c r="CR127" s="80">
        <v>449</v>
      </c>
      <c r="CS127" s="80">
        <v>408</v>
      </c>
      <c r="CT127" s="80">
        <v>372</v>
      </c>
      <c r="CU127" s="80">
        <v>316</v>
      </c>
      <c r="CV127" s="80">
        <v>252</v>
      </c>
      <c r="CW127" s="80">
        <v>193</v>
      </c>
      <c r="CX127" s="80">
        <v>156</v>
      </c>
      <c r="CY127" s="80">
        <v>463</v>
      </c>
      <c r="CZ127" s="81">
        <v>1019</v>
      </c>
      <c r="DA127" s="81">
        <v>1063</v>
      </c>
      <c r="DB127" s="81">
        <v>1109</v>
      </c>
      <c r="DC127" s="81">
        <v>1102</v>
      </c>
      <c r="DD127" s="81">
        <v>1197</v>
      </c>
      <c r="DE127" s="81">
        <v>1232</v>
      </c>
      <c r="DF127" s="81">
        <v>1220</v>
      </c>
      <c r="DG127" s="81">
        <v>1229</v>
      </c>
      <c r="DH127" s="81">
        <v>1295</v>
      </c>
      <c r="DI127" s="81">
        <v>1384</v>
      </c>
      <c r="DJ127" s="81">
        <v>1239</v>
      </c>
      <c r="DK127" s="81">
        <v>1251</v>
      </c>
      <c r="DL127" s="81">
        <v>1266</v>
      </c>
      <c r="DM127" s="81">
        <v>1222</v>
      </c>
      <c r="DN127" s="81">
        <v>1177</v>
      </c>
      <c r="DO127" s="81">
        <v>1170</v>
      </c>
      <c r="DP127" s="81">
        <v>1214</v>
      </c>
      <c r="DQ127" s="81">
        <v>1103</v>
      </c>
      <c r="DR127" s="81">
        <v>1142</v>
      </c>
      <c r="DS127" s="81">
        <v>768</v>
      </c>
      <c r="DT127" s="81">
        <v>795</v>
      </c>
      <c r="DU127" s="81">
        <v>906</v>
      </c>
      <c r="DV127" s="81">
        <v>957</v>
      </c>
      <c r="DW127" s="81">
        <v>1063</v>
      </c>
      <c r="DX127" s="81">
        <v>1187</v>
      </c>
      <c r="DY127" s="81">
        <v>1083</v>
      </c>
      <c r="DZ127" s="81">
        <v>1069</v>
      </c>
      <c r="EA127" s="81">
        <v>1197</v>
      </c>
      <c r="EB127" s="81">
        <v>1192</v>
      </c>
      <c r="EC127" s="81">
        <v>1415</v>
      </c>
      <c r="ED127" s="81">
        <v>1286</v>
      </c>
      <c r="EE127" s="81">
        <v>1310</v>
      </c>
      <c r="EF127" s="81">
        <v>1411</v>
      </c>
      <c r="EG127" s="81">
        <v>1323</v>
      </c>
      <c r="EH127" s="81">
        <v>1410</v>
      </c>
      <c r="EI127" s="81">
        <v>1373</v>
      </c>
      <c r="EJ127" s="81">
        <v>1376</v>
      </c>
      <c r="EK127" s="81">
        <v>1348</v>
      </c>
      <c r="EL127" s="81">
        <v>1370</v>
      </c>
      <c r="EM127" s="81">
        <v>1465</v>
      </c>
      <c r="EN127" s="81">
        <v>1440</v>
      </c>
      <c r="EO127" s="81">
        <v>1365</v>
      </c>
      <c r="EP127" s="81">
        <v>1221</v>
      </c>
      <c r="EQ127" s="81">
        <v>1263</v>
      </c>
      <c r="ER127" s="81">
        <v>1330</v>
      </c>
      <c r="ES127" s="81">
        <v>1306</v>
      </c>
      <c r="ET127" s="81">
        <v>1346</v>
      </c>
      <c r="EU127" s="81">
        <v>1452</v>
      </c>
      <c r="EV127" s="81">
        <v>1518</v>
      </c>
      <c r="EW127" s="81">
        <v>1629</v>
      </c>
      <c r="EX127" s="81">
        <v>1604</v>
      </c>
      <c r="EY127" s="81">
        <v>1594</v>
      </c>
      <c r="EZ127" s="81">
        <v>1569</v>
      </c>
      <c r="FA127" s="81">
        <v>1644</v>
      </c>
      <c r="FB127" s="81">
        <v>1626</v>
      </c>
      <c r="FC127" s="81">
        <v>1621</v>
      </c>
      <c r="FD127" s="81">
        <v>1628</v>
      </c>
      <c r="FE127" s="81">
        <v>1581</v>
      </c>
      <c r="FF127" s="81">
        <v>1521</v>
      </c>
      <c r="FG127" s="81">
        <v>1428</v>
      </c>
      <c r="FH127" s="81">
        <v>1271</v>
      </c>
      <c r="FI127" s="81">
        <v>1344</v>
      </c>
      <c r="FJ127" s="81">
        <v>1231</v>
      </c>
      <c r="FK127" s="81">
        <v>1188</v>
      </c>
      <c r="FL127" s="81">
        <v>1127</v>
      </c>
      <c r="FM127" s="81">
        <v>1137</v>
      </c>
      <c r="FN127" s="81">
        <v>1147</v>
      </c>
      <c r="FO127" s="81">
        <v>1075</v>
      </c>
      <c r="FP127" s="81">
        <v>1027</v>
      </c>
      <c r="FQ127" s="81">
        <v>1085</v>
      </c>
      <c r="FR127" s="81">
        <v>1070</v>
      </c>
      <c r="FS127" s="81">
        <v>1054</v>
      </c>
      <c r="FT127" s="81">
        <v>1213</v>
      </c>
      <c r="FU127" s="81">
        <v>1402</v>
      </c>
      <c r="FV127" s="81">
        <v>986</v>
      </c>
      <c r="FW127" s="81">
        <v>939</v>
      </c>
      <c r="FX127" s="81">
        <v>971</v>
      </c>
      <c r="FY127" s="81">
        <v>847</v>
      </c>
      <c r="FZ127" s="81">
        <v>890</v>
      </c>
      <c r="GA127" s="81">
        <v>723</v>
      </c>
      <c r="GB127" s="81">
        <v>756</v>
      </c>
      <c r="GC127" s="81">
        <v>762</v>
      </c>
      <c r="GD127" s="81">
        <v>666</v>
      </c>
      <c r="GE127" s="81">
        <v>567</v>
      </c>
      <c r="GF127" s="81">
        <v>529</v>
      </c>
      <c r="GG127" s="81">
        <v>449</v>
      </c>
      <c r="GH127" s="81">
        <v>407</v>
      </c>
      <c r="GI127" s="81">
        <v>367</v>
      </c>
      <c r="GJ127" s="81">
        <v>296</v>
      </c>
      <c r="GK127" s="81">
        <v>286</v>
      </c>
      <c r="GL127" s="82">
        <v>1118</v>
      </c>
    </row>
    <row r="128" spans="1:194" s="1" customFormat="1" hidden="1" x14ac:dyDescent="0.2">
      <c r="A128" s="83" t="s">
        <v>220</v>
      </c>
      <c r="B128" s="262" t="s">
        <v>338</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0">
        <v>1937</v>
      </c>
      <c r="N128" s="80">
        <v>2035</v>
      </c>
      <c r="O128" s="80">
        <v>1990</v>
      </c>
      <c r="P128" s="80">
        <v>2083</v>
      </c>
      <c r="Q128" s="80">
        <v>2105</v>
      </c>
      <c r="R128" s="80">
        <v>2092</v>
      </c>
      <c r="S128" s="80">
        <v>2093</v>
      </c>
      <c r="T128" s="80">
        <v>2233</v>
      </c>
      <c r="U128" s="80">
        <v>2104</v>
      </c>
      <c r="V128" s="80">
        <v>2108</v>
      </c>
      <c r="W128" s="80">
        <v>2063</v>
      </c>
      <c r="X128" s="80">
        <v>1981</v>
      </c>
      <c r="Y128" s="80">
        <v>2029</v>
      </c>
      <c r="Z128" s="80">
        <v>1992</v>
      </c>
      <c r="AA128" s="80">
        <v>1972</v>
      </c>
      <c r="AB128" s="80">
        <v>1830</v>
      </c>
      <c r="AC128" s="80">
        <v>1847</v>
      </c>
      <c r="AD128" s="80">
        <v>1690</v>
      </c>
      <c r="AE128" s="80">
        <v>1746</v>
      </c>
      <c r="AF128" s="80">
        <v>1275</v>
      </c>
      <c r="AG128" s="80">
        <v>1319</v>
      </c>
      <c r="AH128" s="80">
        <v>1393</v>
      </c>
      <c r="AI128" s="80">
        <v>1608</v>
      </c>
      <c r="AJ128" s="80">
        <v>1670</v>
      </c>
      <c r="AK128" s="80">
        <v>1763</v>
      </c>
      <c r="AL128" s="80">
        <v>1747</v>
      </c>
      <c r="AM128" s="80">
        <v>1845</v>
      </c>
      <c r="AN128" s="80">
        <v>1784</v>
      </c>
      <c r="AO128" s="80">
        <v>1749</v>
      </c>
      <c r="AP128" s="80">
        <v>1774</v>
      </c>
      <c r="AQ128" s="80">
        <v>1807</v>
      </c>
      <c r="AR128" s="80">
        <v>1927</v>
      </c>
      <c r="AS128" s="80">
        <v>1894</v>
      </c>
      <c r="AT128" s="80">
        <v>1913</v>
      </c>
      <c r="AU128" s="80">
        <v>1888</v>
      </c>
      <c r="AV128" s="80">
        <v>1891</v>
      </c>
      <c r="AW128" s="80">
        <v>1928</v>
      </c>
      <c r="AX128" s="80">
        <v>1877</v>
      </c>
      <c r="AY128" s="80">
        <v>1945</v>
      </c>
      <c r="AZ128" s="80">
        <v>2074</v>
      </c>
      <c r="BA128" s="80">
        <v>2088</v>
      </c>
      <c r="BB128" s="80">
        <v>2000</v>
      </c>
      <c r="BC128" s="80">
        <v>1921</v>
      </c>
      <c r="BD128" s="80">
        <v>1924</v>
      </c>
      <c r="BE128" s="80">
        <v>1889</v>
      </c>
      <c r="BF128" s="80">
        <v>1896</v>
      </c>
      <c r="BG128" s="80">
        <v>1947</v>
      </c>
      <c r="BH128" s="80">
        <v>2104</v>
      </c>
      <c r="BI128" s="80">
        <v>1969</v>
      </c>
      <c r="BJ128" s="80">
        <v>2207</v>
      </c>
      <c r="BK128" s="80">
        <v>2184</v>
      </c>
      <c r="BL128" s="80">
        <v>2193</v>
      </c>
      <c r="BM128" s="80">
        <v>2140</v>
      </c>
      <c r="BN128" s="80">
        <v>2339</v>
      </c>
      <c r="BO128" s="80">
        <v>2251</v>
      </c>
      <c r="BP128" s="80">
        <v>2260</v>
      </c>
      <c r="BQ128" s="80">
        <v>2105</v>
      </c>
      <c r="BR128" s="80">
        <v>2205</v>
      </c>
      <c r="BS128" s="80">
        <v>2146</v>
      </c>
      <c r="BT128" s="80">
        <v>2079</v>
      </c>
      <c r="BU128" s="80">
        <v>1986</v>
      </c>
      <c r="BV128" s="80">
        <v>1793</v>
      </c>
      <c r="BW128" s="80">
        <v>1781</v>
      </c>
      <c r="BX128" s="80">
        <v>1685</v>
      </c>
      <c r="BY128" s="80">
        <v>1685</v>
      </c>
      <c r="BZ128" s="80">
        <v>1566</v>
      </c>
      <c r="CA128" s="80">
        <v>1497</v>
      </c>
      <c r="CB128" s="80">
        <v>1454</v>
      </c>
      <c r="CC128" s="80">
        <v>1355</v>
      </c>
      <c r="CD128" s="80">
        <v>1338</v>
      </c>
      <c r="CE128" s="80">
        <v>1435</v>
      </c>
      <c r="CF128" s="80">
        <v>1396</v>
      </c>
      <c r="CG128" s="80">
        <v>1508</v>
      </c>
      <c r="CH128" s="80">
        <v>1649</v>
      </c>
      <c r="CI128" s="80">
        <v>1217</v>
      </c>
      <c r="CJ128" s="80">
        <v>1198</v>
      </c>
      <c r="CK128" s="80">
        <v>1177</v>
      </c>
      <c r="CL128" s="80">
        <v>1038</v>
      </c>
      <c r="CM128" s="80">
        <v>935</v>
      </c>
      <c r="CN128" s="80">
        <v>735</v>
      </c>
      <c r="CO128" s="80">
        <v>740</v>
      </c>
      <c r="CP128" s="80">
        <v>787</v>
      </c>
      <c r="CQ128" s="80">
        <v>716</v>
      </c>
      <c r="CR128" s="80">
        <v>639</v>
      </c>
      <c r="CS128" s="80">
        <v>553</v>
      </c>
      <c r="CT128" s="80">
        <v>546</v>
      </c>
      <c r="CU128" s="80">
        <v>524</v>
      </c>
      <c r="CV128" s="80">
        <v>380</v>
      </c>
      <c r="CW128" s="80">
        <v>332</v>
      </c>
      <c r="CX128" s="80">
        <v>312</v>
      </c>
      <c r="CY128" s="80">
        <v>1014</v>
      </c>
      <c r="CZ128" s="81">
        <v>1809</v>
      </c>
      <c r="DA128" s="81">
        <v>1830</v>
      </c>
      <c r="DB128" s="81">
        <v>1964</v>
      </c>
      <c r="DC128" s="81">
        <v>1999</v>
      </c>
      <c r="DD128" s="81">
        <v>2023</v>
      </c>
      <c r="DE128" s="81">
        <v>2032</v>
      </c>
      <c r="DF128" s="81">
        <v>2100</v>
      </c>
      <c r="DG128" s="81">
        <v>2072</v>
      </c>
      <c r="DH128" s="81">
        <v>2063</v>
      </c>
      <c r="DI128" s="81">
        <v>1953</v>
      </c>
      <c r="DJ128" s="81">
        <v>1985</v>
      </c>
      <c r="DK128" s="81">
        <v>1923</v>
      </c>
      <c r="DL128" s="81">
        <v>1900</v>
      </c>
      <c r="DM128" s="81">
        <v>1830</v>
      </c>
      <c r="DN128" s="81">
        <v>1760</v>
      </c>
      <c r="DO128" s="81">
        <v>1751</v>
      </c>
      <c r="DP128" s="81">
        <v>1850</v>
      </c>
      <c r="DQ128" s="81">
        <v>1675</v>
      </c>
      <c r="DR128" s="81">
        <v>1596</v>
      </c>
      <c r="DS128" s="81">
        <v>1206</v>
      </c>
      <c r="DT128" s="81">
        <v>1060</v>
      </c>
      <c r="DU128" s="81">
        <v>1252</v>
      </c>
      <c r="DV128" s="81">
        <v>1474</v>
      </c>
      <c r="DW128" s="81">
        <v>1583</v>
      </c>
      <c r="DX128" s="81">
        <v>1624</v>
      </c>
      <c r="DY128" s="81">
        <v>1750</v>
      </c>
      <c r="DZ128" s="81">
        <v>1773</v>
      </c>
      <c r="EA128" s="81">
        <v>1830</v>
      </c>
      <c r="EB128" s="81">
        <v>1882</v>
      </c>
      <c r="EC128" s="81">
        <v>1877</v>
      </c>
      <c r="ED128" s="81">
        <v>2071</v>
      </c>
      <c r="EE128" s="81">
        <v>2075</v>
      </c>
      <c r="EF128" s="81">
        <v>2247</v>
      </c>
      <c r="EG128" s="81">
        <v>2147</v>
      </c>
      <c r="EH128" s="81">
        <v>2061</v>
      </c>
      <c r="EI128" s="81">
        <v>2172</v>
      </c>
      <c r="EJ128" s="81">
        <v>2165</v>
      </c>
      <c r="EK128" s="81">
        <v>2201</v>
      </c>
      <c r="EL128" s="81">
        <v>2203</v>
      </c>
      <c r="EM128" s="81">
        <v>2251</v>
      </c>
      <c r="EN128" s="81">
        <v>2252</v>
      </c>
      <c r="EO128" s="81">
        <v>2276</v>
      </c>
      <c r="EP128" s="81">
        <v>1965</v>
      </c>
      <c r="EQ128" s="81">
        <v>1968</v>
      </c>
      <c r="ER128" s="81">
        <v>2019</v>
      </c>
      <c r="ES128" s="81">
        <v>2080</v>
      </c>
      <c r="ET128" s="81">
        <v>1988</v>
      </c>
      <c r="EU128" s="81">
        <v>2137</v>
      </c>
      <c r="EV128" s="81">
        <v>2275</v>
      </c>
      <c r="EW128" s="81">
        <v>2322</v>
      </c>
      <c r="EX128" s="81">
        <v>2323</v>
      </c>
      <c r="EY128" s="81">
        <v>2339</v>
      </c>
      <c r="EZ128" s="81">
        <v>2362</v>
      </c>
      <c r="FA128" s="81">
        <v>2300</v>
      </c>
      <c r="FB128" s="81">
        <v>2405</v>
      </c>
      <c r="FC128" s="81">
        <v>2472</v>
      </c>
      <c r="FD128" s="81">
        <v>2336</v>
      </c>
      <c r="FE128" s="81">
        <v>2317</v>
      </c>
      <c r="FF128" s="81">
        <v>2174</v>
      </c>
      <c r="FG128" s="81">
        <v>2131</v>
      </c>
      <c r="FH128" s="81">
        <v>2043</v>
      </c>
      <c r="FI128" s="81">
        <v>1942</v>
      </c>
      <c r="FJ128" s="81">
        <v>1886</v>
      </c>
      <c r="FK128" s="81">
        <v>1778</v>
      </c>
      <c r="FL128" s="81">
        <v>1749</v>
      </c>
      <c r="FM128" s="81">
        <v>1586</v>
      </c>
      <c r="FN128" s="81">
        <v>1618</v>
      </c>
      <c r="FO128" s="81">
        <v>1578</v>
      </c>
      <c r="FP128" s="81">
        <v>1531</v>
      </c>
      <c r="FQ128" s="81">
        <v>1487</v>
      </c>
      <c r="FR128" s="81">
        <v>1501</v>
      </c>
      <c r="FS128" s="81">
        <v>1538</v>
      </c>
      <c r="FT128" s="81">
        <v>1621</v>
      </c>
      <c r="FU128" s="81">
        <v>1830</v>
      </c>
      <c r="FV128" s="81">
        <v>1390</v>
      </c>
      <c r="FW128" s="81">
        <v>1368</v>
      </c>
      <c r="FX128" s="81">
        <v>1321</v>
      </c>
      <c r="FY128" s="81">
        <v>1262</v>
      </c>
      <c r="FZ128" s="81">
        <v>1071</v>
      </c>
      <c r="GA128" s="81">
        <v>929</v>
      </c>
      <c r="GB128" s="81">
        <v>980</v>
      </c>
      <c r="GC128" s="81">
        <v>997</v>
      </c>
      <c r="GD128" s="81">
        <v>941</v>
      </c>
      <c r="GE128" s="81">
        <v>809</v>
      </c>
      <c r="GF128" s="81">
        <v>790</v>
      </c>
      <c r="GG128" s="81">
        <v>742</v>
      </c>
      <c r="GH128" s="81">
        <v>699</v>
      </c>
      <c r="GI128" s="81">
        <v>606</v>
      </c>
      <c r="GJ128" s="81">
        <v>596</v>
      </c>
      <c r="GK128" s="81">
        <v>533</v>
      </c>
      <c r="GL128" s="82">
        <v>2213</v>
      </c>
    </row>
    <row r="129" spans="1:194" s="1" customFormat="1" hidden="1" x14ac:dyDescent="0.2">
      <c r="A129" s="83" t="s">
        <v>220</v>
      </c>
      <c r="B129" s="262" t="s">
        <v>339</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0">
        <v>509</v>
      </c>
      <c r="N129" s="80">
        <v>553</v>
      </c>
      <c r="O129" s="80">
        <v>534</v>
      </c>
      <c r="P129" s="80">
        <v>602</v>
      </c>
      <c r="Q129" s="80">
        <v>602</v>
      </c>
      <c r="R129" s="80">
        <v>637</v>
      </c>
      <c r="S129" s="80">
        <v>618</v>
      </c>
      <c r="T129" s="80">
        <v>669</v>
      </c>
      <c r="U129" s="80">
        <v>647</v>
      </c>
      <c r="V129" s="80">
        <v>731</v>
      </c>
      <c r="W129" s="80">
        <v>628</v>
      </c>
      <c r="X129" s="80">
        <v>668</v>
      </c>
      <c r="Y129" s="80">
        <v>747</v>
      </c>
      <c r="Z129" s="80">
        <v>675</v>
      </c>
      <c r="AA129" s="80">
        <v>686</v>
      </c>
      <c r="AB129" s="80">
        <v>661</v>
      </c>
      <c r="AC129" s="80">
        <v>629</v>
      </c>
      <c r="AD129" s="80">
        <v>665</v>
      </c>
      <c r="AE129" s="80">
        <v>667</v>
      </c>
      <c r="AF129" s="80">
        <v>973</v>
      </c>
      <c r="AG129" s="80">
        <v>938</v>
      </c>
      <c r="AH129" s="80">
        <v>891</v>
      </c>
      <c r="AI129" s="80">
        <v>741</v>
      </c>
      <c r="AJ129" s="80">
        <v>749</v>
      </c>
      <c r="AK129" s="80">
        <v>655</v>
      </c>
      <c r="AL129" s="80">
        <v>633</v>
      </c>
      <c r="AM129" s="80">
        <v>623</v>
      </c>
      <c r="AN129" s="80">
        <v>658</v>
      </c>
      <c r="AO129" s="80">
        <v>795</v>
      </c>
      <c r="AP129" s="80">
        <v>765</v>
      </c>
      <c r="AQ129" s="80">
        <v>692</v>
      </c>
      <c r="AR129" s="80">
        <v>600</v>
      </c>
      <c r="AS129" s="80">
        <v>594</v>
      </c>
      <c r="AT129" s="80">
        <v>563</v>
      </c>
      <c r="AU129" s="80">
        <v>611</v>
      </c>
      <c r="AV129" s="80">
        <v>503</v>
      </c>
      <c r="AW129" s="80">
        <v>451</v>
      </c>
      <c r="AX129" s="80">
        <v>521</v>
      </c>
      <c r="AY129" s="80">
        <v>525</v>
      </c>
      <c r="AZ129" s="80">
        <v>519</v>
      </c>
      <c r="BA129" s="80">
        <v>513</v>
      </c>
      <c r="BB129" s="80">
        <v>461</v>
      </c>
      <c r="BC129" s="80">
        <v>534</v>
      </c>
      <c r="BD129" s="80">
        <v>488</v>
      </c>
      <c r="BE129" s="80">
        <v>563</v>
      </c>
      <c r="BF129" s="80">
        <v>586</v>
      </c>
      <c r="BG129" s="80">
        <v>650</v>
      </c>
      <c r="BH129" s="80">
        <v>666</v>
      </c>
      <c r="BI129" s="80">
        <v>718</v>
      </c>
      <c r="BJ129" s="80">
        <v>797</v>
      </c>
      <c r="BK129" s="80">
        <v>763</v>
      </c>
      <c r="BL129" s="80">
        <v>820</v>
      </c>
      <c r="BM129" s="80">
        <v>774</v>
      </c>
      <c r="BN129" s="80">
        <v>783</v>
      </c>
      <c r="BO129" s="80">
        <v>896</v>
      </c>
      <c r="BP129" s="80">
        <v>881</v>
      </c>
      <c r="BQ129" s="80">
        <v>859</v>
      </c>
      <c r="BR129" s="80">
        <v>826</v>
      </c>
      <c r="BS129" s="80">
        <v>814</v>
      </c>
      <c r="BT129" s="80">
        <v>751</v>
      </c>
      <c r="BU129" s="80">
        <v>782</v>
      </c>
      <c r="BV129" s="80">
        <v>727</v>
      </c>
      <c r="BW129" s="80">
        <v>741</v>
      </c>
      <c r="BX129" s="80">
        <v>711</v>
      </c>
      <c r="BY129" s="80">
        <v>657</v>
      </c>
      <c r="BZ129" s="80">
        <v>619</v>
      </c>
      <c r="CA129" s="80">
        <v>599</v>
      </c>
      <c r="CB129" s="80">
        <v>626</v>
      </c>
      <c r="CC129" s="80">
        <v>619</v>
      </c>
      <c r="CD129" s="80">
        <v>631</v>
      </c>
      <c r="CE129" s="80">
        <v>639</v>
      </c>
      <c r="CF129" s="80">
        <v>663</v>
      </c>
      <c r="CG129" s="80">
        <v>711</v>
      </c>
      <c r="CH129" s="80">
        <v>687</v>
      </c>
      <c r="CI129" s="80">
        <v>566</v>
      </c>
      <c r="CJ129" s="80">
        <v>534</v>
      </c>
      <c r="CK129" s="80">
        <v>556</v>
      </c>
      <c r="CL129" s="80">
        <v>508</v>
      </c>
      <c r="CM129" s="80">
        <v>433</v>
      </c>
      <c r="CN129" s="80">
        <v>403</v>
      </c>
      <c r="CO129" s="80">
        <v>354</v>
      </c>
      <c r="CP129" s="80">
        <v>359</v>
      </c>
      <c r="CQ129" s="80">
        <v>301</v>
      </c>
      <c r="CR129" s="80">
        <v>317</v>
      </c>
      <c r="CS129" s="80">
        <v>251</v>
      </c>
      <c r="CT129" s="80">
        <v>216</v>
      </c>
      <c r="CU129" s="80">
        <v>183</v>
      </c>
      <c r="CV129" s="80">
        <v>172</v>
      </c>
      <c r="CW129" s="80">
        <v>132</v>
      </c>
      <c r="CX129" s="80">
        <v>127</v>
      </c>
      <c r="CY129" s="80">
        <v>360</v>
      </c>
      <c r="CZ129" s="81">
        <v>499</v>
      </c>
      <c r="DA129" s="81">
        <v>533</v>
      </c>
      <c r="DB129" s="81">
        <v>526</v>
      </c>
      <c r="DC129" s="81">
        <v>533</v>
      </c>
      <c r="DD129" s="81">
        <v>547</v>
      </c>
      <c r="DE129" s="81">
        <v>609</v>
      </c>
      <c r="DF129" s="81">
        <v>596</v>
      </c>
      <c r="DG129" s="81">
        <v>665</v>
      </c>
      <c r="DH129" s="81">
        <v>666</v>
      </c>
      <c r="DI129" s="81">
        <v>642</v>
      </c>
      <c r="DJ129" s="81">
        <v>656</v>
      </c>
      <c r="DK129" s="81">
        <v>639</v>
      </c>
      <c r="DL129" s="81">
        <v>643</v>
      </c>
      <c r="DM129" s="81">
        <v>613</v>
      </c>
      <c r="DN129" s="81">
        <v>628</v>
      </c>
      <c r="DO129" s="81">
        <v>604</v>
      </c>
      <c r="DP129" s="81">
        <v>655</v>
      </c>
      <c r="DQ129" s="81">
        <v>539</v>
      </c>
      <c r="DR129" s="81">
        <v>681</v>
      </c>
      <c r="DS129" s="81">
        <v>1263</v>
      </c>
      <c r="DT129" s="81">
        <v>1248</v>
      </c>
      <c r="DU129" s="81">
        <v>1168</v>
      </c>
      <c r="DV129" s="81">
        <v>795</v>
      </c>
      <c r="DW129" s="81">
        <v>656</v>
      </c>
      <c r="DX129" s="81">
        <v>589</v>
      </c>
      <c r="DY129" s="81">
        <v>511</v>
      </c>
      <c r="DZ129" s="81">
        <v>614</v>
      </c>
      <c r="EA129" s="81">
        <v>612</v>
      </c>
      <c r="EB129" s="81">
        <v>793</v>
      </c>
      <c r="EC129" s="81">
        <v>632</v>
      </c>
      <c r="ED129" s="81">
        <v>631</v>
      </c>
      <c r="EE129" s="81">
        <v>516</v>
      </c>
      <c r="EF129" s="81">
        <v>611</v>
      </c>
      <c r="EG129" s="81">
        <v>521</v>
      </c>
      <c r="EH129" s="81">
        <v>553</v>
      </c>
      <c r="EI129" s="81">
        <v>610</v>
      </c>
      <c r="EJ129" s="81">
        <v>615</v>
      </c>
      <c r="EK129" s="81">
        <v>600</v>
      </c>
      <c r="EL129" s="81">
        <v>575</v>
      </c>
      <c r="EM129" s="81">
        <v>523</v>
      </c>
      <c r="EN129" s="81">
        <v>661</v>
      </c>
      <c r="EO129" s="81">
        <v>597</v>
      </c>
      <c r="EP129" s="81">
        <v>539</v>
      </c>
      <c r="EQ129" s="81">
        <v>570</v>
      </c>
      <c r="ER129" s="81">
        <v>593</v>
      </c>
      <c r="ES129" s="81">
        <v>638</v>
      </c>
      <c r="ET129" s="81">
        <v>646</v>
      </c>
      <c r="EU129" s="81">
        <v>783</v>
      </c>
      <c r="EV129" s="81">
        <v>834</v>
      </c>
      <c r="EW129" s="81">
        <v>868</v>
      </c>
      <c r="EX129" s="81">
        <v>819</v>
      </c>
      <c r="EY129" s="81">
        <v>848</v>
      </c>
      <c r="EZ129" s="81">
        <v>805</v>
      </c>
      <c r="FA129" s="81">
        <v>808</v>
      </c>
      <c r="FB129" s="81">
        <v>890</v>
      </c>
      <c r="FC129" s="81">
        <v>889</v>
      </c>
      <c r="FD129" s="81">
        <v>832</v>
      </c>
      <c r="FE129" s="81">
        <v>886</v>
      </c>
      <c r="FF129" s="81">
        <v>893</v>
      </c>
      <c r="FG129" s="81">
        <v>822</v>
      </c>
      <c r="FH129" s="81">
        <v>809</v>
      </c>
      <c r="FI129" s="81">
        <v>737</v>
      </c>
      <c r="FJ129" s="81">
        <v>783</v>
      </c>
      <c r="FK129" s="81">
        <v>740</v>
      </c>
      <c r="FL129" s="81">
        <v>711</v>
      </c>
      <c r="FM129" s="81">
        <v>725</v>
      </c>
      <c r="FN129" s="81">
        <v>671</v>
      </c>
      <c r="FO129" s="81">
        <v>696</v>
      </c>
      <c r="FP129" s="81">
        <v>674</v>
      </c>
      <c r="FQ129" s="81">
        <v>681</v>
      </c>
      <c r="FR129" s="81">
        <v>656</v>
      </c>
      <c r="FS129" s="81">
        <v>699</v>
      </c>
      <c r="FT129" s="81">
        <v>799</v>
      </c>
      <c r="FU129" s="81">
        <v>875</v>
      </c>
      <c r="FV129" s="81">
        <v>658</v>
      </c>
      <c r="FW129" s="81">
        <v>601</v>
      </c>
      <c r="FX129" s="81">
        <v>586</v>
      </c>
      <c r="FY129" s="81">
        <v>585</v>
      </c>
      <c r="FZ129" s="81">
        <v>551</v>
      </c>
      <c r="GA129" s="81">
        <v>418</v>
      </c>
      <c r="GB129" s="81">
        <v>422</v>
      </c>
      <c r="GC129" s="81">
        <v>469</v>
      </c>
      <c r="GD129" s="81">
        <v>411</v>
      </c>
      <c r="GE129" s="81">
        <v>389</v>
      </c>
      <c r="GF129" s="81">
        <v>355</v>
      </c>
      <c r="GG129" s="81">
        <v>303</v>
      </c>
      <c r="GH129" s="81">
        <v>297</v>
      </c>
      <c r="GI129" s="81">
        <v>198</v>
      </c>
      <c r="GJ129" s="81">
        <v>220</v>
      </c>
      <c r="GK129" s="81">
        <v>176</v>
      </c>
      <c r="GL129" s="82">
        <v>815</v>
      </c>
    </row>
    <row r="130" spans="1:194" s="1" customFormat="1" hidden="1" x14ac:dyDescent="0.2">
      <c r="A130" s="83" t="s">
        <v>220</v>
      </c>
      <c r="B130" s="262" t="s">
        <v>340</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0">
        <v>1969</v>
      </c>
      <c r="N130" s="80">
        <v>2038</v>
      </c>
      <c r="O130" s="80">
        <v>2275</v>
      </c>
      <c r="P130" s="80">
        <v>2284</v>
      </c>
      <c r="Q130" s="80">
        <v>2385</v>
      </c>
      <c r="R130" s="80">
        <v>2348</v>
      </c>
      <c r="S130" s="80">
        <v>2221</v>
      </c>
      <c r="T130" s="80">
        <v>2415</v>
      </c>
      <c r="U130" s="80">
        <v>2533</v>
      </c>
      <c r="V130" s="80">
        <v>2573</v>
      </c>
      <c r="W130" s="80">
        <v>2385</v>
      </c>
      <c r="X130" s="80">
        <v>2351</v>
      </c>
      <c r="Y130" s="80">
        <v>2435</v>
      </c>
      <c r="Z130" s="80">
        <v>2405</v>
      </c>
      <c r="AA130" s="80">
        <v>2359</v>
      </c>
      <c r="AB130" s="80">
        <v>2340</v>
      </c>
      <c r="AC130" s="80">
        <v>2345</v>
      </c>
      <c r="AD130" s="80">
        <v>2297</v>
      </c>
      <c r="AE130" s="80">
        <v>2494</v>
      </c>
      <c r="AF130" s="80">
        <v>3316</v>
      </c>
      <c r="AG130" s="80">
        <v>3743</v>
      </c>
      <c r="AH130" s="80">
        <v>3218</v>
      </c>
      <c r="AI130" s="80">
        <v>3108</v>
      </c>
      <c r="AJ130" s="80">
        <v>2828</v>
      </c>
      <c r="AK130" s="80">
        <v>2595</v>
      </c>
      <c r="AL130" s="80">
        <v>2821</v>
      </c>
      <c r="AM130" s="80">
        <v>2799</v>
      </c>
      <c r="AN130" s="80">
        <v>2628</v>
      </c>
      <c r="AO130" s="80">
        <v>2686</v>
      </c>
      <c r="AP130" s="80">
        <v>2824</v>
      </c>
      <c r="AQ130" s="80">
        <v>2425</v>
      </c>
      <c r="AR130" s="80">
        <v>2397</v>
      </c>
      <c r="AS130" s="80">
        <v>2356</v>
      </c>
      <c r="AT130" s="80">
        <v>2185</v>
      </c>
      <c r="AU130" s="80">
        <v>2339</v>
      </c>
      <c r="AV130" s="80">
        <v>2545</v>
      </c>
      <c r="AW130" s="80">
        <v>2316</v>
      </c>
      <c r="AX130" s="80">
        <v>2314</v>
      </c>
      <c r="AY130" s="80">
        <v>2407</v>
      </c>
      <c r="AZ130" s="80">
        <v>2376</v>
      </c>
      <c r="BA130" s="80">
        <v>2536</v>
      </c>
      <c r="BB130" s="80">
        <v>2357</v>
      </c>
      <c r="BC130" s="80">
        <v>2095</v>
      </c>
      <c r="BD130" s="80">
        <v>2284</v>
      </c>
      <c r="BE130" s="80">
        <v>2373</v>
      </c>
      <c r="BF130" s="80">
        <v>2371</v>
      </c>
      <c r="BG130" s="80">
        <v>2474</v>
      </c>
      <c r="BH130" s="80">
        <v>2761</v>
      </c>
      <c r="BI130" s="80">
        <v>2871</v>
      </c>
      <c r="BJ130" s="80">
        <v>2996</v>
      </c>
      <c r="BK130" s="80">
        <v>2815</v>
      </c>
      <c r="BL130" s="80">
        <v>2964</v>
      </c>
      <c r="BM130" s="80">
        <v>2956</v>
      </c>
      <c r="BN130" s="80">
        <v>3042</v>
      </c>
      <c r="BO130" s="80">
        <v>2963</v>
      </c>
      <c r="BP130" s="80">
        <v>2930</v>
      </c>
      <c r="BQ130" s="80">
        <v>2916</v>
      </c>
      <c r="BR130" s="80">
        <v>2743</v>
      </c>
      <c r="BS130" s="80">
        <v>2743</v>
      </c>
      <c r="BT130" s="80">
        <v>2775</v>
      </c>
      <c r="BU130" s="80">
        <v>2525</v>
      </c>
      <c r="BV130" s="80">
        <v>2502</v>
      </c>
      <c r="BW130" s="80">
        <v>2384</v>
      </c>
      <c r="BX130" s="80">
        <v>2334</v>
      </c>
      <c r="BY130" s="80">
        <v>2319</v>
      </c>
      <c r="BZ130" s="80">
        <v>2210</v>
      </c>
      <c r="CA130" s="80">
        <v>2158</v>
      </c>
      <c r="CB130" s="80">
        <v>2219</v>
      </c>
      <c r="CC130" s="80">
        <v>2183</v>
      </c>
      <c r="CD130" s="80">
        <v>2154</v>
      </c>
      <c r="CE130" s="80">
        <v>2160</v>
      </c>
      <c r="CF130" s="80">
        <v>2226</v>
      </c>
      <c r="CG130" s="80">
        <v>2328</v>
      </c>
      <c r="CH130" s="80">
        <v>2563</v>
      </c>
      <c r="CI130" s="80">
        <v>1875</v>
      </c>
      <c r="CJ130" s="80">
        <v>1841</v>
      </c>
      <c r="CK130" s="80">
        <v>1753</v>
      </c>
      <c r="CL130" s="80">
        <v>1611</v>
      </c>
      <c r="CM130" s="80">
        <v>1318</v>
      </c>
      <c r="CN130" s="80">
        <v>1111</v>
      </c>
      <c r="CO130" s="80">
        <v>1126</v>
      </c>
      <c r="CP130" s="80">
        <v>1094</v>
      </c>
      <c r="CQ130" s="80">
        <v>1001</v>
      </c>
      <c r="CR130" s="80">
        <v>863</v>
      </c>
      <c r="CS130" s="80">
        <v>748</v>
      </c>
      <c r="CT130" s="80">
        <v>677</v>
      </c>
      <c r="CU130" s="80">
        <v>531</v>
      </c>
      <c r="CV130" s="80">
        <v>507</v>
      </c>
      <c r="CW130" s="80">
        <v>438</v>
      </c>
      <c r="CX130" s="80">
        <v>388</v>
      </c>
      <c r="CY130" s="80">
        <v>1045</v>
      </c>
      <c r="CZ130" s="81">
        <v>1871</v>
      </c>
      <c r="DA130" s="81">
        <v>1888</v>
      </c>
      <c r="DB130" s="81">
        <v>2088</v>
      </c>
      <c r="DC130" s="81">
        <v>2059</v>
      </c>
      <c r="DD130" s="81">
        <v>2273</v>
      </c>
      <c r="DE130" s="81">
        <v>2264</v>
      </c>
      <c r="DF130" s="81">
        <v>2175</v>
      </c>
      <c r="DG130" s="81">
        <v>2255</v>
      </c>
      <c r="DH130" s="81">
        <v>2357</v>
      </c>
      <c r="DI130" s="81">
        <v>2477</v>
      </c>
      <c r="DJ130" s="81">
        <v>2343</v>
      </c>
      <c r="DK130" s="81">
        <v>2198</v>
      </c>
      <c r="DL130" s="81">
        <v>2314</v>
      </c>
      <c r="DM130" s="81">
        <v>2224</v>
      </c>
      <c r="DN130" s="81">
        <v>2171</v>
      </c>
      <c r="DO130" s="81">
        <v>2069</v>
      </c>
      <c r="DP130" s="81">
        <v>2310</v>
      </c>
      <c r="DQ130" s="81">
        <v>2163</v>
      </c>
      <c r="DR130" s="81">
        <v>2193</v>
      </c>
      <c r="DS130" s="81">
        <v>2708</v>
      </c>
      <c r="DT130" s="81">
        <v>2849</v>
      </c>
      <c r="DU130" s="81">
        <v>2638</v>
      </c>
      <c r="DV130" s="81">
        <v>2754</v>
      </c>
      <c r="DW130" s="81">
        <v>2493</v>
      </c>
      <c r="DX130" s="81">
        <v>2345</v>
      </c>
      <c r="DY130" s="81">
        <v>2466</v>
      </c>
      <c r="DZ130" s="81">
        <v>2570</v>
      </c>
      <c r="EA130" s="81">
        <v>2614</v>
      </c>
      <c r="EB130" s="81">
        <v>2775</v>
      </c>
      <c r="EC130" s="81">
        <v>2810</v>
      </c>
      <c r="ED130" s="81">
        <v>2621</v>
      </c>
      <c r="EE130" s="81">
        <v>2508</v>
      </c>
      <c r="EF130" s="81">
        <v>2659</v>
      </c>
      <c r="EG130" s="81">
        <v>2493</v>
      </c>
      <c r="EH130" s="81">
        <v>2557</v>
      </c>
      <c r="EI130" s="81">
        <v>2612</v>
      </c>
      <c r="EJ130" s="81">
        <v>2588</v>
      </c>
      <c r="EK130" s="81">
        <v>2712</v>
      </c>
      <c r="EL130" s="81">
        <v>2649</v>
      </c>
      <c r="EM130" s="81">
        <v>2608</v>
      </c>
      <c r="EN130" s="81">
        <v>2553</v>
      </c>
      <c r="EO130" s="81">
        <v>2476</v>
      </c>
      <c r="EP130" s="81">
        <v>2323</v>
      </c>
      <c r="EQ130" s="81">
        <v>2137</v>
      </c>
      <c r="ER130" s="81">
        <v>2354</v>
      </c>
      <c r="ES130" s="81">
        <v>2455</v>
      </c>
      <c r="ET130" s="81">
        <v>2528</v>
      </c>
      <c r="EU130" s="81">
        <v>2757</v>
      </c>
      <c r="EV130" s="81">
        <v>2768</v>
      </c>
      <c r="EW130" s="81">
        <v>3131</v>
      </c>
      <c r="EX130" s="81">
        <v>2912</v>
      </c>
      <c r="EY130" s="81">
        <v>3087</v>
      </c>
      <c r="EZ130" s="81">
        <v>3020</v>
      </c>
      <c r="FA130" s="81">
        <v>2895</v>
      </c>
      <c r="FB130" s="81">
        <v>2980</v>
      </c>
      <c r="FC130" s="81">
        <v>2943</v>
      </c>
      <c r="FD130" s="81">
        <v>2886</v>
      </c>
      <c r="FE130" s="81">
        <v>2828</v>
      </c>
      <c r="FF130" s="81">
        <v>2854</v>
      </c>
      <c r="FG130" s="81">
        <v>2732</v>
      </c>
      <c r="FH130" s="81">
        <v>2564</v>
      </c>
      <c r="FI130" s="81">
        <v>2510</v>
      </c>
      <c r="FJ130" s="81">
        <v>2508</v>
      </c>
      <c r="FK130" s="81">
        <v>2286</v>
      </c>
      <c r="FL130" s="81">
        <v>2247</v>
      </c>
      <c r="FM130" s="81">
        <v>2092</v>
      </c>
      <c r="FN130" s="81">
        <v>2236</v>
      </c>
      <c r="FO130" s="81">
        <v>2373</v>
      </c>
      <c r="FP130" s="81">
        <v>2285</v>
      </c>
      <c r="FQ130" s="81">
        <v>2243</v>
      </c>
      <c r="FR130" s="81">
        <v>2247</v>
      </c>
      <c r="FS130" s="81">
        <v>2406</v>
      </c>
      <c r="FT130" s="81">
        <v>2519</v>
      </c>
      <c r="FU130" s="81">
        <v>2496</v>
      </c>
      <c r="FV130" s="81">
        <v>1954</v>
      </c>
      <c r="FW130" s="81">
        <v>2034</v>
      </c>
      <c r="FX130" s="81">
        <v>2015</v>
      </c>
      <c r="FY130" s="81">
        <v>1747</v>
      </c>
      <c r="FZ130" s="81">
        <v>1436</v>
      </c>
      <c r="GA130" s="81">
        <v>1307</v>
      </c>
      <c r="GB130" s="81">
        <v>1299</v>
      </c>
      <c r="GC130" s="81">
        <v>1262</v>
      </c>
      <c r="GD130" s="81">
        <v>1163</v>
      </c>
      <c r="GE130" s="81">
        <v>1078</v>
      </c>
      <c r="GF130" s="81">
        <v>992</v>
      </c>
      <c r="GG130" s="81">
        <v>870</v>
      </c>
      <c r="GH130" s="81">
        <v>782</v>
      </c>
      <c r="GI130" s="81">
        <v>691</v>
      </c>
      <c r="GJ130" s="81">
        <v>651</v>
      </c>
      <c r="GK130" s="81">
        <v>629</v>
      </c>
      <c r="GL130" s="82">
        <v>2608</v>
      </c>
    </row>
    <row r="131" spans="1:194" s="1" customFormat="1" hidden="1" x14ac:dyDescent="0.2">
      <c r="A131" s="83" t="s">
        <v>220</v>
      </c>
      <c r="B131" s="262" t="s">
        <v>341</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0">
        <v>1237</v>
      </c>
      <c r="N131" s="80">
        <v>1277</v>
      </c>
      <c r="O131" s="80">
        <v>1296</v>
      </c>
      <c r="P131" s="80">
        <v>1337</v>
      </c>
      <c r="Q131" s="80">
        <v>1466</v>
      </c>
      <c r="R131" s="80">
        <v>1300</v>
      </c>
      <c r="S131" s="80">
        <v>1352</v>
      </c>
      <c r="T131" s="80">
        <v>1497</v>
      </c>
      <c r="U131" s="80">
        <v>1509</v>
      </c>
      <c r="V131" s="80">
        <v>1536</v>
      </c>
      <c r="W131" s="80">
        <v>1528</v>
      </c>
      <c r="X131" s="80">
        <v>1309</v>
      </c>
      <c r="Y131" s="80">
        <v>1358</v>
      </c>
      <c r="Z131" s="80">
        <v>1365</v>
      </c>
      <c r="AA131" s="80">
        <v>1296</v>
      </c>
      <c r="AB131" s="80">
        <v>1223</v>
      </c>
      <c r="AC131" s="80">
        <v>1189</v>
      </c>
      <c r="AD131" s="80">
        <v>1189</v>
      </c>
      <c r="AE131" s="80">
        <v>1071</v>
      </c>
      <c r="AF131" s="80">
        <v>890</v>
      </c>
      <c r="AG131" s="80">
        <v>884</v>
      </c>
      <c r="AH131" s="80">
        <v>1178</v>
      </c>
      <c r="AI131" s="80">
        <v>1201</v>
      </c>
      <c r="AJ131" s="80">
        <v>1341</v>
      </c>
      <c r="AK131" s="80">
        <v>1333</v>
      </c>
      <c r="AL131" s="80">
        <v>1426</v>
      </c>
      <c r="AM131" s="80">
        <v>1455</v>
      </c>
      <c r="AN131" s="80">
        <v>1401</v>
      </c>
      <c r="AO131" s="80">
        <v>1471</v>
      </c>
      <c r="AP131" s="80">
        <v>1596</v>
      </c>
      <c r="AQ131" s="80">
        <v>1443</v>
      </c>
      <c r="AR131" s="80">
        <v>1578</v>
      </c>
      <c r="AS131" s="80">
        <v>1656</v>
      </c>
      <c r="AT131" s="80">
        <v>1564</v>
      </c>
      <c r="AU131" s="80">
        <v>1602</v>
      </c>
      <c r="AV131" s="80">
        <v>1485</v>
      </c>
      <c r="AW131" s="80">
        <v>1507</v>
      </c>
      <c r="AX131" s="80">
        <v>1443</v>
      </c>
      <c r="AY131" s="80">
        <v>1483</v>
      </c>
      <c r="AZ131" s="80">
        <v>1428</v>
      </c>
      <c r="BA131" s="80">
        <v>1364</v>
      </c>
      <c r="BB131" s="80">
        <v>1401</v>
      </c>
      <c r="BC131" s="80">
        <v>1177</v>
      </c>
      <c r="BD131" s="80">
        <v>1173</v>
      </c>
      <c r="BE131" s="80">
        <v>1264</v>
      </c>
      <c r="BF131" s="80">
        <v>1258</v>
      </c>
      <c r="BG131" s="80">
        <v>1299</v>
      </c>
      <c r="BH131" s="80">
        <v>1304</v>
      </c>
      <c r="BI131" s="80">
        <v>1482</v>
      </c>
      <c r="BJ131" s="80">
        <v>1587</v>
      </c>
      <c r="BK131" s="80">
        <v>1548</v>
      </c>
      <c r="BL131" s="80">
        <v>1727</v>
      </c>
      <c r="BM131" s="80">
        <v>1512</v>
      </c>
      <c r="BN131" s="80">
        <v>1688</v>
      </c>
      <c r="BO131" s="80">
        <v>1633</v>
      </c>
      <c r="BP131" s="80">
        <v>1627</v>
      </c>
      <c r="BQ131" s="80">
        <v>1698</v>
      </c>
      <c r="BR131" s="80">
        <v>1621</v>
      </c>
      <c r="BS131" s="80">
        <v>1561</v>
      </c>
      <c r="BT131" s="80">
        <v>1471</v>
      </c>
      <c r="BU131" s="80">
        <v>1393</v>
      </c>
      <c r="BV131" s="80">
        <v>1279</v>
      </c>
      <c r="BW131" s="80">
        <v>1426</v>
      </c>
      <c r="BX131" s="80">
        <v>1264</v>
      </c>
      <c r="BY131" s="80">
        <v>1253</v>
      </c>
      <c r="BZ131" s="80">
        <v>1178</v>
      </c>
      <c r="CA131" s="80">
        <v>1221</v>
      </c>
      <c r="CB131" s="80">
        <v>1262</v>
      </c>
      <c r="CC131" s="80">
        <v>1246</v>
      </c>
      <c r="CD131" s="80">
        <v>1287</v>
      </c>
      <c r="CE131" s="80">
        <v>1278</v>
      </c>
      <c r="CF131" s="80">
        <v>1358</v>
      </c>
      <c r="CG131" s="80">
        <v>1460</v>
      </c>
      <c r="CH131" s="80">
        <v>1540</v>
      </c>
      <c r="CI131" s="80">
        <v>1181</v>
      </c>
      <c r="CJ131" s="80">
        <v>1135</v>
      </c>
      <c r="CK131" s="80">
        <v>1097</v>
      </c>
      <c r="CL131" s="80">
        <v>981</v>
      </c>
      <c r="CM131" s="80">
        <v>898</v>
      </c>
      <c r="CN131" s="80">
        <v>763</v>
      </c>
      <c r="CO131" s="80">
        <v>755</v>
      </c>
      <c r="CP131" s="80">
        <v>764</v>
      </c>
      <c r="CQ131" s="80">
        <v>709</v>
      </c>
      <c r="CR131" s="80">
        <v>615</v>
      </c>
      <c r="CS131" s="80">
        <v>537</v>
      </c>
      <c r="CT131" s="80">
        <v>515</v>
      </c>
      <c r="CU131" s="80">
        <v>398</v>
      </c>
      <c r="CV131" s="80">
        <v>385</v>
      </c>
      <c r="CW131" s="80">
        <v>334</v>
      </c>
      <c r="CX131" s="80">
        <v>277</v>
      </c>
      <c r="CY131" s="80">
        <v>976</v>
      </c>
      <c r="CZ131" s="81">
        <v>1127</v>
      </c>
      <c r="DA131" s="81">
        <v>1128</v>
      </c>
      <c r="DB131" s="81">
        <v>1233</v>
      </c>
      <c r="DC131" s="81">
        <v>1242</v>
      </c>
      <c r="DD131" s="81">
        <v>1426</v>
      </c>
      <c r="DE131" s="81">
        <v>1327</v>
      </c>
      <c r="DF131" s="81">
        <v>1280</v>
      </c>
      <c r="DG131" s="81">
        <v>1418</v>
      </c>
      <c r="DH131" s="81">
        <v>1309</v>
      </c>
      <c r="DI131" s="81">
        <v>1430</v>
      </c>
      <c r="DJ131" s="81">
        <v>1291</v>
      </c>
      <c r="DK131" s="81">
        <v>1365</v>
      </c>
      <c r="DL131" s="81">
        <v>1341</v>
      </c>
      <c r="DM131" s="81">
        <v>1288</v>
      </c>
      <c r="DN131" s="81">
        <v>1227</v>
      </c>
      <c r="DO131" s="81">
        <v>1191</v>
      </c>
      <c r="DP131" s="81">
        <v>1235</v>
      </c>
      <c r="DQ131" s="81">
        <v>1157</v>
      </c>
      <c r="DR131" s="81">
        <v>1090</v>
      </c>
      <c r="DS131" s="81">
        <v>764</v>
      </c>
      <c r="DT131" s="81">
        <v>698</v>
      </c>
      <c r="DU131" s="81">
        <v>953</v>
      </c>
      <c r="DV131" s="81">
        <v>1186</v>
      </c>
      <c r="DW131" s="81">
        <v>1280</v>
      </c>
      <c r="DX131" s="81">
        <v>1230</v>
      </c>
      <c r="DY131" s="81">
        <v>1265</v>
      </c>
      <c r="DZ131" s="81">
        <v>1304</v>
      </c>
      <c r="EA131" s="81">
        <v>1273</v>
      </c>
      <c r="EB131" s="81">
        <v>1276</v>
      </c>
      <c r="EC131" s="81">
        <v>1396</v>
      </c>
      <c r="ED131" s="81">
        <v>1405</v>
      </c>
      <c r="EE131" s="81">
        <v>1423</v>
      </c>
      <c r="EF131" s="81">
        <v>1470</v>
      </c>
      <c r="EG131" s="81">
        <v>1404</v>
      </c>
      <c r="EH131" s="81">
        <v>1446</v>
      </c>
      <c r="EI131" s="81">
        <v>1428</v>
      </c>
      <c r="EJ131" s="81">
        <v>1354</v>
      </c>
      <c r="EK131" s="81">
        <v>1377</v>
      </c>
      <c r="EL131" s="81">
        <v>1437</v>
      </c>
      <c r="EM131" s="81">
        <v>1291</v>
      </c>
      <c r="EN131" s="81">
        <v>1331</v>
      </c>
      <c r="EO131" s="81">
        <v>1252</v>
      </c>
      <c r="EP131" s="81">
        <v>1146</v>
      </c>
      <c r="EQ131" s="81">
        <v>1195</v>
      </c>
      <c r="ER131" s="81">
        <v>1175</v>
      </c>
      <c r="ES131" s="81">
        <v>1282</v>
      </c>
      <c r="ET131" s="81">
        <v>1282</v>
      </c>
      <c r="EU131" s="81">
        <v>1489</v>
      </c>
      <c r="EV131" s="81">
        <v>1428</v>
      </c>
      <c r="EW131" s="81">
        <v>1521</v>
      </c>
      <c r="EX131" s="81">
        <v>1550</v>
      </c>
      <c r="EY131" s="81">
        <v>1649</v>
      </c>
      <c r="EZ131" s="81">
        <v>1660</v>
      </c>
      <c r="FA131" s="81">
        <v>1625</v>
      </c>
      <c r="FB131" s="81">
        <v>1752</v>
      </c>
      <c r="FC131" s="81">
        <v>1664</v>
      </c>
      <c r="FD131" s="81">
        <v>1712</v>
      </c>
      <c r="FE131" s="81">
        <v>1577</v>
      </c>
      <c r="FF131" s="81">
        <v>1556</v>
      </c>
      <c r="FG131" s="81">
        <v>1528</v>
      </c>
      <c r="FH131" s="81">
        <v>1367</v>
      </c>
      <c r="FI131" s="81">
        <v>1493</v>
      </c>
      <c r="FJ131" s="81">
        <v>1425</v>
      </c>
      <c r="FK131" s="81">
        <v>1410</v>
      </c>
      <c r="FL131" s="81">
        <v>1353</v>
      </c>
      <c r="FM131" s="81">
        <v>1322</v>
      </c>
      <c r="FN131" s="81">
        <v>1412</v>
      </c>
      <c r="FO131" s="81">
        <v>1387</v>
      </c>
      <c r="FP131" s="81">
        <v>1284</v>
      </c>
      <c r="FQ131" s="81">
        <v>1340</v>
      </c>
      <c r="FR131" s="81">
        <v>1384</v>
      </c>
      <c r="FS131" s="81">
        <v>1494</v>
      </c>
      <c r="FT131" s="81">
        <v>1611</v>
      </c>
      <c r="FU131" s="81">
        <v>1813</v>
      </c>
      <c r="FV131" s="81">
        <v>1349</v>
      </c>
      <c r="FW131" s="81">
        <v>1230</v>
      </c>
      <c r="FX131" s="81">
        <v>1296</v>
      </c>
      <c r="FY131" s="81">
        <v>1171</v>
      </c>
      <c r="FZ131" s="81">
        <v>1004</v>
      </c>
      <c r="GA131" s="81">
        <v>903</v>
      </c>
      <c r="GB131" s="81">
        <v>860</v>
      </c>
      <c r="GC131" s="81">
        <v>859</v>
      </c>
      <c r="GD131" s="81">
        <v>799</v>
      </c>
      <c r="GE131" s="81">
        <v>748</v>
      </c>
      <c r="GF131" s="81">
        <v>696</v>
      </c>
      <c r="GG131" s="81">
        <v>608</v>
      </c>
      <c r="GH131" s="81">
        <v>591</v>
      </c>
      <c r="GI131" s="81">
        <v>440</v>
      </c>
      <c r="GJ131" s="81">
        <v>486</v>
      </c>
      <c r="GK131" s="81">
        <v>423</v>
      </c>
      <c r="GL131" s="82">
        <v>1999</v>
      </c>
    </row>
    <row r="132" spans="1:194" s="1" customFormat="1" hidden="1" x14ac:dyDescent="0.2">
      <c r="A132" s="83" t="s">
        <v>220</v>
      </c>
      <c r="B132" s="262" t="s">
        <v>342</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0">
        <v>4125</v>
      </c>
      <c r="N132" s="80">
        <v>4391</v>
      </c>
      <c r="O132" s="80">
        <v>4617</v>
      </c>
      <c r="P132" s="80">
        <v>4863</v>
      </c>
      <c r="Q132" s="80">
        <v>5052</v>
      </c>
      <c r="R132" s="80">
        <v>5161</v>
      </c>
      <c r="S132" s="80">
        <v>5126</v>
      </c>
      <c r="T132" s="80">
        <v>5373</v>
      </c>
      <c r="U132" s="80">
        <v>5545</v>
      </c>
      <c r="V132" s="80">
        <v>5481</v>
      </c>
      <c r="W132" s="80">
        <v>5614</v>
      </c>
      <c r="X132" s="80">
        <v>5375</v>
      </c>
      <c r="Y132" s="80">
        <v>5370</v>
      </c>
      <c r="Z132" s="80">
        <v>5214</v>
      </c>
      <c r="AA132" s="80">
        <v>4985</v>
      </c>
      <c r="AB132" s="80">
        <v>4762</v>
      </c>
      <c r="AC132" s="80">
        <v>4885</v>
      </c>
      <c r="AD132" s="80">
        <v>4675</v>
      </c>
      <c r="AE132" s="80">
        <v>4320</v>
      </c>
      <c r="AF132" s="80">
        <v>3727</v>
      </c>
      <c r="AG132" s="80">
        <v>3387</v>
      </c>
      <c r="AH132" s="80">
        <v>3739</v>
      </c>
      <c r="AI132" s="80">
        <v>3985</v>
      </c>
      <c r="AJ132" s="80">
        <v>4366</v>
      </c>
      <c r="AK132" s="80">
        <v>4297</v>
      </c>
      <c r="AL132" s="80">
        <v>4145</v>
      </c>
      <c r="AM132" s="80">
        <v>4329</v>
      </c>
      <c r="AN132" s="80">
        <v>4267</v>
      </c>
      <c r="AO132" s="80">
        <v>4264</v>
      </c>
      <c r="AP132" s="80">
        <v>4557</v>
      </c>
      <c r="AQ132" s="80">
        <v>4555</v>
      </c>
      <c r="AR132" s="80">
        <v>4498</v>
      </c>
      <c r="AS132" s="80">
        <v>4763</v>
      </c>
      <c r="AT132" s="80">
        <v>4642</v>
      </c>
      <c r="AU132" s="80">
        <v>4708</v>
      </c>
      <c r="AV132" s="80">
        <v>4733</v>
      </c>
      <c r="AW132" s="80">
        <v>4821</v>
      </c>
      <c r="AX132" s="80">
        <v>4798</v>
      </c>
      <c r="AY132" s="80">
        <v>5160</v>
      </c>
      <c r="AZ132" s="80">
        <v>5334</v>
      </c>
      <c r="BA132" s="80">
        <v>5236</v>
      </c>
      <c r="BB132" s="80">
        <v>5353</v>
      </c>
      <c r="BC132" s="80">
        <v>5101</v>
      </c>
      <c r="BD132" s="80">
        <v>5016</v>
      </c>
      <c r="BE132" s="80">
        <v>5028</v>
      </c>
      <c r="BF132" s="80">
        <v>5056</v>
      </c>
      <c r="BG132" s="80">
        <v>5456</v>
      </c>
      <c r="BH132" s="80">
        <v>5502</v>
      </c>
      <c r="BI132" s="80">
        <v>5920</v>
      </c>
      <c r="BJ132" s="80">
        <v>6108</v>
      </c>
      <c r="BK132" s="80">
        <v>5989</v>
      </c>
      <c r="BL132" s="80">
        <v>6214</v>
      </c>
      <c r="BM132" s="80">
        <v>6207</v>
      </c>
      <c r="BN132" s="80">
        <v>6344</v>
      </c>
      <c r="BO132" s="80">
        <v>6192</v>
      </c>
      <c r="BP132" s="80">
        <v>6366</v>
      </c>
      <c r="BQ132" s="80">
        <v>6209</v>
      </c>
      <c r="BR132" s="80">
        <v>6067</v>
      </c>
      <c r="BS132" s="80">
        <v>5806</v>
      </c>
      <c r="BT132" s="80">
        <v>5746</v>
      </c>
      <c r="BU132" s="80">
        <v>5393</v>
      </c>
      <c r="BV132" s="80">
        <v>5394</v>
      </c>
      <c r="BW132" s="80">
        <v>5279</v>
      </c>
      <c r="BX132" s="80">
        <v>4905</v>
      </c>
      <c r="BY132" s="80">
        <v>4869</v>
      </c>
      <c r="BZ132" s="80">
        <v>4833</v>
      </c>
      <c r="CA132" s="80">
        <v>4793</v>
      </c>
      <c r="CB132" s="80">
        <v>4705</v>
      </c>
      <c r="CC132" s="80">
        <v>4424</v>
      </c>
      <c r="CD132" s="80">
        <v>4511</v>
      </c>
      <c r="CE132" s="80">
        <v>4664</v>
      </c>
      <c r="CF132" s="80">
        <v>4900</v>
      </c>
      <c r="CG132" s="80">
        <v>5106</v>
      </c>
      <c r="CH132" s="80">
        <v>5706</v>
      </c>
      <c r="CI132" s="80">
        <v>4380</v>
      </c>
      <c r="CJ132" s="80">
        <v>4214</v>
      </c>
      <c r="CK132" s="80">
        <v>4107</v>
      </c>
      <c r="CL132" s="80">
        <v>3816</v>
      </c>
      <c r="CM132" s="80">
        <v>3235</v>
      </c>
      <c r="CN132" s="80">
        <v>2730</v>
      </c>
      <c r="CO132" s="80">
        <v>2740</v>
      </c>
      <c r="CP132" s="80">
        <v>2626</v>
      </c>
      <c r="CQ132" s="80">
        <v>2594</v>
      </c>
      <c r="CR132" s="80">
        <v>2298</v>
      </c>
      <c r="CS132" s="80">
        <v>2075</v>
      </c>
      <c r="CT132" s="80">
        <v>1884</v>
      </c>
      <c r="CU132" s="80">
        <v>1647</v>
      </c>
      <c r="CV132" s="80">
        <v>1383</v>
      </c>
      <c r="CW132" s="80">
        <v>1271</v>
      </c>
      <c r="CX132" s="80">
        <v>1170</v>
      </c>
      <c r="CY132" s="80">
        <v>3810</v>
      </c>
      <c r="CZ132" s="81">
        <v>4099</v>
      </c>
      <c r="DA132" s="81">
        <v>4222</v>
      </c>
      <c r="DB132" s="81">
        <v>4378</v>
      </c>
      <c r="DC132" s="81">
        <v>4541</v>
      </c>
      <c r="DD132" s="81">
        <v>4837</v>
      </c>
      <c r="DE132" s="81">
        <v>4820</v>
      </c>
      <c r="DF132" s="81">
        <v>4886</v>
      </c>
      <c r="DG132" s="81">
        <v>4844</v>
      </c>
      <c r="DH132" s="81">
        <v>5237</v>
      </c>
      <c r="DI132" s="81">
        <v>5107</v>
      </c>
      <c r="DJ132" s="81">
        <v>5054</v>
      </c>
      <c r="DK132" s="81">
        <v>5106</v>
      </c>
      <c r="DL132" s="81">
        <v>5198</v>
      </c>
      <c r="DM132" s="81">
        <v>4896</v>
      </c>
      <c r="DN132" s="81">
        <v>4684</v>
      </c>
      <c r="DO132" s="81">
        <v>4484</v>
      </c>
      <c r="DP132" s="81">
        <v>4391</v>
      </c>
      <c r="DQ132" s="81">
        <v>4361</v>
      </c>
      <c r="DR132" s="81">
        <v>4184</v>
      </c>
      <c r="DS132" s="81">
        <v>3450</v>
      </c>
      <c r="DT132" s="81">
        <v>3154</v>
      </c>
      <c r="DU132" s="81">
        <v>3270</v>
      </c>
      <c r="DV132" s="81">
        <v>3579</v>
      </c>
      <c r="DW132" s="81">
        <v>3970</v>
      </c>
      <c r="DX132" s="81">
        <v>3964</v>
      </c>
      <c r="DY132" s="81">
        <v>4022</v>
      </c>
      <c r="DZ132" s="81">
        <v>4132</v>
      </c>
      <c r="EA132" s="81">
        <v>4180</v>
      </c>
      <c r="EB132" s="81">
        <v>4399</v>
      </c>
      <c r="EC132" s="81">
        <v>4606</v>
      </c>
      <c r="ED132" s="81">
        <v>4795</v>
      </c>
      <c r="EE132" s="81">
        <v>4972</v>
      </c>
      <c r="EF132" s="81">
        <v>5083</v>
      </c>
      <c r="EG132" s="81">
        <v>4959</v>
      </c>
      <c r="EH132" s="81">
        <v>5132</v>
      </c>
      <c r="EI132" s="81">
        <v>5334</v>
      </c>
      <c r="EJ132" s="81">
        <v>5218</v>
      </c>
      <c r="EK132" s="81">
        <v>5403</v>
      </c>
      <c r="EL132" s="81">
        <v>5735</v>
      </c>
      <c r="EM132" s="81">
        <v>5679</v>
      </c>
      <c r="EN132" s="81">
        <v>5951</v>
      </c>
      <c r="EO132" s="81">
        <v>5748</v>
      </c>
      <c r="EP132" s="81">
        <v>5380</v>
      </c>
      <c r="EQ132" s="81">
        <v>5198</v>
      </c>
      <c r="ER132" s="81">
        <v>5266</v>
      </c>
      <c r="ES132" s="81">
        <v>5612</v>
      </c>
      <c r="ET132" s="81">
        <v>5802</v>
      </c>
      <c r="EU132" s="81">
        <v>5908</v>
      </c>
      <c r="EV132" s="81">
        <v>6140</v>
      </c>
      <c r="EW132" s="81">
        <v>6400</v>
      </c>
      <c r="EX132" s="81">
        <v>5970</v>
      </c>
      <c r="EY132" s="81">
        <v>6274</v>
      </c>
      <c r="EZ132" s="81">
        <v>6340</v>
      </c>
      <c r="FA132" s="81">
        <v>6491</v>
      </c>
      <c r="FB132" s="81">
        <v>6329</v>
      </c>
      <c r="FC132" s="81">
        <v>6523</v>
      </c>
      <c r="FD132" s="81">
        <v>6591</v>
      </c>
      <c r="FE132" s="81">
        <v>6259</v>
      </c>
      <c r="FF132" s="81">
        <v>6250</v>
      </c>
      <c r="FG132" s="81">
        <v>5974</v>
      </c>
      <c r="FH132" s="81">
        <v>5714</v>
      </c>
      <c r="FI132" s="81">
        <v>5794</v>
      </c>
      <c r="FJ132" s="81">
        <v>5712</v>
      </c>
      <c r="FK132" s="81">
        <v>5418</v>
      </c>
      <c r="FL132" s="81">
        <v>5304</v>
      </c>
      <c r="FM132" s="81">
        <v>5187</v>
      </c>
      <c r="FN132" s="81">
        <v>5190</v>
      </c>
      <c r="FO132" s="81">
        <v>5057</v>
      </c>
      <c r="FP132" s="81">
        <v>5171</v>
      </c>
      <c r="FQ132" s="81">
        <v>5152</v>
      </c>
      <c r="FR132" s="81">
        <v>5287</v>
      </c>
      <c r="FS132" s="81">
        <v>5570</v>
      </c>
      <c r="FT132" s="81">
        <v>5950</v>
      </c>
      <c r="FU132" s="81">
        <v>6583</v>
      </c>
      <c r="FV132" s="81">
        <v>5065</v>
      </c>
      <c r="FW132" s="81">
        <v>4765</v>
      </c>
      <c r="FX132" s="81">
        <v>4558</v>
      </c>
      <c r="FY132" s="81">
        <v>4493</v>
      </c>
      <c r="FZ132" s="81">
        <v>3686</v>
      </c>
      <c r="GA132" s="81">
        <v>3246</v>
      </c>
      <c r="GB132" s="81">
        <v>3594</v>
      </c>
      <c r="GC132" s="81">
        <v>3453</v>
      </c>
      <c r="GD132" s="81">
        <v>3256</v>
      </c>
      <c r="GE132" s="81">
        <v>3005</v>
      </c>
      <c r="GF132" s="81">
        <v>2821</v>
      </c>
      <c r="GG132" s="81">
        <v>2639</v>
      </c>
      <c r="GH132" s="81">
        <v>2407</v>
      </c>
      <c r="GI132" s="81">
        <v>2176</v>
      </c>
      <c r="GJ132" s="81">
        <v>2039</v>
      </c>
      <c r="GK132" s="81">
        <v>1864</v>
      </c>
      <c r="GL132" s="82">
        <v>7635</v>
      </c>
    </row>
    <row r="133" spans="1:194" s="1" customFormat="1" hidden="1" x14ac:dyDescent="0.2">
      <c r="A133" s="83" t="s">
        <v>220</v>
      </c>
      <c r="B133" s="262" t="s">
        <v>343</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0">
        <v>1698</v>
      </c>
      <c r="N133" s="80">
        <v>1805</v>
      </c>
      <c r="O133" s="80">
        <v>1853</v>
      </c>
      <c r="P133" s="80">
        <v>1967</v>
      </c>
      <c r="Q133" s="80">
        <v>2017</v>
      </c>
      <c r="R133" s="80">
        <v>2007</v>
      </c>
      <c r="S133" s="80">
        <v>1986</v>
      </c>
      <c r="T133" s="80">
        <v>1972</v>
      </c>
      <c r="U133" s="80">
        <v>2083</v>
      </c>
      <c r="V133" s="80">
        <v>2175</v>
      </c>
      <c r="W133" s="80">
        <v>2159</v>
      </c>
      <c r="X133" s="80">
        <v>2118</v>
      </c>
      <c r="Y133" s="80">
        <v>2137</v>
      </c>
      <c r="Z133" s="80">
        <v>1999</v>
      </c>
      <c r="AA133" s="80">
        <v>2126</v>
      </c>
      <c r="AB133" s="80">
        <v>1949</v>
      </c>
      <c r="AC133" s="80">
        <v>1911</v>
      </c>
      <c r="AD133" s="80">
        <v>1912</v>
      </c>
      <c r="AE133" s="80">
        <v>1833</v>
      </c>
      <c r="AF133" s="80">
        <v>1694</v>
      </c>
      <c r="AG133" s="80">
        <v>1680</v>
      </c>
      <c r="AH133" s="80">
        <v>1719</v>
      </c>
      <c r="AI133" s="80">
        <v>1760</v>
      </c>
      <c r="AJ133" s="80">
        <v>1832</v>
      </c>
      <c r="AK133" s="80">
        <v>1942</v>
      </c>
      <c r="AL133" s="80">
        <v>1879</v>
      </c>
      <c r="AM133" s="80">
        <v>1948</v>
      </c>
      <c r="AN133" s="80">
        <v>1995</v>
      </c>
      <c r="AO133" s="80">
        <v>2115</v>
      </c>
      <c r="AP133" s="80">
        <v>2230</v>
      </c>
      <c r="AQ133" s="80">
        <v>2162</v>
      </c>
      <c r="AR133" s="80">
        <v>2157</v>
      </c>
      <c r="AS133" s="80">
        <v>2170</v>
      </c>
      <c r="AT133" s="80">
        <v>2213</v>
      </c>
      <c r="AU133" s="80">
        <v>2100</v>
      </c>
      <c r="AV133" s="80">
        <v>2177</v>
      </c>
      <c r="AW133" s="80">
        <v>2106</v>
      </c>
      <c r="AX133" s="80">
        <v>2133</v>
      </c>
      <c r="AY133" s="80">
        <v>2153</v>
      </c>
      <c r="AZ133" s="80">
        <v>2044</v>
      </c>
      <c r="BA133" s="80">
        <v>2132</v>
      </c>
      <c r="BB133" s="80">
        <v>1993</v>
      </c>
      <c r="BC133" s="80">
        <v>1777</v>
      </c>
      <c r="BD133" s="80">
        <v>1853</v>
      </c>
      <c r="BE133" s="80">
        <v>1863</v>
      </c>
      <c r="BF133" s="80">
        <v>2017</v>
      </c>
      <c r="BG133" s="80">
        <v>2108</v>
      </c>
      <c r="BH133" s="80">
        <v>2153</v>
      </c>
      <c r="BI133" s="80">
        <v>2423</v>
      </c>
      <c r="BJ133" s="80">
        <v>2572</v>
      </c>
      <c r="BK133" s="80">
        <v>2484</v>
      </c>
      <c r="BL133" s="80">
        <v>2552</v>
      </c>
      <c r="BM133" s="80">
        <v>2549</v>
      </c>
      <c r="BN133" s="80">
        <v>2604</v>
      </c>
      <c r="BO133" s="80">
        <v>2545</v>
      </c>
      <c r="BP133" s="80">
        <v>2544</v>
      </c>
      <c r="BQ133" s="80">
        <v>2511</v>
      </c>
      <c r="BR133" s="80">
        <v>2278</v>
      </c>
      <c r="BS133" s="80">
        <v>2310</v>
      </c>
      <c r="BT133" s="80">
        <v>2260</v>
      </c>
      <c r="BU133" s="80">
        <v>1972</v>
      </c>
      <c r="BV133" s="80">
        <v>1995</v>
      </c>
      <c r="BW133" s="80">
        <v>2037</v>
      </c>
      <c r="BX133" s="80">
        <v>1755</v>
      </c>
      <c r="BY133" s="80">
        <v>1710</v>
      </c>
      <c r="BZ133" s="80">
        <v>1655</v>
      </c>
      <c r="CA133" s="80">
        <v>1750</v>
      </c>
      <c r="CB133" s="80">
        <v>1696</v>
      </c>
      <c r="CC133" s="80">
        <v>1696</v>
      </c>
      <c r="CD133" s="80">
        <v>1710</v>
      </c>
      <c r="CE133" s="80">
        <v>1757</v>
      </c>
      <c r="CF133" s="80">
        <v>1834</v>
      </c>
      <c r="CG133" s="80">
        <v>1866</v>
      </c>
      <c r="CH133" s="80">
        <v>2036</v>
      </c>
      <c r="CI133" s="80">
        <v>1492</v>
      </c>
      <c r="CJ133" s="80">
        <v>1439</v>
      </c>
      <c r="CK133" s="80">
        <v>1411</v>
      </c>
      <c r="CL133" s="80">
        <v>1305</v>
      </c>
      <c r="CM133" s="80">
        <v>1186</v>
      </c>
      <c r="CN133" s="80">
        <v>979</v>
      </c>
      <c r="CO133" s="80">
        <v>954</v>
      </c>
      <c r="CP133" s="80">
        <v>859</v>
      </c>
      <c r="CQ133" s="80">
        <v>736</v>
      </c>
      <c r="CR133" s="80">
        <v>641</v>
      </c>
      <c r="CS133" s="80">
        <v>546</v>
      </c>
      <c r="CT133" s="80">
        <v>490</v>
      </c>
      <c r="CU133" s="80">
        <v>361</v>
      </c>
      <c r="CV133" s="80">
        <v>280</v>
      </c>
      <c r="CW133" s="80">
        <v>305</v>
      </c>
      <c r="CX133" s="80">
        <v>239</v>
      </c>
      <c r="CY133" s="80">
        <v>765</v>
      </c>
      <c r="CZ133" s="81">
        <v>1603</v>
      </c>
      <c r="DA133" s="81">
        <v>1696</v>
      </c>
      <c r="DB133" s="81">
        <v>1824</v>
      </c>
      <c r="DC133" s="81">
        <v>1845</v>
      </c>
      <c r="DD133" s="81">
        <v>1777</v>
      </c>
      <c r="DE133" s="81">
        <v>1853</v>
      </c>
      <c r="DF133" s="81">
        <v>1854</v>
      </c>
      <c r="DG133" s="81">
        <v>1926</v>
      </c>
      <c r="DH133" s="81">
        <v>1979</v>
      </c>
      <c r="DI133" s="81">
        <v>1992</v>
      </c>
      <c r="DJ133" s="81">
        <v>1955</v>
      </c>
      <c r="DK133" s="81">
        <v>2019</v>
      </c>
      <c r="DL133" s="81">
        <v>1974</v>
      </c>
      <c r="DM133" s="81">
        <v>1887</v>
      </c>
      <c r="DN133" s="81">
        <v>1929</v>
      </c>
      <c r="DO133" s="81">
        <v>1858</v>
      </c>
      <c r="DP133" s="81">
        <v>1797</v>
      </c>
      <c r="DQ133" s="81">
        <v>1742</v>
      </c>
      <c r="DR133" s="81">
        <v>1647</v>
      </c>
      <c r="DS133" s="81">
        <v>1371</v>
      </c>
      <c r="DT133" s="81">
        <v>1356</v>
      </c>
      <c r="DU133" s="81">
        <v>1495</v>
      </c>
      <c r="DV133" s="81">
        <v>1585</v>
      </c>
      <c r="DW133" s="81">
        <v>1824</v>
      </c>
      <c r="DX133" s="81">
        <v>1929</v>
      </c>
      <c r="DY133" s="81">
        <v>1900</v>
      </c>
      <c r="DZ133" s="81">
        <v>1971</v>
      </c>
      <c r="EA133" s="81">
        <v>2029</v>
      </c>
      <c r="EB133" s="81">
        <v>2187</v>
      </c>
      <c r="EC133" s="81">
        <v>2161</v>
      </c>
      <c r="ED133" s="81">
        <v>2207</v>
      </c>
      <c r="EE133" s="81">
        <v>2254</v>
      </c>
      <c r="EF133" s="81">
        <v>2267</v>
      </c>
      <c r="EG133" s="81">
        <v>2219</v>
      </c>
      <c r="EH133" s="81">
        <v>2242</v>
      </c>
      <c r="EI133" s="81">
        <v>2194</v>
      </c>
      <c r="EJ133" s="81">
        <v>2275</v>
      </c>
      <c r="EK133" s="81">
        <v>2110</v>
      </c>
      <c r="EL133" s="81">
        <v>2102</v>
      </c>
      <c r="EM133" s="81">
        <v>2190</v>
      </c>
      <c r="EN133" s="81">
        <v>2118</v>
      </c>
      <c r="EO133" s="81">
        <v>2054</v>
      </c>
      <c r="EP133" s="81">
        <v>1865</v>
      </c>
      <c r="EQ133" s="81">
        <v>1798</v>
      </c>
      <c r="ER133" s="81">
        <v>1895</v>
      </c>
      <c r="ES133" s="81">
        <v>1979</v>
      </c>
      <c r="ET133" s="81">
        <v>2137</v>
      </c>
      <c r="EU133" s="81">
        <v>2204</v>
      </c>
      <c r="EV133" s="81">
        <v>2401</v>
      </c>
      <c r="EW133" s="81">
        <v>2573</v>
      </c>
      <c r="EX133" s="81">
        <v>2587</v>
      </c>
      <c r="EY133" s="81">
        <v>2649</v>
      </c>
      <c r="EZ133" s="81">
        <v>2540</v>
      </c>
      <c r="FA133" s="81">
        <v>2459</v>
      </c>
      <c r="FB133" s="81">
        <v>2511</v>
      </c>
      <c r="FC133" s="81">
        <v>2413</v>
      </c>
      <c r="FD133" s="81">
        <v>2480</v>
      </c>
      <c r="FE133" s="81">
        <v>2360</v>
      </c>
      <c r="FF133" s="81">
        <v>2353</v>
      </c>
      <c r="FG133" s="81">
        <v>2171</v>
      </c>
      <c r="FH133" s="81">
        <v>2116</v>
      </c>
      <c r="FI133" s="81">
        <v>2052</v>
      </c>
      <c r="FJ133" s="81">
        <v>1980</v>
      </c>
      <c r="FK133" s="81">
        <v>1906</v>
      </c>
      <c r="FL133" s="81">
        <v>1753</v>
      </c>
      <c r="FM133" s="81">
        <v>1721</v>
      </c>
      <c r="FN133" s="81">
        <v>1754</v>
      </c>
      <c r="FO133" s="81">
        <v>1772</v>
      </c>
      <c r="FP133" s="81">
        <v>1696</v>
      </c>
      <c r="FQ133" s="81">
        <v>1668</v>
      </c>
      <c r="FR133" s="81">
        <v>1833</v>
      </c>
      <c r="FS133" s="81">
        <v>1865</v>
      </c>
      <c r="FT133" s="81">
        <v>1997</v>
      </c>
      <c r="FU133" s="81">
        <v>2206</v>
      </c>
      <c r="FV133" s="81">
        <v>1578</v>
      </c>
      <c r="FW133" s="81">
        <v>1582</v>
      </c>
      <c r="FX133" s="81">
        <v>1469</v>
      </c>
      <c r="FY133" s="81">
        <v>1481</v>
      </c>
      <c r="FZ133" s="81">
        <v>1254</v>
      </c>
      <c r="GA133" s="81">
        <v>1036</v>
      </c>
      <c r="GB133" s="81">
        <v>1050</v>
      </c>
      <c r="GC133" s="81">
        <v>991</v>
      </c>
      <c r="GD133" s="81">
        <v>951</v>
      </c>
      <c r="GE133" s="81">
        <v>819</v>
      </c>
      <c r="GF133" s="81">
        <v>700</v>
      </c>
      <c r="GG133" s="81">
        <v>673</v>
      </c>
      <c r="GH133" s="81">
        <v>590</v>
      </c>
      <c r="GI133" s="81">
        <v>453</v>
      </c>
      <c r="GJ133" s="81">
        <v>449</v>
      </c>
      <c r="GK133" s="81">
        <v>371</v>
      </c>
      <c r="GL133" s="82">
        <v>1473</v>
      </c>
    </row>
    <row r="134" spans="1:194" s="1" customFormat="1" hidden="1" x14ac:dyDescent="0.2">
      <c r="A134" s="83" t="s">
        <v>220</v>
      </c>
      <c r="B134" s="262" t="s">
        <v>344</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0">
        <v>1524</v>
      </c>
      <c r="N134" s="80">
        <v>1732</v>
      </c>
      <c r="O134" s="80">
        <v>1825</v>
      </c>
      <c r="P134" s="80">
        <v>1867</v>
      </c>
      <c r="Q134" s="80">
        <v>1985</v>
      </c>
      <c r="R134" s="80">
        <v>1894</v>
      </c>
      <c r="S134" s="80">
        <v>2044</v>
      </c>
      <c r="T134" s="80">
        <v>1932</v>
      </c>
      <c r="U134" s="80">
        <v>2250</v>
      </c>
      <c r="V134" s="80">
        <v>2026</v>
      </c>
      <c r="W134" s="80">
        <v>1962</v>
      </c>
      <c r="X134" s="80">
        <v>1950</v>
      </c>
      <c r="Y134" s="80">
        <v>2000</v>
      </c>
      <c r="Z134" s="80">
        <v>2101</v>
      </c>
      <c r="AA134" s="80">
        <v>1974</v>
      </c>
      <c r="AB134" s="80">
        <v>1857</v>
      </c>
      <c r="AC134" s="80">
        <v>1898</v>
      </c>
      <c r="AD134" s="80">
        <v>1864</v>
      </c>
      <c r="AE134" s="80">
        <v>1767</v>
      </c>
      <c r="AF134" s="80">
        <v>1452</v>
      </c>
      <c r="AG134" s="80">
        <v>1481</v>
      </c>
      <c r="AH134" s="80">
        <v>1593</v>
      </c>
      <c r="AI134" s="80">
        <v>1680</v>
      </c>
      <c r="AJ134" s="80">
        <v>1776</v>
      </c>
      <c r="AK134" s="80">
        <v>1834</v>
      </c>
      <c r="AL134" s="80">
        <v>1815</v>
      </c>
      <c r="AM134" s="80">
        <v>1760</v>
      </c>
      <c r="AN134" s="80">
        <v>1812</v>
      </c>
      <c r="AO134" s="80">
        <v>1815</v>
      </c>
      <c r="AP134" s="80">
        <v>1934</v>
      </c>
      <c r="AQ134" s="80">
        <v>1854</v>
      </c>
      <c r="AR134" s="80">
        <v>1797</v>
      </c>
      <c r="AS134" s="80">
        <v>2006</v>
      </c>
      <c r="AT134" s="80">
        <v>1784</v>
      </c>
      <c r="AU134" s="80">
        <v>1818</v>
      </c>
      <c r="AV134" s="80">
        <v>1818</v>
      </c>
      <c r="AW134" s="80">
        <v>1714</v>
      </c>
      <c r="AX134" s="80">
        <v>1779</v>
      </c>
      <c r="AY134" s="80">
        <v>1880</v>
      </c>
      <c r="AZ134" s="80">
        <v>1851</v>
      </c>
      <c r="BA134" s="80">
        <v>1880</v>
      </c>
      <c r="BB134" s="80">
        <v>1726</v>
      </c>
      <c r="BC134" s="80">
        <v>1607</v>
      </c>
      <c r="BD134" s="80">
        <v>1585</v>
      </c>
      <c r="BE134" s="80">
        <v>1823</v>
      </c>
      <c r="BF134" s="80">
        <v>1864</v>
      </c>
      <c r="BG134" s="80">
        <v>1677</v>
      </c>
      <c r="BH134" s="80">
        <v>1926</v>
      </c>
      <c r="BI134" s="80">
        <v>2108</v>
      </c>
      <c r="BJ134" s="80">
        <v>2236</v>
      </c>
      <c r="BK134" s="80">
        <v>2189</v>
      </c>
      <c r="BL134" s="80">
        <v>2208</v>
      </c>
      <c r="BM134" s="80">
        <v>2197</v>
      </c>
      <c r="BN134" s="80">
        <v>2270</v>
      </c>
      <c r="BO134" s="80">
        <v>2214</v>
      </c>
      <c r="BP134" s="80">
        <v>2260</v>
      </c>
      <c r="BQ134" s="80">
        <v>2295</v>
      </c>
      <c r="BR134" s="80">
        <v>2275</v>
      </c>
      <c r="BS134" s="80">
        <v>2404</v>
      </c>
      <c r="BT134" s="80">
        <v>2311</v>
      </c>
      <c r="BU134" s="80">
        <v>2130</v>
      </c>
      <c r="BV134" s="80">
        <v>2071</v>
      </c>
      <c r="BW134" s="80">
        <v>2107</v>
      </c>
      <c r="BX134" s="80">
        <v>1967</v>
      </c>
      <c r="BY134" s="80">
        <v>1858</v>
      </c>
      <c r="BZ134" s="80">
        <v>1811</v>
      </c>
      <c r="CA134" s="80">
        <v>1872</v>
      </c>
      <c r="CB134" s="80">
        <v>1909</v>
      </c>
      <c r="CC134" s="80">
        <v>1753</v>
      </c>
      <c r="CD134" s="80">
        <v>1795</v>
      </c>
      <c r="CE134" s="80">
        <v>1924</v>
      </c>
      <c r="CF134" s="80">
        <v>1847</v>
      </c>
      <c r="CG134" s="80">
        <v>1949</v>
      </c>
      <c r="CH134" s="80">
        <v>2014</v>
      </c>
      <c r="CI134" s="80">
        <v>1499</v>
      </c>
      <c r="CJ134" s="80">
        <v>1415</v>
      </c>
      <c r="CK134" s="80">
        <v>1407</v>
      </c>
      <c r="CL134" s="80">
        <v>1256</v>
      </c>
      <c r="CM134" s="80">
        <v>1137</v>
      </c>
      <c r="CN134" s="80">
        <v>963</v>
      </c>
      <c r="CO134" s="80">
        <v>1031</v>
      </c>
      <c r="CP134" s="80">
        <v>892</v>
      </c>
      <c r="CQ134" s="80">
        <v>858</v>
      </c>
      <c r="CR134" s="80">
        <v>727</v>
      </c>
      <c r="CS134" s="80">
        <v>697</v>
      </c>
      <c r="CT134" s="80">
        <v>617</v>
      </c>
      <c r="CU134" s="80">
        <v>518</v>
      </c>
      <c r="CV134" s="80">
        <v>458</v>
      </c>
      <c r="CW134" s="80">
        <v>410</v>
      </c>
      <c r="CX134" s="80">
        <v>335</v>
      </c>
      <c r="CY134" s="80">
        <v>1128</v>
      </c>
      <c r="CZ134" s="81">
        <v>1538</v>
      </c>
      <c r="DA134" s="81">
        <v>1541</v>
      </c>
      <c r="DB134" s="81">
        <v>1630</v>
      </c>
      <c r="DC134" s="81">
        <v>1696</v>
      </c>
      <c r="DD134" s="81">
        <v>1811</v>
      </c>
      <c r="DE134" s="81">
        <v>1793</v>
      </c>
      <c r="DF134" s="81">
        <v>1875</v>
      </c>
      <c r="DG134" s="81">
        <v>1934</v>
      </c>
      <c r="DH134" s="81">
        <v>2007</v>
      </c>
      <c r="DI134" s="81">
        <v>1956</v>
      </c>
      <c r="DJ134" s="81">
        <v>1936</v>
      </c>
      <c r="DK134" s="81">
        <v>1949</v>
      </c>
      <c r="DL134" s="81">
        <v>1958</v>
      </c>
      <c r="DM134" s="81">
        <v>1872</v>
      </c>
      <c r="DN134" s="81">
        <v>1893</v>
      </c>
      <c r="DO134" s="81">
        <v>1831</v>
      </c>
      <c r="DP134" s="81">
        <v>1794</v>
      </c>
      <c r="DQ134" s="81">
        <v>1732</v>
      </c>
      <c r="DR134" s="81">
        <v>1715</v>
      </c>
      <c r="DS134" s="81">
        <v>1334</v>
      </c>
      <c r="DT134" s="81">
        <v>1336</v>
      </c>
      <c r="DU134" s="81">
        <v>1404</v>
      </c>
      <c r="DV134" s="81">
        <v>1515</v>
      </c>
      <c r="DW134" s="81">
        <v>1713</v>
      </c>
      <c r="DX134" s="81">
        <v>1626</v>
      </c>
      <c r="DY134" s="81">
        <v>1817</v>
      </c>
      <c r="DZ134" s="81">
        <v>1842</v>
      </c>
      <c r="EA134" s="81">
        <v>1721</v>
      </c>
      <c r="EB134" s="81">
        <v>1848</v>
      </c>
      <c r="EC134" s="81">
        <v>1961</v>
      </c>
      <c r="ED134" s="81">
        <v>1924</v>
      </c>
      <c r="EE134" s="81">
        <v>1971</v>
      </c>
      <c r="EF134" s="81">
        <v>2058</v>
      </c>
      <c r="EG134" s="81">
        <v>1979</v>
      </c>
      <c r="EH134" s="81">
        <v>2088</v>
      </c>
      <c r="EI134" s="81">
        <v>1944</v>
      </c>
      <c r="EJ134" s="81">
        <v>2078</v>
      </c>
      <c r="EK134" s="81">
        <v>1907</v>
      </c>
      <c r="EL134" s="81">
        <v>1926</v>
      </c>
      <c r="EM134" s="81">
        <v>1940</v>
      </c>
      <c r="EN134" s="81">
        <v>2022</v>
      </c>
      <c r="EO134" s="81">
        <v>1997</v>
      </c>
      <c r="EP134" s="81">
        <v>1882</v>
      </c>
      <c r="EQ134" s="81">
        <v>1841</v>
      </c>
      <c r="ER134" s="81">
        <v>1942</v>
      </c>
      <c r="ES134" s="81">
        <v>1995</v>
      </c>
      <c r="ET134" s="81">
        <v>1910</v>
      </c>
      <c r="EU134" s="81">
        <v>2169</v>
      </c>
      <c r="EV134" s="81">
        <v>2219</v>
      </c>
      <c r="EW134" s="81">
        <v>2383</v>
      </c>
      <c r="EX134" s="81">
        <v>2280</v>
      </c>
      <c r="EY134" s="81">
        <v>2373</v>
      </c>
      <c r="EZ134" s="81">
        <v>2409</v>
      </c>
      <c r="FA134" s="81">
        <v>2399</v>
      </c>
      <c r="FB134" s="81">
        <v>2394</v>
      </c>
      <c r="FC134" s="81">
        <v>2603</v>
      </c>
      <c r="FD134" s="81">
        <v>2587</v>
      </c>
      <c r="FE134" s="81">
        <v>2594</v>
      </c>
      <c r="FF134" s="81">
        <v>2384</v>
      </c>
      <c r="FG134" s="81">
        <v>2332</v>
      </c>
      <c r="FH134" s="81">
        <v>2362</v>
      </c>
      <c r="FI134" s="81">
        <v>2263</v>
      </c>
      <c r="FJ134" s="81">
        <v>2218</v>
      </c>
      <c r="FK134" s="81">
        <v>2194</v>
      </c>
      <c r="FL134" s="81">
        <v>2009</v>
      </c>
      <c r="FM134" s="81">
        <v>2023</v>
      </c>
      <c r="FN134" s="81">
        <v>2024</v>
      </c>
      <c r="FO134" s="81">
        <v>2022</v>
      </c>
      <c r="FP134" s="81">
        <v>1982</v>
      </c>
      <c r="FQ134" s="81">
        <v>2007</v>
      </c>
      <c r="FR134" s="81">
        <v>1839</v>
      </c>
      <c r="FS134" s="81">
        <v>2001</v>
      </c>
      <c r="FT134" s="81">
        <v>2050</v>
      </c>
      <c r="FU134" s="81">
        <v>2253</v>
      </c>
      <c r="FV134" s="81">
        <v>1698</v>
      </c>
      <c r="FW134" s="81">
        <v>1610</v>
      </c>
      <c r="FX134" s="81">
        <v>1592</v>
      </c>
      <c r="FY134" s="81">
        <v>1515</v>
      </c>
      <c r="FZ134" s="81">
        <v>1365</v>
      </c>
      <c r="GA134" s="81">
        <v>1300</v>
      </c>
      <c r="GB134" s="81">
        <v>1290</v>
      </c>
      <c r="GC134" s="81">
        <v>1256</v>
      </c>
      <c r="GD134" s="81">
        <v>1157</v>
      </c>
      <c r="GE134" s="81">
        <v>986</v>
      </c>
      <c r="GF134" s="81">
        <v>981</v>
      </c>
      <c r="GG134" s="81">
        <v>895</v>
      </c>
      <c r="GH134" s="81">
        <v>829</v>
      </c>
      <c r="GI134" s="81">
        <v>675</v>
      </c>
      <c r="GJ134" s="81">
        <v>696</v>
      </c>
      <c r="GK134" s="81">
        <v>624</v>
      </c>
      <c r="GL134" s="82">
        <v>2397</v>
      </c>
    </row>
    <row r="135" spans="1:194" s="119" customFormat="1" ht="15" hidden="1" x14ac:dyDescent="0.25">
      <c r="A135" s="115"/>
      <c r="B135" s="116"/>
      <c r="C135" s="115"/>
      <c r="D135" s="118">
        <f t="shared" ref="D135:L135" si="34">SUM(D29:D134)</f>
        <v>21779298</v>
      </c>
      <c r="E135" s="118">
        <f t="shared" si="34"/>
        <v>22677552</v>
      </c>
      <c r="F135" s="118">
        <f t="shared" si="34"/>
        <v>56550138</v>
      </c>
      <c r="G135" s="118">
        <f t="shared" si="34"/>
        <v>27982818</v>
      </c>
      <c r="H135" s="118">
        <f t="shared" si="34"/>
        <v>28567320</v>
      </c>
      <c r="I135" s="118">
        <f t="shared" si="34"/>
        <v>21779298</v>
      </c>
      <c r="J135" s="118">
        <f t="shared" si="34"/>
        <v>22677552</v>
      </c>
      <c r="K135" s="118">
        <f t="shared" si="34"/>
        <v>6203520</v>
      </c>
      <c r="L135" s="118">
        <f t="shared" si="34"/>
        <v>5889768</v>
      </c>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7"/>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7"/>
    </row>
    <row r="136" spans="1:194" s="1" customFormat="1" hidden="1" x14ac:dyDescent="0.2">
      <c r="A136" s="54" t="s">
        <v>200</v>
      </c>
      <c r="B136" s="100" t="s">
        <v>345</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84">
        <v>3486</v>
      </c>
    </row>
    <row r="137" spans="1:194" s="1" customFormat="1" hidden="1" x14ac:dyDescent="0.2">
      <c r="A137" s="54" t="s">
        <v>200</v>
      </c>
      <c r="B137" s="101" t="s">
        <v>346</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84">
        <v>5308</v>
      </c>
    </row>
    <row r="138" spans="1:194" s="1" customFormat="1" hidden="1" x14ac:dyDescent="0.2">
      <c r="A138" s="54" t="s">
        <v>200</v>
      </c>
      <c r="B138" s="101" t="s">
        <v>347</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84">
        <v>2858</v>
      </c>
    </row>
    <row r="139" spans="1:194" s="1" customFormat="1" hidden="1" x14ac:dyDescent="0.2">
      <c r="A139" s="54" t="s">
        <v>200</v>
      </c>
      <c r="B139" s="101" t="s">
        <v>348</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84">
        <v>2276</v>
      </c>
    </row>
    <row r="140" spans="1:194" s="1" customFormat="1" hidden="1" x14ac:dyDescent="0.2">
      <c r="A140" s="54" t="s">
        <v>200</v>
      </c>
      <c r="B140" s="101" t="s">
        <v>349</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84">
        <v>3133</v>
      </c>
    </row>
    <row r="141" spans="1:194" s="1" customFormat="1" hidden="1" x14ac:dyDescent="0.2">
      <c r="A141" s="54" t="s">
        <v>200</v>
      </c>
      <c r="B141" s="101" t="s">
        <v>350</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84">
        <v>1228</v>
      </c>
    </row>
    <row r="142" spans="1:194" s="1" customFormat="1" hidden="1" x14ac:dyDescent="0.2">
      <c r="A142" s="55" t="s">
        <v>200</v>
      </c>
      <c r="B142" s="99" t="s">
        <v>351</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19" customFormat="1" ht="15" hidden="1" x14ac:dyDescent="0.25">
      <c r="A143" s="120"/>
      <c r="B143" s="121"/>
      <c r="C143" s="120"/>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2">
      <c r="A144" s="59" t="s">
        <v>203</v>
      </c>
      <c r="B144" s="100" t="s">
        <v>352</v>
      </c>
      <c r="C144" s="69" t="str">
        <f>CONCATENATE(A144," - ",B144)</f>
        <v>NI – Health and Social Care Trusts - Belfast Health and Social Care Trust</v>
      </c>
      <c r="D144" s="767">
        <f t="shared" ref="D144:E148" si="45">I144</f>
        <v>135219</v>
      </c>
      <c r="E144" s="767">
        <f t="shared" si="45"/>
        <v>146505</v>
      </c>
      <c r="F144" s="768">
        <f>G144+H144</f>
        <v>359230</v>
      </c>
      <c r="G144" s="768">
        <f>SUM(M144:CY144)</f>
        <v>175027</v>
      </c>
      <c r="H144" s="769">
        <f>SUM(CZ144:GL144)</f>
        <v>184203</v>
      </c>
      <c r="I144" s="769">
        <f>SUM(AE144:CY144)</f>
        <v>135219</v>
      </c>
      <c r="J144" s="769">
        <f>SUM(DR144:GL144)</f>
        <v>146505</v>
      </c>
      <c r="K144" s="770">
        <f>SUM(M144:AD144)</f>
        <v>39808</v>
      </c>
      <c r="L144" s="767">
        <f>SUM(CZ144:DQ144)</f>
        <v>37698</v>
      </c>
      <c r="M144" s="770">
        <v>2188</v>
      </c>
      <c r="N144" s="770">
        <v>2204</v>
      </c>
      <c r="O144" s="770">
        <v>2116</v>
      </c>
      <c r="P144" s="770">
        <v>2337</v>
      </c>
      <c r="Q144" s="770">
        <v>2365</v>
      </c>
      <c r="R144" s="770">
        <v>2267</v>
      </c>
      <c r="S144" s="770">
        <v>2292</v>
      </c>
      <c r="T144" s="770">
        <v>2232</v>
      </c>
      <c r="U144" s="770">
        <v>2440</v>
      </c>
      <c r="V144" s="770">
        <v>2370</v>
      </c>
      <c r="W144" s="770">
        <v>2222</v>
      </c>
      <c r="X144" s="770">
        <v>2322</v>
      </c>
      <c r="Y144" s="770">
        <v>2265</v>
      </c>
      <c r="Z144" s="770">
        <v>2135</v>
      </c>
      <c r="AA144" s="770">
        <v>2055</v>
      </c>
      <c r="AB144" s="770">
        <v>2008</v>
      </c>
      <c r="AC144" s="770">
        <v>2031</v>
      </c>
      <c r="AD144" s="770">
        <v>1959</v>
      </c>
      <c r="AE144" s="770">
        <v>1985</v>
      </c>
      <c r="AF144" s="770">
        <v>2475</v>
      </c>
      <c r="AG144" s="770">
        <v>2910</v>
      </c>
      <c r="AH144" s="770">
        <v>3177</v>
      </c>
      <c r="AI144" s="770">
        <v>3010</v>
      </c>
      <c r="AJ144" s="770">
        <v>2832</v>
      </c>
      <c r="AK144" s="770">
        <v>2591</v>
      </c>
      <c r="AL144" s="770">
        <v>2463</v>
      </c>
      <c r="AM144" s="770">
        <v>2555</v>
      </c>
      <c r="AN144" s="770">
        <v>2521</v>
      </c>
      <c r="AO144" s="770">
        <v>2916</v>
      </c>
      <c r="AP144" s="770">
        <v>2858</v>
      </c>
      <c r="AQ144" s="770">
        <v>2683</v>
      </c>
      <c r="AR144" s="770">
        <v>2646</v>
      </c>
      <c r="AS144" s="770">
        <v>2741</v>
      </c>
      <c r="AT144" s="770">
        <v>2785</v>
      </c>
      <c r="AU144" s="770">
        <v>2793</v>
      </c>
      <c r="AV144" s="770">
        <v>2667</v>
      </c>
      <c r="AW144" s="770">
        <v>2498</v>
      </c>
      <c r="AX144" s="770">
        <v>2474</v>
      </c>
      <c r="AY144" s="770">
        <v>2374</v>
      </c>
      <c r="AZ144" s="770">
        <v>2374</v>
      </c>
      <c r="BA144" s="770">
        <v>2327</v>
      </c>
      <c r="BB144" s="770">
        <v>2224</v>
      </c>
      <c r="BC144" s="770">
        <v>2023</v>
      </c>
      <c r="BD144" s="770">
        <v>2044</v>
      </c>
      <c r="BE144" s="770">
        <v>2090</v>
      </c>
      <c r="BF144" s="770">
        <v>2126</v>
      </c>
      <c r="BG144" s="770">
        <v>2064</v>
      </c>
      <c r="BH144" s="770">
        <v>2068</v>
      </c>
      <c r="BI144" s="770">
        <v>2125</v>
      </c>
      <c r="BJ144" s="770">
        <v>2113</v>
      </c>
      <c r="BK144" s="770">
        <v>2124</v>
      </c>
      <c r="BL144" s="770">
        <v>2090</v>
      </c>
      <c r="BM144" s="770">
        <v>2250</v>
      </c>
      <c r="BN144" s="770">
        <v>2262</v>
      </c>
      <c r="BO144" s="770">
        <v>2271</v>
      </c>
      <c r="BP144" s="770">
        <v>2263</v>
      </c>
      <c r="BQ144" s="770">
        <v>2271</v>
      </c>
      <c r="BR144" s="770">
        <v>2191</v>
      </c>
      <c r="BS144" s="770">
        <v>2134</v>
      </c>
      <c r="BT144" s="770">
        <v>2174</v>
      </c>
      <c r="BU144" s="770">
        <v>2044</v>
      </c>
      <c r="BV144" s="770">
        <v>1945</v>
      </c>
      <c r="BW144" s="770">
        <v>1931</v>
      </c>
      <c r="BX144" s="770">
        <v>1779</v>
      </c>
      <c r="BY144" s="770">
        <v>1701</v>
      </c>
      <c r="BZ144" s="770">
        <v>1598</v>
      </c>
      <c r="CA144" s="770">
        <v>1578</v>
      </c>
      <c r="CB144" s="770">
        <v>1495</v>
      </c>
      <c r="CC144" s="770">
        <v>1386</v>
      </c>
      <c r="CD144" s="770">
        <v>1352</v>
      </c>
      <c r="CE144" s="770">
        <v>1265</v>
      </c>
      <c r="CF144" s="770">
        <v>1271</v>
      </c>
      <c r="CG144" s="770">
        <v>1213</v>
      </c>
      <c r="CH144" s="770">
        <v>1158</v>
      </c>
      <c r="CI144" s="770">
        <v>1088</v>
      </c>
      <c r="CJ144" s="770">
        <v>1062</v>
      </c>
      <c r="CK144" s="770">
        <v>1077</v>
      </c>
      <c r="CL144" s="770">
        <v>1031</v>
      </c>
      <c r="CM144" s="770">
        <v>947</v>
      </c>
      <c r="CN144" s="770">
        <v>777</v>
      </c>
      <c r="CO144" s="770">
        <v>722</v>
      </c>
      <c r="CP144" s="770">
        <v>736</v>
      </c>
      <c r="CQ144" s="770">
        <v>661</v>
      </c>
      <c r="CR144" s="770">
        <v>618</v>
      </c>
      <c r="CS144" s="770">
        <v>516</v>
      </c>
      <c r="CT144" s="770">
        <v>470</v>
      </c>
      <c r="CU144" s="770">
        <v>440</v>
      </c>
      <c r="CV144" s="770">
        <v>382</v>
      </c>
      <c r="CW144" s="770">
        <v>306</v>
      </c>
      <c r="CX144" s="770">
        <v>278</v>
      </c>
      <c r="CY144" s="767">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2">
      <c r="A145" s="59" t="s">
        <v>203</v>
      </c>
      <c r="B145" s="101" t="s">
        <v>353</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2">
      <c r="A146" s="59" t="s">
        <v>203</v>
      </c>
      <c r="B146" s="101" t="s">
        <v>354</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2">
      <c r="A147" s="59" t="s">
        <v>203</v>
      </c>
      <c r="B147" s="101" t="s">
        <v>355</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2">
      <c r="A148" s="60" t="s">
        <v>203</v>
      </c>
      <c r="B148" s="99" t="s">
        <v>356</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19" customFormat="1" ht="15" hidden="1" x14ac:dyDescent="0.25">
      <c r="A149" s="120"/>
      <c r="B149" s="121"/>
      <c r="C149" s="120"/>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2">
      <c r="A150" s="70" t="s">
        <v>198</v>
      </c>
      <c r="B150" s="102" t="s">
        <v>357</v>
      </c>
      <c r="C150" s="69" t="str">
        <f>CONCATENATE(A150," - ",B150)</f>
        <v>NHSE regions - East of England</v>
      </c>
      <c r="D150" s="767">
        <f t="shared" ref="D150:E156" si="47">I150</f>
        <v>2500273</v>
      </c>
      <c r="E150" s="767">
        <f t="shared" si="47"/>
        <v>2631851</v>
      </c>
      <c r="F150" s="768">
        <f t="shared" ref="F150:F156" si="48">G150+H150</f>
        <v>6563018</v>
      </c>
      <c r="G150" s="768">
        <f t="shared" ref="G150:G156" si="49">SUM(M150:CY150)</f>
        <v>3234684</v>
      </c>
      <c r="H150" s="769">
        <f t="shared" ref="H150:H156" si="50">SUM(CZ150:GL150)</f>
        <v>3328334</v>
      </c>
      <c r="I150" s="769">
        <f t="shared" ref="I150:I156" si="51">SUM(AE150:CY150)</f>
        <v>2500273</v>
      </c>
      <c r="J150" s="769">
        <f t="shared" ref="J150:J156" si="52">SUM(DR150:GL150)</f>
        <v>2631851</v>
      </c>
      <c r="K150" s="770">
        <f t="shared" ref="K150:K156" si="53">SUM(M150:AD150)</f>
        <v>734411</v>
      </c>
      <c r="L150" s="767">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2">
      <c r="A151" s="61" t="s">
        <v>198</v>
      </c>
      <c r="B151" s="102" t="s">
        <v>358</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2">
      <c r="A152" s="61" t="s">
        <v>198</v>
      </c>
      <c r="B152" s="102" t="s">
        <v>359</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2">
      <c r="A153" s="61" t="s">
        <v>198</v>
      </c>
      <c r="B153" s="102" t="s">
        <v>360</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2">
      <c r="A154" s="61" t="s">
        <v>198</v>
      </c>
      <c r="B154" s="102" t="s">
        <v>361</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2">
      <c r="A155" s="61" t="s">
        <v>198</v>
      </c>
      <c r="B155" s="102" t="s">
        <v>362</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2">
      <c r="A156" s="270" t="s">
        <v>198</v>
      </c>
      <c r="B156" s="102" t="s">
        <v>363</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19" customFormat="1" ht="15" hidden="1" x14ac:dyDescent="0.25">
      <c r="A157" s="122"/>
      <c r="B157" s="123"/>
      <c r="C157" s="115"/>
      <c r="D157" s="124">
        <f>SUM(D150:D156)</f>
        <v>21779298</v>
      </c>
      <c r="E157" s="124">
        <f>SUM(E150:E156)</f>
        <v>22677552</v>
      </c>
      <c r="F157" s="124">
        <f>SUM(F150:F156)</f>
        <v>56550138</v>
      </c>
      <c r="G157" s="124">
        <f t="shared" ref="G157:L157" si="56">SUM(G150:G156)</f>
        <v>27982818</v>
      </c>
      <c r="H157" s="124">
        <f t="shared" si="56"/>
        <v>28567320</v>
      </c>
      <c r="I157" s="124">
        <f t="shared" si="56"/>
        <v>21779298</v>
      </c>
      <c r="J157" s="124">
        <f t="shared" si="56"/>
        <v>22677552</v>
      </c>
      <c r="K157" s="124">
        <f t="shared" si="56"/>
        <v>6203520</v>
      </c>
      <c r="L157" s="124">
        <f t="shared" si="56"/>
        <v>5889768</v>
      </c>
      <c r="M157" s="124"/>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c r="BA157" s="766"/>
      <c r="BB157" s="766"/>
      <c r="BC157" s="766"/>
      <c r="BD157" s="766"/>
      <c r="BE157" s="766"/>
      <c r="BF157" s="766"/>
      <c r="BG157" s="766"/>
      <c r="BH157" s="766"/>
      <c r="BI157" s="766"/>
      <c r="BJ157" s="766"/>
      <c r="BK157" s="766"/>
      <c r="BL157" s="766"/>
      <c r="BM157" s="766"/>
      <c r="BN157" s="766"/>
      <c r="BO157" s="766"/>
      <c r="BP157" s="766"/>
      <c r="BQ157" s="766"/>
      <c r="BR157" s="766"/>
      <c r="BS157" s="766"/>
      <c r="BT157" s="766"/>
      <c r="BU157" s="766"/>
      <c r="BV157" s="766"/>
      <c r="BW157" s="766"/>
      <c r="BX157" s="766"/>
      <c r="BY157" s="766"/>
      <c r="BZ157" s="766"/>
      <c r="CA157" s="766"/>
      <c r="CB157" s="766"/>
      <c r="CC157" s="766"/>
      <c r="CD157" s="766"/>
      <c r="CE157" s="766"/>
      <c r="CF157" s="766"/>
      <c r="CG157" s="766"/>
      <c r="CH157" s="766"/>
      <c r="CI157" s="766"/>
      <c r="CJ157" s="766"/>
      <c r="CK157" s="766"/>
      <c r="CL157" s="766"/>
      <c r="CM157" s="766"/>
      <c r="CN157" s="766"/>
      <c r="CO157" s="766"/>
      <c r="CP157" s="766"/>
      <c r="CQ157" s="766"/>
      <c r="CR157" s="766"/>
      <c r="CS157" s="766"/>
      <c r="CT157" s="766"/>
      <c r="CU157" s="766"/>
      <c r="CV157" s="766"/>
      <c r="CW157" s="766"/>
      <c r="CX157" s="766"/>
      <c r="CY157" s="763"/>
      <c r="CZ157" s="124"/>
      <c r="DA157" s="766"/>
      <c r="DB157" s="766"/>
      <c r="DC157" s="766"/>
      <c r="DD157" s="766"/>
      <c r="DE157" s="766"/>
      <c r="DF157" s="766"/>
      <c r="DG157" s="766"/>
      <c r="DH157" s="766"/>
      <c r="DI157" s="766"/>
      <c r="DJ157" s="766"/>
      <c r="DK157" s="766"/>
      <c r="DL157" s="766"/>
      <c r="DM157" s="766"/>
      <c r="DN157" s="766"/>
      <c r="DO157" s="766"/>
      <c r="DP157" s="766"/>
      <c r="DQ157" s="766"/>
      <c r="DR157" s="766"/>
      <c r="DS157" s="766"/>
      <c r="DT157" s="766"/>
      <c r="DU157" s="766"/>
      <c r="DV157" s="766"/>
      <c r="DW157" s="766"/>
      <c r="DX157" s="766"/>
      <c r="DY157" s="766"/>
      <c r="DZ157" s="766"/>
      <c r="EA157" s="766"/>
      <c r="EB157" s="766"/>
      <c r="EC157" s="766"/>
      <c r="ED157" s="766"/>
      <c r="EE157" s="766"/>
      <c r="EF157" s="766"/>
      <c r="EG157" s="766"/>
      <c r="EH157" s="766"/>
      <c r="EI157" s="766"/>
      <c r="EJ157" s="766"/>
      <c r="EK157" s="766"/>
      <c r="EL157" s="766"/>
      <c r="EM157" s="766"/>
      <c r="EN157" s="766"/>
      <c r="EO157" s="766"/>
      <c r="EP157" s="766"/>
      <c r="EQ157" s="766"/>
      <c r="ER157" s="766"/>
      <c r="ES157" s="766"/>
      <c r="ET157" s="766"/>
      <c r="EU157" s="766"/>
      <c r="EV157" s="766"/>
      <c r="EW157" s="766"/>
      <c r="EX157" s="766"/>
      <c r="EY157" s="766"/>
      <c r="EZ157" s="766"/>
      <c r="FA157" s="766"/>
      <c r="FB157" s="766"/>
      <c r="FC157" s="766"/>
      <c r="FD157" s="766"/>
      <c r="FE157" s="766"/>
      <c r="FF157" s="766"/>
      <c r="FG157" s="766"/>
      <c r="FH157" s="766"/>
      <c r="FI157" s="766"/>
      <c r="FJ157" s="766"/>
      <c r="FK157" s="766"/>
      <c r="FL157" s="766"/>
      <c r="FM157" s="766"/>
      <c r="FN157" s="766"/>
      <c r="FO157" s="766"/>
      <c r="FP157" s="766"/>
      <c r="FQ157" s="766"/>
      <c r="FR157" s="766"/>
      <c r="FS157" s="766"/>
      <c r="FT157" s="766"/>
      <c r="FU157" s="766"/>
      <c r="FV157" s="766"/>
      <c r="FW157" s="766"/>
      <c r="FX157" s="766"/>
      <c r="FY157" s="766"/>
      <c r="FZ157" s="766"/>
      <c r="GA157" s="766"/>
      <c r="GB157" s="766"/>
      <c r="GC157" s="766"/>
      <c r="GD157" s="766"/>
      <c r="GE157" s="766"/>
      <c r="GF157" s="766"/>
      <c r="GG157" s="766"/>
      <c r="GH157" s="766"/>
      <c r="GI157" s="766"/>
      <c r="GJ157" s="766"/>
      <c r="GK157" s="766"/>
      <c r="GL157" s="763"/>
    </row>
    <row r="158" spans="1:194" s="1" customFormat="1" hidden="1" x14ac:dyDescent="0.2">
      <c r="A158" s="110" t="s">
        <v>193</v>
      </c>
      <c r="B158" s="103" t="s">
        <v>364</v>
      </c>
      <c r="C158" s="771" t="str">
        <f t="shared" si="55"/>
        <v>England ICS - Bath and North East Somerset, Swindon and Wiltshire</v>
      </c>
      <c r="D158" s="75">
        <f t="shared" ref="D158:E163" si="57">I158</f>
        <v>361510</v>
      </c>
      <c r="E158" s="75">
        <f t="shared" si="57"/>
        <v>373112</v>
      </c>
      <c r="F158" s="111">
        <f t="shared" ref="F158:F163" si="58">G158+H158</f>
        <v>929964</v>
      </c>
      <c r="G158" s="768">
        <f t="shared" ref="G158:G163" si="59">SUM(M158:CY158)</f>
        <v>461582</v>
      </c>
      <c r="H158" s="769">
        <f t="shared" ref="H158:H163" si="60">SUM(CZ158:GL158)</f>
        <v>468382</v>
      </c>
      <c r="I158" s="768">
        <f t="shared" ref="I158:I163" si="61">SUM(AE158:CY158)</f>
        <v>361510</v>
      </c>
      <c r="J158" s="106">
        <f t="shared" ref="J158:J163" si="62">SUM(DR158:GL158)</f>
        <v>373112</v>
      </c>
      <c r="K158" s="108">
        <f t="shared" ref="K158:K163" si="63">SUM(M158:AD158)</f>
        <v>100072</v>
      </c>
      <c r="L158" s="767">
        <f t="shared" ref="L158:L163" si="64">SUM(CZ158:DQ158)</f>
        <v>95270</v>
      </c>
      <c r="M158" s="108">
        <v>4591</v>
      </c>
      <c r="N158" s="770">
        <v>4836</v>
      </c>
      <c r="O158" s="770">
        <v>5201</v>
      </c>
      <c r="P158" s="770">
        <v>5213</v>
      </c>
      <c r="Q158" s="770">
        <v>5686</v>
      </c>
      <c r="R158" s="770">
        <v>5652</v>
      </c>
      <c r="S158" s="770">
        <v>5726</v>
      </c>
      <c r="T158" s="770">
        <v>5838</v>
      </c>
      <c r="U158" s="770">
        <v>6219</v>
      </c>
      <c r="V158" s="770">
        <v>6077</v>
      </c>
      <c r="W158" s="770">
        <v>5989</v>
      </c>
      <c r="X158" s="770">
        <v>5868</v>
      </c>
      <c r="Y158" s="770">
        <v>5855</v>
      </c>
      <c r="Z158" s="770">
        <v>5684</v>
      </c>
      <c r="AA158" s="770">
        <v>5723</v>
      </c>
      <c r="AB158" s="770">
        <v>5358</v>
      </c>
      <c r="AC158" s="770">
        <v>5269</v>
      </c>
      <c r="AD158" s="770">
        <v>5287</v>
      </c>
      <c r="AE158" s="770">
        <v>5357</v>
      </c>
      <c r="AF158" s="770">
        <v>5948</v>
      </c>
      <c r="AG158" s="770">
        <v>5623</v>
      </c>
      <c r="AH158" s="770">
        <v>5573</v>
      </c>
      <c r="AI158" s="770">
        <v>5880</v>
      </c>
      <c r="AJ158" s="770">
        <v>6056</v>
      </c>
      <c r="AK158" s="770">
        <v>5676</v>
      </c>
      <c r="AL158" s="770">
        <v>5373</v>
      </c>
      <c r="AM158" s="770">
        <v>5704</v>
      </c>
      <c r="AN158" s="770">
        <v>5542</v>
      </c>
      <c r="AO158" s="770">
        <v>5766</v>
      </c>
      <c r="AP158" s="770">
        <v>5867</v>
      </c>
      <c r="AQ158" s="770">
        <v>5655</v>
      </c>
      <c r="AR158" s="770">
        <v>5999</v>
      </c>
      <c r="AS158" s="770">
        <v>5793</v>
      </c>
      <c r="AT158" s="770">
        <v>5474</v>
      </c>
      <c r="AU158" s="770">
        <v>5638</v>
      </c>
      <c r="AV158" s="770">
        <v>5724</v>
      </c>
      <c r="AW158" s="770">
        <v>5483</v>
      </c>
      <c r="AX158" s="770">
        <v>5754</v>
      </c>
      <c r="AY158" s="770">
        <v>5484</v>
      </c>
      <c r="AZ158" s="770">
        <v>5495</v>
      </c>
      <c r="BA158" s="770">
        <v>5842</v>
      </c>
      <c r="BB158" s="770">
        <v>5780</v>
      </c>
      <c r="BC158" s="770">
        <v>5272</v>
      </c>
      <c r="BD158" s="770">
        <v>5133</v>
      </c>
      <c r="BE158" s="770">
        <v>5259</v>
      </c>
      <c r="BF158" s="770">
        <v>5599</v>
      </c>
      <c r="BG158" s="770">
        <v>5809</v>
      </c>
      <c r="BH158" s="770">
        <v>6515</v>
      </c>
      <c r="BI158" s="770">
        <v>6506</v>
      </c>
      <c r="BJ158" s="770">
        <v>6572</v>
      </c>
      <c r="BK158" s="770">
        <v>6545</v>
      </c>
      <c r="BL158" s="770">
        <v>6683</v>
      </c>
      <c r="BM158" s="770">
        <v>6655</v>
      </c>
      <c r="BN158" s="770">
        <v>6895</v>
      </c>
      <c r="BO158" s="770">
        <v>6636</v>
      </c>
      <c r="BP158" s="770">
        <v>6780</v>
      </c>
      <c r="BQ158" s="770">
        <v>6706</v>
      </c>
      <c r="BR158" s="770">
        <v>6556</v>
      </c>
      <c r="BS158" s="770">
        <v>6403</v>
      </c>
      <c r="BT158" s="770">
        <v>6114</v>
      </c>
      <c r="BU158" s="770">
        <v>5987</v>
      </c>
      <c r="BV158" s="770">
        <v>5710</v>
      </c>
      <c r="BW158" s="770">
        <v>5416</v>
      </c>
      <c r="BX158" s="770">
        <v>5260</v>
      </c>
      <c r="BY158" s="770">
        <v>4931</v>
      </c>
      <c r="BZ158" s="770">
        <v>4790</v>
      </c>
      <c r="CA158" s="770">
        <v>4922</v>
      </c>
      <c r="CB158" s="770">
        <v>4739</v>
      </c>
      <c r="CC158" s="770">
        <v>4612</v>
      </c>
      <c r="CD158" s="770">
        <v>4526</v>
      </c>
      <c r="CE158" s="770">
        <v>4561</v>
      </c>
      <c r="CF158" s="770">
        <v>4667</v>
      </c>
      <c r="CG158" s="770">
        <v>5014</v>
      </c>
      <c r="CH158" s="770">
        <v>5390</v>
      </c>
      <c r="CI158" s="770">
        <v>4109</v>
      </c>
      <c r="CJ158" s="770">
        <v>3957</v>
      </c>
      <c r="CK158" s="770">
        <v>3731</v>
      </c>
      <c r="CL158" s="770">
        <v>3389</v>
      </c>
      <c r="CM158" s="770">
        <v>3062</v>
      </c>
      <c r="CN158" s="770">
        <v>2609</v>
      </c>
      <c r="CO158" s="770">
        <v>2588</v>
      </c>
      <c r="CP158" s="770">
        <v>2490</v>
      </c>
      <c r="CQ158" s="770">
        <v>2283</v>
      </c>
      <c r="CR158" s="770">
        <v>2088</v>
      </c>
      <c r="CS158" s="770">
        <v>1933</v>
      </c>
      <c r="CT158" s="770">
        <v>1681</v>
      </c>
      <c r="CU158" s="770">
        <v>1465</v>
      </c>
      <c r="CV158" s="770">
        <v>1327</v>
      </c>
      <c r="CW158" s="770">
        <v>1089</v>
      </c>
      <c r="CX158" s="770">
        <v>1021</v>
      </c>
      <c r="CY158" s="767">
        <v>3039</v>
      </c>
      <c r="CZ158" s="108">
        <v>4479</v>
      </c>
      <c r="DA158" s="770">
        <v>4565</v>
      </c>
      <c r="DB158" s="770">
        <v>4875</v>
      </c>
      <c r="DC158" s="770">
        <v>5112</v>
      </c>
      <c r="DD158" s="770">
        <v>5280</v>
      </c>
      <c r="DE158" s="770">
        <v>5256</v>
      </c>
      <c r="DF158" s="770">
        <v>5481</v>
      </c>
      <c r="DG158" s="770">
        <v>5596</v>
      </c>
      <c r="DH158" s="770">
        <v>5671</v>
      </c>
      <c r="DI158" s="770">
        <v>5765</v>
      </c>
      <c r="DJ158" s="770">
        <v>5714</v>
      </c>
      <c r="DK158" s="770">
        <v>5608</v>
      </c>
      <c r="DL158" s="770">
        <v>5710</v>
      </c>
      <c r="DM158" s="770">
        <v>5571</v>
      </c>
      <c r="DN158" s="770">
        <v>5411</v>
      </c>
      <c r="DO158" s="770">
        <v>5064</v>
      </c>
      <c r="DP158" s="770">
        <v>5133</v>
      </c>
      <c r="DQ158" s="770">
        <v>4979</v>
      </c>
      <c r="DR158" s="770">
        <v>4987</v>
      </c>
      <c r="DS158" s="770">
        <v>5410</v>
      </c>
      <c r="DT158" s="770">
        <v>4936</v>
      </c>
      <c r="DU158" s="770">
        <v>5084</v>
      </c>
      <c r="DV158" s="770">
        <v>5222</v>
      </c>
      <c r="DW158" s="770">
        <v>5366</v>
      </c>
      <c r="DX158" s="770">
        <v>4896</v>
      </c>
      <c r="DY158" s="770">
        <v>5002</v>
      </c>
      <c r="DZ158" s="770">
        <v>5359</v>
      </c>
      <c r="EA158" s="770">
        <v>5257</v>
      </c>
      <c r="EB158" s="770">
        <v>5250</v>
      </c>
      <c r="EC158" s="770">
        <v>5322</v>
      </c>
      <c r="ED158" s="770">
        <v>5193</v>
      </c>
      <c r="EE158" s="770">
        <v>5534</v>
      </c>
      <c r="EF158" s="770">
        <v>5646</v>
      </c>
      <c r="EG158" s="770">
        <v>5796</v>
      </c>
      <c r="EH158" s="770">
        <v>5374</v>
      </c>
      <c r="EI158" s="770">
        <v>5596</v>
      </c>
      <c r="EJ158" s="770">
        <v>5764</v>
      </c>
      <c r="EK158" s="770">
        <v>5718</v>
      </c>
      <c r="EL158" s="770">
        <v>5786</v>
      </c>
      <c r="EM158" s="770">
        <v>5801</v>
      </c>
      <c r="EN158" s="770">
        <v>5970</v>
      </c>
      <c r="EO158" s="770">
        <v>5476</v>
      </c>
      <c r="EP158" s="770">
        <v>5266</v>
      </c>
      <c r="EQ158" s="770">
        <v>5316</v>
      </c>
      <c r="ER158" s="770">
        <v>5679</v>
      </c>
      <c r="ES158" s="770">
        <v>5711</v>
      </c>
      <c r="ET158" s="770">
        <v>6116</v>
      </c>
      <c r="EU158" s="770">
        <v>6459</v>
      </c>
      <c r="EV158" s="770">
        <v>6862</v>
      </c>
      <c r="EW158" s="770">
        <v>6725</v>
      </c>
      <c r="EX158" s="770">
        <v>6681</v>
      </c>
      <c r="EY158" s="770">
        <v>6736</v>
      </c>
      <c r="EZ158" s="770">
        <v>6601</v>
      </c>
      <c r="FA158" s="770">
        <v>6996</v>
      </c>
      <c r="FB158" s="770">
        <v>6935</v>
      </c>
      <c r="FC158" s="770">
        <v>6827</v>
      </c>
      <c r="FD158" s="770">
        <v>6852</v>
      </c>
      <c r="FE158" s="770">
        <v>6612</v>
      </c>
      <c r="FF158" s="770">
        <v>6490</v>
      </c>
      <c r="FG158" s="770">
        <v>6258</v>
      </c>
      <c r="FH158" s="770">
        <v>5928</v>
      </c>
      <c r="FI158" s="770">
        <v>5805</v>
      </c>
      <c r="FJ158" s="770">
        <v>5630</v>
      </c>
      <c r="FK158" s="770">
        <v>5388</v>
      </c>
      <c r="FL158" s="770">
        <v>5257</v>
      </c>
      <c r="FM158" s="770">
        <v>5110</v>
      </c>
      <c r="FN158" s="770">
        <v>5135</v>
      </c>
      <c r="FO158" s="770">
        <v>5165</v>
      </c>
      <c r="FP158" s="770">
        <v>4915</v>
      </c>
      <c r="FQ158" s="770">
        <v>4880</v>
      </c>
      <c r="FR158" s="770">
        <v>5009</v>
      </c>
      <c r="FS158" s="770">
        <v>5118</v>
      </c>
      <c r="FT158" s="770">
        <v>5491</v>
      </c>
      <c r="FU158" s="770">
        <v>5699</v>
      </c>
      <c r="FV158" s="770">
        <v>4422</v>
      </c>
      <c r="FW158" s="770">
        <v>4484</v>
      </c>
      <c r="FX158" s="770">
        <v>4374</v>
      </c>
      <c r="FY158" s="770">
        <v>3919</v>
      </c>
      <c r="FZ158" s="770">
        <v>3492</v>
      </c>
      <c r="GA158" s="770">
        <v>3074</v>
      </c>
      <c r="GB158" s="770">
        <v>3141</v>
      </c>
      <c r="GC158" s="770">
        <v>2980</v>
      </c>
      <c r="GD158" s="770">
        <v>2862</v>
      </c>
      <c r="GE158" s="770">
        <v>2639</v>
      </c>
      <c r="GF158" s="770">
        <v>2457</v>
      </c>
      <c r="GG158" s="770">
        <v>2293</v>
      </c>
      <c r="GH158" s="770">
        <v>1990</v>
      </c>
      <c r="GI158" s="770">
        <v>1869</v>
      </c>
      <c r="GJ158" s="770">
        <v>1684</v>
      </c>
      <c r="GK158" s="770">
        <v>1609</v>
      </c>
      <c r="GL158" s="767">
        <v>6426</v>
      </c>
    </row>
    <row r="159" spans="1:194" s="1" customFormat="1" hidden="1" x14ac:dyDescent="0.2">
      <c r="A159" s="112" t="s">
        <v>193</v>
      </c>
      <c r="B159" s="104" t="s">
        <v>365</v>
      </c>
      <c r="C159" s="265" t="str">
        <f t="shared" si="55"/>
        <v>England ICS - Bedfordshire, Luton and Milton Keynes</v>
      </c>
      <c r="D159" s="76">
        <f t="shared" si="57"/>
        <v>355949</v>
      </c>
      <c r="E159" s="76">
        <f t="shared" si="57"/>
        <v>367983</v>
      </c>
      <c r="F159" s="105">
        <f t="shared" si="58"/>
        <v>959098</v>
      </c>
      <c r="G159" s="52">
        <f t="shared" si="59"/>
        <v>476424</v>
      </c>
      <c r="H159" s="53">
        <f t="shared" si="60"/>
        <v>482674</v>
      </c>
      <c r="I159" s="52">
        <f t="shared" si="61"/>
        <v>355949</v>
      </c>
      <c r="J159" s="107">
        <f t="shared" si="62"/>
        <v>367983</v>
      </c>
      <c r="K159" s="109">
        <f t="shared" si="63"/>
        <v>120475</v>
      </c>
      <c r="L159" s="51">
        <f t="shared" si="64"/>
        <v>114691</v>
      </c>
      <c r="M159" s="109">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09">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2">
      <c r="A160" s="112" t="s">
        <v>193</v>
      </c>
      <c r="B160" s="104" t="s">
        <v>366</v>
      </c>
      <c r="C160" s="265" t="str">
        <f t="shared" si="55"/>
        <v>England ICS - Birmingham and Solihull </v>
      </c>
      <c r="D160" s="76">
        <f t="shared" si="57"/>
        <v>431773</v>
      </c>
      <c r="E160" s="76">
        <f t="shared" si="57"/>
        <v>459616</v>
      </c>
      <c r="F160" s="105">
        <f t="shared" si="58"/>
        <v>1179731</v>
      </c>
      <c r="G160" s="52">
        <f t="shared" si="59"/>
        <v>580301</v>
      </c>
      <c r="H160" s="53">
        <f t="shared" si="60"/>
        <v>599430</v>
      </c>
      <c r="I160" s="52">
        <f t="shared" si="61"/>
        <v>431773</v>
      </c>
      <c r="J160" s="107">
        <f t="shared" si="62"/>
        <v>459616</v>
      </c>
      <c r="K160" s="109">
        <f t="shared" si="63"/>
        <v>148528</v>
      </c>
      <c r="L160" s="51">
        <f t="shared" si="64"/>
        <v>139814</v>
      </c>
      <c r="M160" s="109">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09">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2">
      <c r="A161" s="112" t="s">
        <v>193</v>
      </c>
      <c r="B161" s="104" t="s">
        <v>367</v>
      </c>
      <c r="C161" s="265" t="str">
        <f t="shared" si="55"/>
        <v>England ICS - Bristol, North Somerset and South Gloucestershire</v>
      </c>
      <c r="D161" s="76">
        <f t="shared" si="57"/>
        <v>379832</v>
      </c>
      <c r="E161" s="76">
        <f t="shared" si="57"/>
        <v>391270</v>
      </c>
      <c r="F161" s="105">
        <f t="shared" si="58"/>
        <v>969256</v>
      </c>
      <c r="G161" s="52">
        <f t="shared" si="59"/>
        <v>481679</v>
      </c>
      <c r="H161" s="53">
        <f t="shared" si="60"/>
        <v>487577</v>
      </c>
      <c r="I161" s="52">
        <f t="shared" si="61"/>
        <v>379832</v>
      </c>
      <c r="J161" s="107">
        <f t="shared" si="62"/>
        <v>391270</v>
      </c>
      <c r="K161" s="109">
        <f t="shared" si="63"/>
        <v>101847</v>
      </c>
      <c r="L161" s="51">
        <f t="shared" si="64"/>
        <v>96307</v>
      </c>
      <c r="M161" s="109">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09">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2">
      <c r="A162" s="112" t="s">
        <v>193</v>
      </c>
      <c r="B162" s="104" t="s">
        <v>368</v>
      </c>
      <c r="C162" s="265" t="str">
        <f t="shared" si="55"/>
        <v>England ICS - Buckinghamshire, Oxfordshire and Berkshire West:</v>
      </c>
      <c r="D162" s="76">
        <f t="shared" si="57"/>
        <v>657001</v>
      </c>
      <c r="E162" s="76">
        <f t="shared" si="57"/>
        <v>680525</v>
      </c>
      <c r="F162" s="105">
        <f t="shared" si="58"/>
        <v>1723447</v>
      </c>
      <c r="G162" s="52">
        <f t="shared" si="59"/>
        <v>854789</v>
      </c>
      <c r="H162" s="53">
        <f t="shared" si="60"/>
        <v>868658</v>
      </c>
      <c r="I162" s="52">
        <f t="shared" si="61"/>
        <v>657001</v>
      </c>
      <c r="J162" s="107">
        <f t="shared" si="62"/>
        <v>680525</v>
      </c>
      <c r="K162" s="109">
        <f t="shared" si="63"/>
        <v>197788</v>
      </c>
      <c r="L162" s="51">
        <f t="shared" si="64"/>
        <v>188133</v>
      </c>
      <c r="M162" s="109">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09">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2">
      <c r="A163" s="112" t="s">
        <v>193</v>
      </c>
      <c r="B163" s="104" t="s">
        <v>369</v>
      </c>
      <c r="C163" s="265" t="str">
        <f t="shared" si="55"/>
        <v>England ICS - Cambridgeshire and Peterborough</v>
      </c>
      <c r="D163" s="76">
        <f t="shared" si="57"/>
        <v>346936</v>
      </c>
      <c r="E163" s="76">
        <f t="shared" si="57"/>
        <v>351669</v>
      </c>
      <c r="F163" s="105">
        <f t="shared" si="58"/>
        <v>896725</v>
      </c>
      <c r="G163" s="52">
        <f t="shared" si="59"/>
        <v>449188</v>
      </c>
      <c r="H163" s="53">
        <f t="shared" si="60"/>
        <v>447537</v>
      </c>
      <c r="I163" s="52">
        <f t="shared" si="61"/>
        <v>346936</v>
      </c>
      <c r="J163" s="107">
        <f t="shared" si="62"/>
        <v>351669</v>
      </c>
      <c r="K163" s="109">
        <f t="shared" si="63"/>
        <v>102252</v>
      </c>
      <c r="L163" s="51">
        <f t="shared" si="64"/>
        <v>95868</v>
      </c>
      <c r="M163" s="109">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09">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2">
      <c r="A164" s="112" t="s">
        <v>193</v>
      </c>
      <c r="B164" s="104" t="s">
        <v>370</v>
      </c>
      <c r="C164" s="265" t="str">
        <f t="shared" si="55"/>
        <v>England ICS - Cheshire and Merseyside</v>
      </c>
      <c r="D164" s="76">
        <f t="shared" ref="D164:D188" si="65">I164</f>
        <v>964135</v>
      </c>
      <c r="E164" s="76">
        <f t="shared" ref="E164:E188" si="66">J164</f>
        <v>1029896</v>
      </c>
      <c r="F164" s="105">
        <f t="shared" ref="F164:F188" si="67">G164+H164</f>
        <v>2503902</v>
      </c>
      <c r="G164" s="52">
        <f t="shared" ref="G164:G188" si="68">SUM(M164:CY164)</f>
        <v>1226046</v>
      </c>
      <c r="H164" s="53">
        <f t="shared" ref="H164:H188" si="69">SUM(CZ164:GL164)</f>
        <v>1277856</v>
      </c>
      <c r="I164" s="52">
        <f t="shared" ref="I164:I188" si="70">SUM(AE164:CY164)</f>
        <v>964135</v>
      </c>
      <c r="J164" s="107">
        <f t="shared" ref="J164:J188" si="71">SUM(DR164:GL164)</f>
        <v>1029896</v>
      </c>
      <c r="K164" s="109">
        <f t="shared" ref="K164:K188" si="72">SUM(M164:AD164)</f>
        <v>261911</v>
      </c>
      <c r="L164" s="51">
        <f t="shared" ref="L164:L188" si="73">SUM(CZ164:DQ164)</f>
        <v>247960</v>
      </c>
      <c r="M164" s="109">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09">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2">
      <c r="A165" s="112" t="s">
        <v>193</v>
      </c>
      <c r="B165" s="104" t="s">
        <v>371</v>
      </c>
      <c r="C165" s="265" t="str">
        <f t="shared" si="55"/>
        <v xml:space="preserve">England ICS - Cornwall and the Isles of Scilly </v>
      </c>
      <c r="D165" s="76">
        <f t="shared" si="65"/>
        <v>223269</v>
      </c>
      <c r="E165" s="76">
        <f t="shared" si="66"/>
        <v>242963</v>
      </c>
      <c r="F165" s="105">
        <f t="shared" si="67"/>
        <v>575525</v>
      </c>
      <c r="G165" s="52">
        <f t="shared" si="68"/>
        <v>279480</v>
      </c>
      <c r="H165" s="53">
        <f t="shared" si="69"/>
        <v>296045</v>
      </c>
      <c r="I165" s="52">
        <f t="shared" si="70"/>
        <v>223269</v>
      </c>
      <c r="J165" s="107">
        <f t="shared" si="71"/>
        <v>242963</v>
      </c>
      <c r="K165" s="109">
        <f t="shared" si="72"/>
        <v>56211</v>
      </c>
      <c r="L165" s="51">
        <f t="shared" si="73"/>
        <v>53082</v>
      </c>
      <c r="M165" s="109">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09">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2">
      <c r="A166" s="112" t="s">
        <v>193</v>
      </c>
      <c r="B166" s="104" t="s">
        <v>372</v>
      </c>
      <c r="C166" s="265" t="str">
        <f t="shared" si="55"/>
        <v>England ICS - Coventry and Warwickshire</v>
      </c>
      <c r="D166" s="76">
        <f t="shared" si="65"/>
        <v>379115</v>
      </c>
      <c r="E166" s="76">
        <f t="shared" si="66"/>
        <v>384098</v>
      </c>
      <c r="F166" s="105">
        <f t="shared" si="67"/>
        <v>963173</v>
      </c>
      <c r="G166" s="52">
        <f t="shared" si="68"/>
        <v>481624</v>
      </c>
      <c r="H166" s="53">
        <f t="shared" si="69"/>
        <v>481549</v>
      </c>
      <c r="I166" s="52">
        <f t="shared" si="70"/>
        <v>379115</v>
      </c>
      <c r="J166" s="107">
        <f t="shared" si="71"/>
        <v>384098</v>
      </c>
      <c r="K166" s="109">
        <f t="shared" si="72"/>
        <v>102509</v>
      </c>
      <c r="L166" s="51">
        <f t="shared" si="73"/>
        <v>97451</v>
      </c>
      <c r="M166" s="109">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09">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2">
      <c r="A167" s="112" t="s">
        <v>193</v>
      </c>
      <c r="B167" s="104" t="s">
        <v>373</v>
      </c>
      <c r="C167" s="265" t="str">
        <f t="shared" si="55"/>
        <v>England ICS - Derbyshire</v>
      </c>
      <c r="D167" s="76">
        <f t="shared" si="65"/>
        <v>401434</v>
      </c>
      <c r="E167" s="76">
        <f t="shared" si="66"/>
        <v>421207</v>
      </c>
      <c r="F167" s="105">
        <f t="shared" si="67"/>
        <v>1030393</v>
      </c>
      <c r="G167" s="52">
        <f t="shared" si="68"/>
        <v>507654</v>
      </c>
      <c r="H167" s="53">
        <f t="shared" si="69"/>
        <v>522739</v>
      </c>
      <c r="I167" s="52">
        <f t="shared" si="70"/>
        <v>401434</v>
      </c>
      <c r="J167" s="107">
        <f t="shared" si="71"/>
        <v>421207</v>
      </c>
      <c r="K167" s="109">
        <f t="shared" si="72"/>
        <v>106220</v>
      </c>
      <c r="L167" s="51">
        <f t="shared" si="73"/>
        <v>101532</v>
      </c>
      <c r="M167" s="109">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09">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2">
      <c r="A168" s="112" t="s">
        <v>193</v>
      </c>
      <c r="B168" s="104" t="s">
        <v>374</v>
      </c>
      <c r="C168" s="265" t="str">
        <f t="shared" si="55"/>
        <v>England ICS - Devon</v>
      </c>
      <c r="D168" s="76">
        <f t="shared" si="65"/>
        <v>476232</v>
      </c>
      <c r="E168" s="76">
        <f t="shared" si="66"/>
        <v>506690</v>
      </c>
      <c r="F168" s="105">
        <f t="shared" si="67"/>
        <v>1209773</v>
      </c>
      <c r="G168" s="52">
        <f t="shared" si="68"/>
        <v>592841</v>
      </c>
      <c r="H168" s="53">
        <f t="shared" si="69"/>
        <v>616932</v>
      </c>
      <c r="I168" s="52">
        <f t="shared" si="70"/>
        <v>476232</v>
      </c>
      <c r="J168" s="107">
        <f t="shared" si="71"/>
        <v>506690</v>
      </c>
      <c r="K168" s="109">
        <f t="shared" si="72"/>
        <v>116609</v>
      </c>
      <c r="L168" s="51">
        <f t="shared" si="73"/>
        <v>110242</v>
      </c>
      <c r="M168" s="109">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09">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2">
      <c r="A169" s="112" t="s">
        <v>193</v>
      </c>
      <c r="B169" s="104" t="s">
        <v>375</v>
      </c>
      <c r="C169" s="265" t="str">
        <f t="shared" si="55"/>
        <v>England ICS - Dorset</v>
      </c>
      <c r="D169" s="76">
        <f t="shared" si="65"/>
        <v>309517</v>
      </c>
      <c r="E169" s="76">
        <f t="shared" si="66"/>
        <v>323213</v>
      </c>
      <c r="F169" s="105">
        <f t="shared" si="67"/>
        <v>776780</v>
      </c>
      <c r="G169" s="52">
        <f t="shared" si="68"/>
        <v>383364</v>
      </c>
      <c r="H169" s="53">
        <f t="shared" si="69"/>
        <v>393416</v>
      </c>
      <c r="I169" s="52">
        <f t="shared" si="70"/>
        <v>309517</v>
      </c>
      <c r="J169" s="107">
        <f t="shared" si="71"/>
        <v>323213</v>
      </c>
      <c r="K169" s="109">
        <f t="shared" si="72"/>
        <v>73847</v>
      </c>
      <c r="L169" s="51">
        <f t="shared" si="73"/>
        <v>70203</v>
      </c>
      <c r="M169" s="109">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09">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2">
      <c r="A170" s="112" t="s">
        <v>193</v>
      </c>
      <c r="B170" s="104" t="s">
        <v>376</v>
      </c>
      <c r="C170" s="265" t="str">
        <f t="shared" si="55"/>
        <v>England ICS - Frimley</v>
      </c>
      <c r="D170" s="76">
        <f t="shared" si="65"/>
        <v>280610</v>
      </c>
      <c r="E170" s="76">
        <f t="shared" si="66"/>
        <v>289515</v>
      </c>
      <c r="F170" s="105">
        <f t="shared" si="67"/>
        <v>746739</v>
      </c>
      <c r="G170" s="52">
        <f t="shared" si="68"/>
        <v>371630</v>
      </c>
      <c r="H170" s="53">
        <f t="shared" si="69"/>
        <v>375109</v>
      </c>
      <c r="I170" s="52">
        <f t="shared" si="70"/>
        <v>280610</v>
      </c>
      <c r="J170" s="107">
        <f t="shared" si="71"/>
        <v>289515</v>
      </c>
      <c r="K170" s="109">
        <f t="shared" si="72"/>
        <v>91020</v>
      </c>
      <c r="L170" s="51">
        <f t="shared" si="73"/>
        <v>85594</v>
      </c>
      <c r="M170" s="109">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09">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2">
      <c r="A171" s="112" t="s">
        <v>193</v>
      </c>
      <c r="B171" s="104" t="s">
        <v>377</v>
      </c>
      <c r="C171" s="265" t="str">
        <f t="shared" si="55"/>
        <v>England ICS - Gloucestershire</v>
      </c>
      <c r="D171" s="76">
        <f t="shared" si="65"/>
        <v>248138</v>
      </c>
      <c r="E171" s="76">
        <f t="shared" si="66"/>
        <v>262950</v>
      </c>
      <c r="F171" s="105">
        <f t="shared" si="67"/>
        <v>640650</v>
      </c>
      <c r="G171" s="52">
        <f t="shared" si="68"/>
        <v>314175</v>
      </c>
      <c r="H171" s="53">
        <f t="shared" si="69"/>
        <v>326475</v>
      </c>
      <c r="I171" s="52">
        <f t="shared" si="70"/>
        <v>248138</v>
      </c>
      <c r="J171" s="107">
        <f t="shared" si="71"/>
        <v>262950</v>
      </c>
      <c r="K171" s="109">
        <f t="shared" si="72"/>
        <v>66037</v>
      </c>
      <c r="L171" s="51">
        <f t="shared" si="73"/>
        <v>63525</v>
      </c>
      <c r="M171" s="109">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09">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2">
      <c r="A172" s="112" t="s">
        <v>193</v>
      </c>
      <c r="B172" s="104" t="s">
        <v>378</v>
      </c>
      <c r="C172" s="265" t="str">
        <f t="shared" si="55"/>
        <v xml:space="preserve">England ICS - Greater Manchester </v>
      </c>
      <c r="D172" s="76">
        <f t="shared" si="65"/>
        <v>1098593</v>
      </c>
      <c r="E172" s="76">
        <f t="shared" si="66"/>
        <v>1128011</v>
      </c>
      <c r="F172" s="105">
        <f t="shared" si="67"/>
        <v>2881890</v>
      </c>
      <c r="G172" s="52">
        <f t="shared" si="68"/>
        <v>1434728</v>
      </c>
      <c r="H172" s="53">
        <f t="shared" si="69"/>
        <v>1447162</v>
      </c>
      <c r="I172" s="52">
        <f t="shared" si="70"/>
        <v>1098593</v>
      </c>
      <c r="J172" s="107">
        <f t="shared" si="71"/>
        <v>1128011</v>
      </c>
      <c r="K172" s="109">
        <f t="shared" si="72"/>
        <v>336135</v>
      </c>
      <c r="L172" s="51">
        <f t="shared" si="73"/>
        <v>319151</v>
      </c>
      <c r="M172" s="109">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09">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2">
      <c r="A173" s="112" t="s">
        <v>193</v>
      </c>
      <c r="B173" s="104" t="s">
        <v>379</v>
      </c>
      <c r="C173" s="265" t="str">
        <f t="shared" si="55"/>
        <v>England ICS - Hampshire and the Isle of Wight</v>
      </c>
      <c r="D173" s="76">
        <f t="shared" si="65"/>
        <v>715426</v>
      </c>
      <c r="E173" s="76">
        <f t="shared" si="66"/>
        <v>747588</v>
      </c>
      <c r="F173" s="105">
        <f t="shared" si="67"/>
        <v>1831473</v>
      </c>
      <c r="G173" s="52">
        <f t="shared" si="68"/>
        <v>904764</v>
      </c>
      <c r="H173" s="53">
        <f t="shared" si="69"/>
        <v>926709</v>
      </c>
      <c r="I173" s="52">
        <f t="shared" si="70"/>
        <v>715426</v>
      </c>
      <c r="J173" s="107">
        <f t="shared" si="71"/>
        <v>747588</v>
      </c>
      <c r="K173" s="109">
        <f t="shared" si="72"/>
        <v>189338</v>
      </c>
      <c r="L173" s="51">
        <f t="shared" si="73"/>
        <v>179121</v>
      </c>
      <c r="M173" s="109">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09">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2">
      <c r="A174" s="112" t="s">
        <v>193</v>
      </c>
      <c r="B174" s="104" t="s">
        <v>380</v>
      </c>
      <c r="C174" s="265" t="str">
        <f t="shared" si="55"/>
        <v>England ICS - Hertfordshire and West Essex</v>
      </c>
      <c r="D174" s="76">
        <f t="shared" si="65"/>
        <v>552598</v>
      </c>
      <c r="E174" s="76">
        <f t="shared" si="66"/>
        <v>594357</v>
      </c>
      <c r="F174" s="105">
        <f t="shared" si="67"/>
        <v>1488061</v>
      </c>
      <c r="G174" s="52">
        <f t="shared" si="68"/>
        <v>727451</v>
      </c>
      <c r="H174" s="53">
        <f t="shared" si="69"/>
        <v>760610</v>
      </c>
      <c r="I174" s="52">
        <f t="shared" si="70"/>
        <v>552598</v>
      </c>
      <c r="J174" s="107">
        <f t="shared" si="71"/>
        <v>594357</v>
      </c>
      <c r="K174" s="109">
        <f t="shared" si="72"/>
        <v>174853</v>
      </c>
      <c r="L174" s="51">
        <f t="shared" si="73"/>
        <v>166253</v>
      </c>
      <c r="M174" s="109">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09">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2">
      <c r="A175" s="112" t="s">
        <v>193</v>
      </c>
      <c r="B175" s="104" t="s">
        <v>381</v>
      </c>
      <c r="C175" s="265" t="str">
        <f t="shared" si="55"/>
        <v>England ICS - Hertfordshire and Worcestershire</v>
      </c>
      <c r="D175" s="76">
        <f t="shared" si="65"/>
        <v>309932</v>
      </c>
      <c r="E175" s="76">
        <f t="shared" si="66"/>
        <v>326371</v>
      </c>
      <c r="F175" s="105">
        <f t="shared" si="67"/>
        <v>791685</v>
      </c>
      <c r="G175" s="52">
        <f t="shared" si="68"/>
        <v>389585</v>
      </c>
      <c r="H175" s="53">
        <f t="shared" si="69"/>
        <v>402100</v>
      </c>
      <c r="I175" s="52">
        <f t="shared" si="70"/>
        <v>309932</v>
      </c>
      <c r="J175" s="107">
        <f t="shared" si="71"/>
        <v>326371</v>
      </c>
      <c r="K175" s="109">
        <f t="shared" si="72"/>
        <v>79653</v>
      </c>
      <c r="L175" s="51">
        <f t="shared" si="73"/>
        <v>75729</v>
      </c>
      <c r="M175" s="109">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09">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2">
      <c r="A176" s="112" t="s">
        <v>193</v>
      </c>
      <c r="B176" s="104" t="s">
        <v>382</v>
      </c>
      <c r="C176" s="265" t="str">
        <f t="shared" si="55"/>
        <v>England ICS - Humber, Coast and Vale</v>
      </c>
      <c r="D176" s="76">
        <f t="shared" si="65"/>
        <v>671757</v>
      </c>
      <c r="E176" s="76">
        <f t="shared" si="66"/>
        <v>701707</v>
      </c>
      <c r="F176" s="105">
        <f t="shared" si="67"/>
        <v>1708723</v>
      </c>
      <c r="G176" s="52">
        <f t="shared" si="68"/>
        <v>843891</v>
      </c>
      <c r="H176" s="53">
        <f t="shared" si="69"/>
        <v>864832</v>
      </c>
      <c r="I176" s="52">
        <f t="shared" si="70"/>
        <v>671757</v>
      </c>
      <c r="J176" s="107">
        <f t="shared" si="71"/>
        <v>701707</v>
      </c>
      <c r="K176" s="109">
        <f t="shared" si="72"/>
        <v>172134</v>
      </c>
      <c r="L176" s="51">
        <f t="shared" si="73"/>
        <v>163125</v>
      </c>
      <c r="M176" s="109">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09">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2">
      <c r="A177" s="112" t="s">
        <v>193</v>
      </c>
      <c r="B177" s="104" t="s">
        <v>383</v>
      </c>
      <c r="C177" s="265" t="str">
        <f t="shared" si="55"/>
        <v>England ICS - Kent and Medway</v>
      </c>
      <c r="D177" s="76">
        <f t="shared" si="65"/>
        <v>706308</v>
      </c>
      <c r="E177" s="76">
        <f t="shared" si="66"/>
        <v>749879</v>
      </c>
      <c r="F177" s="105">
        <f t="shared" si="67"/>
        <v>1868199</v>
      </c>
      <c r="G177" s="52">
        <f t="shared" si="68"/>
        <v>918033</v>
      </c>
      <c r="H177" s="53">
        <f t="shared" si="69"/>
        <v>950166</v>
      </c>
      <c r="I177" s="52">
        <f t="shared" si="70"/>
        <v>706308</v>
      </c>
      <c r="J177" s="107">
        <f t="shared" si="71"/>
        <v>749879</v>
      </c>
      <c r="K177" s="109">
        <f t="shared" si="72"/>
        <v>211725</v>
      </c>
      <c r="L177" s="51">
        <f t="shared" si="73"/>
        <v>200287</v>
      </c>
      <c r="M177" s="109">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09">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2">
      <c r="A178" s="112" t="s">
        <v>193</v>
      </c>
      <c r="B178" s="104" t="s">
        <v>384</v>
      </c>
      <c r="C178" s="265" t="str">
        <f t="shared" si="55"/>
        <v>England ICS - Lancashire and South Cumbria</v>
      </c>
      <c r="D178" s="76">
        <f t="shared" si="65"/>
        <v>659847</v>
      </c>
      <c r="E178" s="76">
        <f t="shared" si="66"/>
        <v>687755</v>
      </c>
      <c r="F178" s="105">
        <f t="shared" si="67"/>
        <v>1701655</v>
      </c>
      <c r="G178" s="52">
        <f t="shared" si="68"/>
        <v>841367</v>
      </c>
      <c r="H178" s="53">
        <f t="shared" si="69"/>
        <v>860288</v>
      </c>
      <c r="I178" s="52">
        <f t="shared" si="70"/>
        <v>659847</v>
      </c>
      <c r="J178" s="107">
        <f t="shared" si="71"/>
        <v>687755</v>
      </c>
      <c r="K178" s="109">
        <f t="shared" si="72"/>
        <v>181520</v>
      </c>
      <c r="L178" s="51">
        <f t="shared" si="73"/>
        <v>172533</v>
      </c>
      <c r="M178" s="109">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09">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2">
      <c r="A179" s="112" t="s">
        <v>193</v>
      </c>
      <c r="B179" s="104" t="s">
        <v>385</v>
      </c>
      <c r="C179" s="265" t="str">
        <f t="shared" si="55"/>
        <v>England ICS - Leicester, Leicestershire and Rutland</v>
      </c>
      <c r="D179" s="76">
        <f t="shared" si="65"/>
        <v>430266</v>
      </c>
      <c r="E179" s="76">
        <f t="shared" si="66"/>
        <v>442069</v>
      </c>
      <c r="F179" s="105">
        <f t="shared" si="67"/>
        <v>1107597</v>
      </c>
      <c r="G179" s="52">
        <f t="shared" si="68"/>
        <v>551149</v>
      </c>
      <c r="H179" s="53">
        <f t="shared" si="69"/>
        <v>556448</v>
      </c>
      <c r="I179" s="52">
        <f t="shared" si="70"/>
        <v>430266</v>
      </c>
      <c r="J179" s="107">
        <f t="shared" si="71"/>
        <v>442069</v>
      </c>
      <c r="K179" s="109">
        <f t="shared" si="72"/>
        <v>120883</v>
      </c>
      <c r="L179" s="51">
        <f t="shared" si="73"/>
        <v>114379</v>
      </c>
      <c r="M179" s="109">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09">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2">
      <c r="A180" s="112" t="s">
        <v>193</v>
      </c>
      <c r="B180" s="104" t="s">
        <v>386</v>
      </c>
      <c r="C180" s="265" t="str">
        <f t="shared" si="55"/>
        <v>England ICS - Lincolnshire</v>
      </c>
      <c r="D180" s="76">
        <f t="shared" si="65"/>
        <v>300527</v>
      </c>
      <c r="E180" s="76">
        <f t="shared" si="66"/>
        <v>318474</v>
      </c>
      <c r="F180" s="105">
        <f t="shared" si="67"/>
        <v>766333</v>
      </c>
      <c r="G180" s="52">
        <f t="shared" si="68"/>
        <v>375699</v>
      </c>
      <c r="H180" s="53">
        <f t="shared" si="69"/>
        <v>390634</v>
      </c>
      <c r="I180" s="52">
        <f t="shared" si="70"/>
        <v>300527</v>
      </c>
      <c r="J180" s="107">
        <f t="shared" si="71"/>
        <v>318474</v>
      </c>
      <c r="K180" s="109">
        <f t="shared" si="72"/>
        <v>75172</v>
      </c>
      <c r="L180" s="51">
        <f t="shared" si="73"/>
        <v>72160</v>
      </c>
      <c r="M180" s="109">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09">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2">
      <c r="A181" s="112" t="s">
        <v>193</v>
      </c>
      <c r="B181" s="104" t="s">
        <v>387</v>
      </c>
      <c r="C181" s="265" t="str">
        <f t="shared" si="55"/>
        <v xml:space="preserve">England ICS - Mid and South Essex </v>
      </c>
      <c r="D181" s="76">
        <f t="shared" si="65"/>
        <v>452188</v>
      </c>
      <c r="E181" s="76">
        <f t="shared" si="66"/>
        <v>483661</v>
      </c>
      <c r="F181" s="105">
        <f t="shared" si="67"/>
        <v>1199296</v>
      </c>
      <c r="G181" s="52">
        <f t="shared" si="68"/>
        <v>587395</v>
      </c>
      <c r="H181" s="53">
        <f t="shared" si="69"/>
        <v>611901</v>
      </c>
      <c r="I181" s="52">
        <f t="shared" si="70"/>
        <v>452188</v>
      </c>
      <c r="J181" s="107">
        <f t="shared" si="71"/>
        <v>483661</v>
      </c>
      <c r="K181" s="109">
        <f t="shared" si="72"/>
        <v>135207</v>
      </c>
      <c r="L181" s="51">
        <f t="shared" si="73"/>
        <v>128240</v>
      </c>
      <c r="M181" s="109">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09">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2">
      <c r="A182" s="112" t="s">
        <v>193</v>
      </c>
      <c r="B182" s="104" t="s">
        <v>388</v>
      </c>
      <c r="C182" s="265" t="str">
        <f t="shared" si="55"/>
        <v>England ICS - Norfolk and Waveney</v>
      </c>
      <c r="D182" s="76">
        <f t="shared" si="65"/>
        <v>406639</v>
      </c>
      <c r="E182" s="76">
        <f t="shared" si="66"/>
        <v>431328</v>
      </c>
      <c r="F182" s="105">
        <f t="shared" si="67"/>
        <v>1032661</v>
      </c>
      <c r="G182" s="52">
        <f t="shared" si="68"/>
        <v>506595</v>
      </c>
      <c r="H182" s="53">
        <f t="shared" si="69"/>
        <v>526066</v>
      </c>
      <c r="I182" s="52">
        <f t="shared" si="70"/>
        <v>406639</v>
      </c>
      <c r="J182" s="107">
        <f t="shared" si="71"/>
        <v>431328</v>
      </c>
      <c r="K182" s="109">
        <f t="shared" si="72"/>
        <v>99956</v>
      </c>
      <c r="L182" s="51">
        <f t="shared" si="73"/>
        <v>94738</v>
      </c>
      <c r="M182" s="109">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09">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2">
      <c r="A183" s="112" t="s">
        <v>193</v>
      </c>
      <c r="B183" s="104" t="s">
        <v>297</v>
      </c>
      <c r="C183" s="265" t="str">
        <f t="shared" si="55"/>
        <v xml:space="preserve">England ICS - North Central London </v>
      </c>
      <c r="D183" s="76">
        <f t="shared" si="65"/>
        <v>593891</v>
      </c>
      <c r="E183" s="76">
        <f t="shared" si="66"/>
        <v>596826</v>
      </c>
      <c r="F183" s="105">
        <f t="shared" si="67"/>
        <v>1526582</v>
      </c>
      <c r="G183" s="52">
        <f t="shared" si="68"/>
        <v>766256</v>
      </c>
      <c r="H183" s="53">
        <f t="shared" si="69"/>
        <v>760326</v>
      </c>
      <c r="I183" s="52">
        <f t="shared" si="70"/>
        <v>593891</v>
      </c>
      <c r="J183" s="107">
        <f t="shared" si="71"/>
        <v>596826</v>
      </c>
      <c r="K183" s="109">
        <f t="shared" si="72"/>
        <v>172365</v>
      </c>
      <c r="L183" s="51">
        <f t="shared" si="73"/>
        <v>163500</v>
      </c>
      <c r="M183" s="109">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09">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2">
      <c r="A184" s="112" t="s">
        <v>193</v>
      </c>
      <c r="B184" s="104" t="s">
        <v>389</v>
      </c>
      <c r="C184" s="265" t="str">
        <f t="shared" si="55"/>
        <v>England ICS - North East and North Cumbria</v>
      </c>
      <c r="D184" s="76">
        <f t="shared" si="65"/>
        <v>1170091</v>
      </c>
      <c r="E184" s="76">
        <f t="shared" si="66"/>
        <v>1236662</v>
      </c>
      <c r="F184" s="105">
        <f t="shared" si="67"/>
        <v>3000432</v>
      </c>
      <c r="G184" s="52">
        <f t="shared" si="68"/>
        <v>1475310</v>
      </c>
      <c r="H184" s="53">
        <f t="shared" si="69"/>
        <v>1525122</v>
      </c>
      <c r="I184" s="52">
        <f t="shared" si="70"/>
        <v>1170091</v>
      </c>
      <c r="J184" s="107">
        <f t="shared" si="71"/>
        <v>1236662</v>
      </c>
      <c r="K184" s="109">
        <f t="shared" si="72"/>
        <v>305219</v>
      </c>
      <c r="L184" s="51">
        <f t="shared" si="73"/>
        <v>288460</v>
      </c>
      <c r="M184" s="109">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09">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2">
      <c r="A185" s="112" t="s">
        <v>193</v>
      </c>
      <c r="B185" s="104" t="s">
        <v>301</v>
      </c>
      <c r="C185" s="265" t="str">
        <f t="shared" si="55"/>
        <v xml:space="preserve">England ICS - North East London </v>
      </c>
      <c r="D185" s="76">
        <f t="shared" si="65"/>
        <v>784566</v>
      </c>
      <c r="E185" s="76">
        <f t="shared" si="66"/>
        <v>758991</v>
      </c>
      <c r="F185" s="105">
        <f t="shared" si="67"/>
        <v>2036470</v>
      </c>
      <c r="G185" s="52">
        <f t="shared" si="68"/>
        <v>1037604</v>
      </c>
      <c r="H185" s="53">
        <f t="shared" si="69"/>
        <v>998866</v>
      </c>
      <c r="I185" s="52">
        <f t="shared" si="70"/>
        <v>784566</v>
      </c>
      <c r="J185" s="107">
        <f t="shared" si="71"/>
        <v>758991</v>
      </c>
      <c r="K185" s="109">
        <f t="shared" si="72"/>
        <v>253038</v>
      </c>
      <c r="L185" s="51">
        <f t="shared" si="73"/>
        <v>239875</v>
      </c>
      <c r="M185" s="109">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09">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2">
      <c r="A186" s="112" t="s">
        <v>193</v>
      </c>
      <c r="B186" s="104" t="s">
        <v>390</v>
      </c>
      <c r="C186" s="265" t="str">
        <f t="shared" si="55"/>
        <v>England ICS - North West London</v>
      </c>
      <c r="D186" s="76">
        <f t="shared" si="65"/>
        <v>828249</v>
      </c>
      <c r="E186" s="76">
        <f t="shared" si="66"/>
        <v>805826</v>
      </c>
      <c r="F186" s="105">
        <f t="shared" si="67"/>
        <v>2111469</v>
      </c>
      <c r="G186" s="52">
        <f t="shared" si="68"/>
        <v>1073359</v>
      </c>
      <c r="H186" s="53">
        <f t="shared" si="69"/>
        <v>1038110</v>
      </c>
      <c r="I186" s="52">
        <f t="shared" si="70"/>
        <v>828249</v>
      </c>
      <c r="J186" s="107">
        <f t="shared" si="71"/>
        <v>805826</v>
      </c>
      <c r="K186" s="109">
        <f t="shared" si="72"/>
        <v>245110</v>
      </c>
      <c r="L186" s="51">
        <f t="shared" si="73"/>
        <v>232284</v>
      </c>
      <c r="M186" s="109">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09">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2">
      <c r="A187" s="112" t="s">
        <v>193</v>
      </c>
      <c r="B187" s="104" t="s">
        <v>391</v>
      </c>
      <c r="C187" s="265" t="str">
        <f t="shared" si="55"/>
        <v>England ICS - Northamptonshire</v>
      </c>
      <c r="D187" s="76">
        <f>I187</f>
        <v>280031</v>
      </c>
      <c r="E187" s="76">
        <f>J187</f>
        <v>290793</v>
      </c>
      <c r="F187" s="105">
        <f>G187+H187</f>
        <v>740111</v>
      </c>
      <c r="G187" s="52">
        <f>SUM(M187:CY187)</f>
        <v>366197</v>
      </c>
      <c r="H187" s="53">
        <f>SUM(CZ187:GL187)</f>
        <v>373914</v>
      </c>
      <c r="I187" s="52">
        <f>SUM(AE187:CY187)</f>
        <v>280031</v>
      </c>
      <c r="J187" s="107">
        <f>SUM(DR187:GL187)</f>
        <v>290793</v>
      </c>
      <c r="K187" s="109">
        <f>SUM(M187:AD187)</f>
        <v>86166</v>
      </c>
      <c r="L187" s="51">
        <f>SUM(CZ187:DQ187)</f>
        <v>83121</v>
      </c>
      <c r="M187" s="109">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09">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2">
      <c r="A188" s="112" t="s">
        <v>193</v>
      </c>
      <c r="B188" s="104" t="s">
        <v>392</v>
      </c>
      <c r="C188" s="265" t="str">
        <f t="shared" si="55"/>
        <v>England ICS - Nottinghamshire</v>
      </c>
      <c r="D188" s="76">
        <f t="shared" si="65"/>
        <v>413641</v>
      </c>
      <c r="E188" s="76">
        <f t="shared" si="66"/>
        <v>424616</v>
      </c>
      <c r="F188" s="105">
        <f t="shared" si="67"/>
        <v>1052195</v>
      </c>
      <c r="G188" s="52">
        <f t="shared" si="68"/>
        <v>523505</v>
      </c>
      <c r="H188" s="53">
        <f t="shared" si="69"/>
        <v>528690</v>
      </c>
      <c r="I188" s="52">
        <f t="shared" si="70"/>
        <v>413641</v>
      </c>
      <c r="J188" s="107">
        <f t="shared" si="71"/>
        <v>424616</v>
      </c>
      <c r="K188" s="109">
        <f t="shared" si="72"/>
        <v>109864</v>
      </c>
      <c r="L188" s="51">
        <f t="shared" si="73"/>
        <v>104074</v>
      </c>
      <c r="M188" s="109">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09">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2">
      <c r="A189" s="112" t="s">
        <v>193</v>
      </c>
      <c r="B189" s="104" t="s">
        <v>393</v>
      </c>
      <c r="C189" s="265" t="str">
        <f t="shared" si="55"/>
        <v>England ICS - Shropshire and Telford and Wrekin</v>
      </c>
      <c r="D189" s="76">
        <f t="shared" ref="D189:E193" si="74">I189</f>
        <v>199279</v>
      </c>
      <c r="E189" s="76">
        <f t="shared" si="74"/>
        <v>205519</v>
      </c>
      <c r="F189" s="105">
        <f>G189+H189</f>
        <v>506737</v>
      </c>
      <c r="G189" s="52">
        <f>SUM(M189:CY189)</f>
        <v>251214</v>
      </c>
      <c r="H189" s="53">
        <f>SUM(CZ189:GL189)</f>
        <v>255523</v>
      </c>
      <c r="I189" s="52">
        <f>SUM(AE189:CY189)</f>
        <v>199279</v>
      </c>
      <c r="J189" s="107">
        <f>SUM(DR189:GL189)</f>
        <v>205519</v>
      </c>
      <c r="K189" s="109">
        <f>SUM(M189:AD189)</f>
        <v>51935</v>
      </c>
      <c r="L189" s="51">
        <f>SUM(CZ189:DQ189)</f>
        <v>50004</v>
      </c>
      <c r="M189" s="109">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09">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2">
      <c r="A190" s="112" t="s">
        <v>193</v>
      </c>
      <c r="B190" s="104" t="s">
        <v>394</v>
      </c>
      <c r="C190" s="265" t="str">
        <f t="shared" si="55"/>
        <v>England ICS - Somerset</v>
      </c>
      <c r="D190" s="76">
        <f t="shared" si="74"/>
        <v>218431</v>
      </c>
      <c r="E190" s="76">
        <f t="shared" si="74"/>
        <v>234127</v>
      </c>
      <c r="F190" s="105">
        <f>G190+H190</f>
        <v>563851</v>
      </c>
      <c r="G190" s="52">
        <f>SUM(M190:CY190)</f>
        <v>275288</v>
      </c>
      <c r="H190" s="53">
        <f>SUM(CZ190:GL190)</f>
        <v>288563</v>
      </c>
      <c r="I190" s="52">
        <f>SUM(AE190:CY190)</f>
        <v>218431</v>
      </c>
      <c r="J190" s="107">
        <f>SUM(DR190:GL190)</f>
        <v>234127</v>
      </c>
      <c r="K190" s="109">
        <f>SUM(M190:AD190)</f>
        <v>56857</v>
      </c>
      <c r="L190" s="51">
        <f>SUM(CZ190:DQ190)</f>
        <v>54436</v>
      </c>
      <c r="M190" s="109">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09">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2">
      <c r="A191" s="112" t="s">
        <v>193</v>
      </c>
      <c r="B191" s="104" t="s">
        <v>395</v>
      </c>
      <c r="C191" s="265" t="str">
        <f t="shared" si="55"/>
        <v>England ICS - South East London</v>
      </c>
      <c r="D191" s="76">
        <f t="shared" si="74"/>
        <v>697479</v>
      </c>
      <c r="E191" s="76">
        <f t="shared" si="74"/>
        <v>722545</v>
      </c>
      <c r="F191" s="105">
        <f>G191+H191</f>
        <v>1818226</v>
      </c>
      <c r="G191" s="52">
        <f>SUM(M191:CY191)</f>
        <v>901719</v>
      </c>
      <c r="H191" s="53">
        <f>SUM(CZ191:GL191)</f>
        <v>916507</v>
      </c>
      <c r="I191" s="52">
        <f>SUM(AE191:CY191)</f>
        <v>697479</v>
      </c>
      <c r="J191" s="107">
        <f>SUM(DR191:GL191)</f>
        <v>722545</v>
      </c>
      <c r="K191" s="109">
        <f>SUM(M191:AD191)</f>
        <v>204240</v>
      </c>
      <c r="L191" s="51">
        <f>SUM(CZ191:DQ191)</f>
        <v>193962</v>
      </c>
      <c r="M191" s="109">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09">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2">
      <c r="A192" s="112" t="s">
        <v>193</v>
      </c>
      <c r="B192" s="104" t="s">
        <v>396</v>
      </c>
      <c r="C192" s="265" t="str">
        <f t="shared" si="55"/>
        <v>England ICS - South West London</v>
      </c>
      <c r="D192" s="76">
        <f t="shared" si="74"/>
        <v>560076</v>
      </c>
      <c r="E192" s="76">
        <f t="shared" si="74"/>
        <v>606444</v>
      </c>
      <c r="F192" s="105">
        <f>G192+H192</f>
        <v>1509741</v>
      </c>
      <c r="G192" s="52">
        <f>SUM(M192:CY192)</f>
        <v>735440</v>
      </c>
      <c r="H192" s="53">
        <f>SUM(CZ192:GL192)</f>
        <v>774301</v>
      </c>
      <c r="I192" s="52">
        <f>SUM(AE192:CY192)</f>
        <v>560076</v>
      </c>
      <c r="J192" s="107">
        <f>SUM(DR192:GL192)</f>
        <v>606444</v>
      </c>
      <c r="K192" s="109">
        <f>SUM(M192:AD192)</f>
        <v>175364</v>
      </c>
      <c r="L192" s="51">
        <f>SUM(CZ192:DQ192)</f>
        <v>167857</v>
      </c>
      <c r="M192" s="109">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09">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2">
      <c r="A193" s="112" t="s">
        <v>193</v>
      </c>
      <c r="B193" s="104" t="s">
        <v>397</v>
      </c>
      <c r="C193" s="265" t="str">
        <f t="shared" si="55"/>
        <v>England ICS - South Yorkshire and Bassetlaw</v>
      </c>
      <c r="D193" s="76">
        <f t="shared" si="74"/>
        <v>597392</v>
      </c>
      <c r="E193" s="76">
        <f t="shared" si="74"/>
        <v>617280</v>
      </c>
      <c r="F193" s="105">
        <f>G193+H193</f>
        <v>1533334</v>
      </c>
      <c r="G193" s="52">
        <f>SUM(M193:CY193)</f>
        <v>760543</v>
      </c>
      <c r="H193" s="53">
        <f>SUM(CZ193:GL193)</f>
        <v>772791</v>
      </c>
      <c r="I193" s="52">
        <f>SUM(AE193:CY193)</f>
        <v>597392</v>
      </c>
      <c r="J193" s="107">
        <f>SUM(DR193:GL193)</f>
        <v>617280</v>
      </c>
      <c r="K193" s="109">
        <f>SUM(M193:AD193)</f>
        <v>163151</v>
      </c>
      <c r="L193" s="51">
        <f>SUM(CZ193:DQ193)</f>
        <v>155511</v>
      </c>
      <c r="M193" s="109">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09">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2">
      <c r="A194" s="112" t="s">
        <v>193</v>
      </c>
      <c r="B194" s="104" t="s">
        <v>398</v>
      </c>
      <c r="C194" s="265" t="str">
        <f t="shared" si="55"/>
        <v>England ICS - Staffodshire and Stoke-on-Trent</v>
      </c>
      <c r="D194" s="76">
        <f t="shared" ref="D194:D199" si="75">I194</f>
        <v>450150</v>
      </c>
      <c r="E194" s="76">
        <f t="shared" ref="E194:E199" si="76">J194</f>
        <v>460064</v>
      </c>
      <c r="F194" s="105">
        <f t="shared" ref="F194:F199" si="77">G194+H194</f>
        <v>1139794</v>
      </c>
      <c r="G194" s="52">
        <f t="shared" ref="G194:G199" si="78">SUM(M194:CY194)</f>
        <v>568006</v>
      </c>
      <c r="H194" s="53">
        <f t="shared" ref="H194:H199" si="79">SUM(CZ194:GL194)</f>
        <v>571788</v>
      </c>
      <c r="I194" s="52">
        <f t="shared" ref="I194:I199" si="80">SUM(AE194:CY194)</f>
        <v>450150</v>
      </c>
      <c r="J194" s="107">
        <f t="shared" ref="J194:J199" si="81">SUM(DR194:GL194)</f>
        <v>460064</v>
      </c>
      <c r="K194" s="109">
        <f t="shared" ref="K194:K199" si="82">SUM(M194:AD194)</f>
        <v>117856</v>
      </c>
      <c r="L194" s="51">
        <f t="shared" ref="L194:L199" si="83">SUM(CZ194:DQ194)</f>
        <v>111724</v>
      </c>
      <c r="M194" s="109">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09">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2">
      <c r="A195" s="112" t="s">
        <v>193</v>
      </c>
      <c r="B195" s="104" t="s">
        <v>399</v>
      </c>
      <c r="C195" s="265" t="str">
        <f t="shared" si="55"/>
        <v>England ICS - Suffolk and North East Essex</v>
      </c>
      <c r="D195" s="76">
        <f t="shared" si="75"/>
        <v>385963</v>
      </c>
      <c r="E195" s="76">
        <f t="shared" si="76"/>
        <v>402853</v>
      </c>
      <c r="F195" s="105">
        <f t="shared" si="77"/>
        <v>987177</v>
      </c>
      <c r="G195" s="52">
        <f t="shared" si="78"/>
        <v>487631</v>
      </c>
      <c r="H195" s="53">
        <f t="shared" si="79"/>
        <v>499546</v>
      </c>
      <c r="I195" s="52">
        <f t="shared" si="80"/>
        <v>385963</v>
      </c>
      <c r="J195" s="107">
        <f t="shared" si="81"/>
        <v>402853</v>
      </c>
      <c r="K195" s="109">
        <f t="shared" si="82"/>
        <v>101668</v>
      </c>
      <c r="L195" s="51">
        <f t="shared" si="83"/>
        <v>96693</v>
      </c>
      <c r="M195" s="109">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09">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2">
      <c r="A196" s="112" t="s">
        <v>193</v>
      </c>
      <c r="B196" s="104" t="s">
        <v>400</v>
      </c>
      <c r="C196" s="265" t="str">
        <f t="shared" si="55"/>
        <v>England ICS - Surrey Heartlands</v>
      </c>
      <c r="D196" s="76">
        <f t="shared" si="75"/>
        <v>396737</v>
      </c>
      <c r="E196" s="76">
        <f t="shared" si="76"/>
        <v>421113</v>
      </c>
      <c r="F196" s="105">
        <f t="shared" si="77"/>
        <v>1052425</v>
      </c>
      <c r="G196" s="52">
        <f t="shared" si="78"/>
        <v>516937</v>
      </c>
      <c r="H196" s="53">
        <f t="shared" si="79"/>
        <v>535488</v>
      </c>
      <c r="I196" s="52">
        <f t="shared" si="80"/>
        <v>396737</v>
      </c>
      <c r="J196" s="107">
        <f t="shared" si="81"/>
        <v>421113</v>
      </c>
      <c r="K196" s="109">
        <f t="shared" si="82"/>
        <v>120200</v>
      </c>
      <c r="L196" s="51">
        <f t="shared" si="83"/>
        <v>114375</v>
      </c>
      <c r="M196" s="109">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09">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2">
      <c r="A197" s="112" t="s">
        <v>193</v>
      </c>
      <c r="B197" s="104" t="s">
        <v>401</v>
      </c>
      <c r="C197" s="265" t="str">
        <f t="shared" si="55"/>
        <v>England ICS - Sussex and Health Care Partnership</v>
      </c>
      <c r="D197" s="76">
        <f t="shared" si="75"/>
        <v>664808</v>
      </c>
      <c r="E197" s="76">
        <f t="shared" si="76"/>
        <v>714065</v>
      </c>
      <c r="F197" s="105">
        <f t="shared" si="77"/>
        <v>1711539</v>
      </c>
      <c r="G197" s="52">
        <f t="shared" si="78"/>
        <v>836321</v>
      </c>
      <c r="H197" s="53">
        <f t="shared" si="79"/>
        <v>875218</v>
      </c>
      <c r="I197" s="52">
        <f t="shared" si="80"/>
        <v>664808</v>
      </c>
      <c r="J197" s="107">
        <f t="shared" si="81"/>
        <v>714065</v>
      </c>
      <c r="K197" s="109">
        <f t="shared" si="82"/>
        <v>171513</v>
      </c>
      <c r="L197" s="51">
        <f t="shared" si="83"/>
        <v>161153</v>
      </c>
      <c r="M197" s="109">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09">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2">
      <c r="A198" s="112" t="s">
        <v>193</v>
      </c>
      <c r="B198" s="104" t="s">
        <v>402</v>
      </c>
      <c r="C198" s="265" t="str">
        <f t="shared" si="55"/>
        <v>England ICS - The Black Country</v>
      </c>
      <c r="D198" s="76">
        <f t="shared" si="75"/>
        <v>516421</v>
      </c>
      <c r="E198" s="76">
        <f t="shared" si="76"/>
        <v>533261</v>
      </c>
      <c r="F198" s="105">
        <f t="shared" si="77"/>
        <v>1380809</v>
      </c>
      <c r="G198" s="52">
        <f t="shared" si="78"/>
        <v>686215</v>
      </c>
      <c r="H198" s="53">
        <f t="shared" si="79"/>
        <v>694594</v>
      </c>
      <c r="I198" s="52">
        <f t="shared" si="80"/>
        <v>516421</v>
      </c>
      <c r="J198" s="107">
        <f t="shared" si="81"/>
        <v>533261</v>
      </c>
      <c r="K198" s="109">
        <f t="shared" si="82"/>
        <v>169794</v>
      </c>
      <c r="L198" s="51">
        <f t="shared" si="83"/>
        <v>161333</v>
      </c>
      <c r="M198" s="109">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09">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2">
      <c r="A199" s="112" t="s">
        <v>193</v>
      </c>
      <c r="B199" s="104" t="s">
        <v>403</v>
      </c>
      <c r="C199" s="265" t="str">
        <f t="shared" si="55"/>
        <v>England ICS - West Yorkshire and Harrogate</v>
      </c>
      <c r="D199" s="76">
        <f t="shared" si="75"/>
        <v>902561</v>
      </c>
      <c r="E199" s="76">
        <f t="shared" si="76"/>
        <v>950660</v>
      </c>
      <c r="F199" s="105">
        <f t="shared" si="77"/>
        <v>2396517</v>
      </c>
      <c r="G199" s="52">
        <f t="shared" si="78"/>
        <v>1179839</v>
      </c>
      <c r="H199" s="53">
        <f t="shared" si="79"/>
        <v>1216678</v>
      </c>
      <c r="I199" s="52">
        <f t="shared" si="80"/>
        <v>902561</v>
      </c>
      <c r="J199" s="107">
        <f t="shared" si="81"/>
        <v>950660</v>
      </c>
      <c r="K199" s="109">
        <f t="shared" si="82"/>
        <v>277278</v>
      </c>
      <c r="L199" s="51">
        <f t="shared" si="83"/>
        <v>266018</v>
      </c>
      <c r="M199" s="109">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09">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19" customFormat="1" ht="15" hidden="1" x14ac:dyDescent="0.25">
      <c r="A200" s="115"/>
      <c r="B200" s="267"/>
      <c r="C200" s="125"/>
      <c r="D200" s="263">
        <f t="shared" ref="D200:L200" si="84">SUM(D158:D199)</f>
        <v>21779298</v>
      </c>
      <c r="E200" s="263">
        <f t="shared" si="84"/>
        <v>22677552</v>
      </c>
      <c r="F200" s="263">
        <f t="shared" si="84"/>
        <v>56550138</v>
      </c>
      <c r="G200" s="263">
        <f t="shared" si="84"/>
        <v>27982818</v>
      </c>
      <c r="H200" s="263">
        <f t="shared" si="84"/>
        <v>28567320</v>
      </c>
      <c r="I200" s="263">
        <f t="shared" si="84"/>
        <v>21779298</v>
      </c>
      <c r="J200" s="263">
        <f t="shared" si="84"/>
        <v>22677552</v>
      </c>
      <c r="K200" s="263">
        <f t="shared" si="84"/>
        <v>6203520</v>
      </c>
      <c r="L200" s="263">
        <f t="shared" si="84"/>
        <v>5889768</v>
      </c>
      <c r="M200" s="263"/>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7"/>
      <c r="CZ200" s="264"/>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18"/>
      <c r="DV200" s="118"/>
      <c r="DW200" s="118"/>
      <c r="DX200" s="118"/>
      <c r="DY200" s="118"/>
      <c r="DZ200" s="118"/>
      <c r="EA200" s="118"/>
      <c r="EB200" s="118"/>
      <c r="EC200" s="118"/>
      <c r="ED200" s="118"/>
      <c r="EE200" s="118"/>
      <c r="EF200" s="118"/>
      <c r="EG200" s="118"/>
      <c r="EH200" s="118"/>
      <c r="EI200" s="118"/>
      <c r="EJ200" s="118"/>
      <c r="EK200" s="118"/>
      <c r="EL200" s="118"/>
      <c r="EM200" s="118"/>
      <c r="EN200" s="118"/>
      <c r="EO200" s="118"/>
      <c r="EP200" s="118"/>
      <c r="EQ200" s="118"/>
      <c r="ER200" s="118"/>
      <c r="ES200" s="118"/>
      <c r="ET200" s="118"/>
      <c r="EU200" s="118"/>
      <c r="EV200" s="118"/>
      <c r="EW200" s="118"/>
      <c r="EX200" s="118"/>
      <c r="EY200" s="118"/>
      <c r="EZ200" s="118"/>
      <c r="FA200" s="118"/>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7"/>
    </row>
    <row r="201" spans="1:194" s="1" customFormat="1" hidden="1" x14ac:dyDescent="0.2">
      <c r="A201" s="31" t="s">
        <v>218</v>
      </c>
      <c r="B201" s="1" t="s">
        <v>404</v>
      </c>
      <c r="C201" s="69" t="str">
        <f>CONCATENATE(A201," - ",B201)</f>
        <v>LA England - Adur</v>
      </c>
      <c r="D201" s="767">
        <f t="shared" ref="D201:D265" si="85">I201</f>
        <v>24230</v>
      </c>
      <c r="E201" s="767">
        <f t="shared" ref="E201:E265" si="86">J201</f>
        <v>26766</v>
      </c>
      <c r="F201" s="768">
        <f t="shared" ref="F201:F265" si="87">G201+H201</f>
        <v>64187</v>
      </c>
      <c r="G201" s="768">
        <f t="shared" ref="G201:G265" si="88">SUM(M201:CY201)</f>
        <v>31094</v>
      </c>
      <c r="H201" s="769">
        <f t="shared" ref="H201:H265" si="89">SUM(CZ201:GL201)</f>
        <v>33093</v>
      </c>
      <c r="I201" s="769">
        <f t="shared" ref="I201:I265" si="90">SUM(AE201:CY201)</f>
        <v>24230</v>
      </c>
      <c r="J201" s="769">
        <f t="shared" ref="J201:J265" si="91">SUM(DR201:GL201)</f>
        <v>26766</v>
      </c>
      <c r="K201" s="50">
        <f t="shared" ref="K201:K265" si="92">SUM(M201:AD201)</f>
        <v>6864</v>
      </c>
      <c r="L201" s="767">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2">
      <c r="A202" s="31" t="s">
        <v>218</v>
      </c>
      <c r="B202" s="1" t="s">
        <v>405</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2">
      <c r="A203" s="31" t="s">
        <v>218</v>
      </c>
      <c r="B203" s="1" t="s">
        <v>406</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2">
      <c r="A204" s="31" t="s">
        <v>218</v>
      </c>
      <c r="B204" s="1" t="s">
        <v>407</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2">
      <c r="A205" s="31" t="s">
        <v>218</v>
      </c>
      <c r="B205" s="1" t="s">
        <v>408</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2">
      <c r="A206" s="31" t="s">
        <v>218</v>
      </c>
      <c r="B206" s="1" t="s">
        <v>409</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2">
      <c r="A207" s="31" t="s">
        <v>218</v>
      </c>
      <c r="B207" s="1" t="s">
        <v>410</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2">
      <c r="A208" s="31" t="s">
        <v>218</v>
      </c>
      <c r="B208" s="1" t="s">
        <v>411</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2">
      <c r="A209" s="31" t="s">
        <v>218</v>
      </c>
      <c r="B209" s="1" t="s">
        <v>412</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2">
      <c r="A210" s="31" t="s">
        <v>218</v>
      </c>
      <c r="B210" s="1" t="s">
        <v>413</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2">
      <c r="A211" s="31" t="s">
        <v>218</v>
      </c>
      <c r="B211" s="1" t="s">
        <v>414</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2">
      <c r="A212" s="31" t="s">
        <v>218</v>
      </c>
      <c r="B212" s="1" t="s">
        <v>415</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2">
      <c r="A213" s="31" t="s">
        <v>218</v>
      </c>
      <c r="B213" s="1" t="s">
        <v>416</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2">
      <c r="A214" s="31" t="s">
        <v>218</v>
      </c>
      <c r="B214" s="1" t="s">
        <v>417</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2">
      <c r="A215" s="31" t="s">
        <v>218</v>
      </c>
      <c r="B215" s="1" t="s">
        <v>418</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2">
      <c r="A216" s="31" t="s">
        <v>218</v>
      </c>
      <c r="B216" s="1" t="s">
        <v>419</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2">
      <c r="A217" s="31" t="s">
        <v>218</v>
      </c>
      <c r="B217" s="1" t="s">
        <v>420</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2">
      <c r="A218" s="31" t="s">
        <v>218</v>
      </c>
      <c r="B218" s="1" t="s">
        <v>421</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2">
      <c r="A219" s="31" t="s">
        <v>218</v>
      </c>
      <c r="B219" s="1" t="s">
        <v>422</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2">
      <c r="A220" s="31" t="s">
        <v>218</v>
      </c>
      <c r="B220" s="1" t="s">
        <v>423</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2">
      <c r="A221" s="31" t="s">
        <v>218</v>
      </c>
      <c r="B221" s="1" t="s">
        <v>424</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2">
      <c r="A222" s="31" t="s">
        <v>218</v>
      </c>
      <c r="B222" s="1" t="s">
        <v>425</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2">
      <c r="A223" s="31" t="s">
        <v>218</v>
      </c>
      <c r="B223" s="1" t="s">
        <v>426</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2">
      <c r="A224" s="31" t="s">
        <v>218</v>
      </c>
      <c r="B224" s="1" t="s">
        <v>427</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2">
      <c r="A225" s="31" t="s">
        <v>218</v>
      </c>
      <c r="B225" s="1" t="s">
        <v>428</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2">
      <c r="A226" s="31" t="s">
        <v>218</v>
      </c>
      <c r="B226" s="1" t="s">
        <v>429</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2">
      <c r="A227" s="31" t="s">
        <v>218</v>
      </c>
      <c r="B227" s="1" t="s">
        <v>430</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2">
      <c r="A228" s="31" t="s">
        <v>218</v>
      </c>
      <c r="B228" s="1" t="s">
        <v>431</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2">
      <c r="A229" s="31" t="s">
        <v>218</v>
      </c>
      <c r="B229" s="1" t="s">
        <v>432</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2">
      <c r="A230" s="31" t="s">
        <v>218</v>
      </c>
      <c r="B230" s="1" t="s">
        <v>433</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2">
      <c r="A231" s="31" t="s">
        <v>218</v>
      </c>
      <c r="B231" s="1" t="s">
        <v>434</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2">
      <c r="A232" s="31" t="s">
        <v>218</v>
      </c>
      <c r="B232" s="1" t="s">
        <v>435</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2">
      <c r="A233" s="31" t="s">
        <v>218</v>
      </c>
      <c r="B233" s="1" t="s">
        <v>436</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2">
      <c r="A234" s="31" t="s">
        <v>218</v>
      </c>
      <c r="B234" s="1" t="s">
        <v>437</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2">
      <c r="A235" s="31" t="s">
        <v>218</v>
      </c>
      <c r="B235" s="1" t="s">
        <v>438</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2">
      <c r="A236" s="31" t="s">
        <v>218</v>
      </c>
      <c r="B236" s="1" t="s">
        <v>439</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2">
      <c r="A237" s="31" t="s">
        <v>218</v>
      </c>
      <c r="B237" s="1" t="s">
        <v>440</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2">
      <c r="A238" s="31" t="s">
        <v>218</v>
      </c>
      <c r="B238" s="1" t="s">
        <v>441</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2">
      <c r="A239" s="31" t="s">
        <v>218</v>
      </c>
      <c r="B239" s="1" t="s">
        <v>442</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2">
      <c r="A240" s="31" t="s">
        <v>218</v>
      </c>
      <c r="B240" s="1" t="s">
        <v>443</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2">
      <c r="A241" s="31" t="s">
        <v>218</v>
      </c>
      <c r="B241" s="1" t="s">
        <v>444</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2">
      <c r="A242" s="31" t="s">
        <v>218</v>
      </c>
      <c r="B242" s="1" t="s">
        <v>445</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2">
      <c r="A243" s="31" t="s">
        <v>218</v>
      </c>
      <c r="B243" s="1" t="s">
        <v>446</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2">
      <c r="A244" s="31" t="s">
        <v>218</v>
      </c>
      <c r="B244" s="1" t="s">
        <v>447</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2">
      <c r="A245" s="31" t="s">
        <v>218</v>
      </c>
      <c r="B245" s="1" t="s">
        <v>448</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2">
      <c r="A246" s="31" t="s">
        <v>218</v>
      </c>
      <c r="B246" s="1" t="s">
        <v>449</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2">
      <c r="A247" s="31" t="s">
        <v>218</v>
      </c>
      <c r="B247" s="1" t="s">
        <v>450</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2">
      <c r="A248" s="31" t="s">
        <v>218</v>
      </c>
      <c r="B248" s="1" t="s">
        <v>451</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2">
      <c r="A249" s="31" t="s">
        <v>218</v>
      </c>
      <c r="B249" s="1" t="s">
        <v>452</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2">
      <c r="A250" s="31" t="s">
        <v>218</v>
      </c>
      <c r="B250" s="1" t="s">
        <v>453</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2">
      <c r="A251" s="31" t="s">
        <v>218</v>
      </c>
      <c r="B251" s="1" t="s">
        <v>454</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2">
      <c r="A252" s="31" t="s">
        <v>218</v>
      </c>
      <c r="B252" s="1" t="s">
        <v>455</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2">
      <c r="A253" s="31" t="s">
        <v>218</v>
      </c>
      <c r="B253" s="1" t="s">
        <v>456</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2">
      <c r="A254" s="31" t="s">
        <v>218</v>
      </c>
      <c r="B254" s="1" t="s">
        <v>457</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2">
      <c r="A255" s="31" t="s">
        <v>218</v>
      </c>
      <c r="B255" s="1" t="s">
        <v>458</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2">
      <c r="A256" s="31" t="s">
        <v>218</v>
      </c>
      <c r="B256" s="1" t="s">
        <v>459</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2">
      <c r="A257" s="31" t="s">
        <v>218</v>
      </c>
      <c r="B257" s="1" t="s">
        <v>460</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2">
      <c r="A258" s="31" t="s">
        <v>218</v>
      </c>
      <c r="B258" s="1" t="s">
        <v>461</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2">
      <c r="A259" s="31" t="s">
        <v>218</v>
      </c>
      <c r="B259" s="1" t="s">
        <v>462</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2">
      <c r="A260" s="31" t="s">
        <v>218</v>
      </c>
      <c r="B260" s="1" t="s">
        <v>463</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2">
      <c r="A261" s="31" t="s">
        <v>218</v>
      </c>
      <c r="B261" s="1" t="s">
        <v>464</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2">
      <c r="A262" s="31" t="s">
        <v>218</v>
      </c>
      <c r="B262" s="1" t="s">
        <v>465</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2">
      <c r="A263" s="31" t="s">
        <v>218</v>
      </c>
      <c r="B263" s="1" t="s">
        <v>466</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2">
      <c r="A264" s="31" t="s">
        <v>218</v>
      </c>
      <c r="B264" s="1" t="s">
        <v>467</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2">
      <c r="A265" s="31" t="s">
        <v>218</v>
      </c>
      <c r="B265" s="1" t="s">
        <v>468</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2">
      <c r="A266" s="31" t="s">
        <v>218</v>
      </c>
      <c r="B266" s="1" t="s">
        <v>469</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2">
      <c r="A267" s="31" t="s">
        <v>218</v>
      </c>
      <c r="B267" s="1" t="s">
        <v>470</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2">
      <c r="A268" s="31" t="s">
        <v>218</v>
      </c>
      <c r="B268" s="1" t="s">
        <v>471</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2">
      <c r="A269" s="31" t="s">
        <v>218</v>
      </c>
      <c r="B269" s="1" t="s">
        <v>472</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2">
      <c r="A270" s="31" t="s">
        <v>218</v>
      </c>
      <c r="B270" s="1" t="s">
        <v>473</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2">
      <c r="A271" s="31" t="s">
        <v>218</v>
      </c>
      <c r="B271" s="1" t="s">
        <v>474</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2">
      <c r="A272" s="31" t="s">
        <v>218</v>
      </c>
      <c r="B272" s="1" t="s">
        <v>475</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2">
      <c r="A273" s="31" t="s">
        <v>218</v>
      </c>
      <c r="B273" s="1" t="s">
        <v>476</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2">
      <c r="A274" s="31" t="s">
        <v>218</v>
      </c>
      <c r="B274" s="1" t="s">
        <v>477</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2">
      <c r="A275" s="31" t="s">
        <v>218</v>
      </c>
      <c r="B275" s="1" t="s">
        <v>478</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2">
      <c r="A276" s="31" t="s">
        <v>218</v>
      </c>
      <c r="B276" s="1" t="s">
        <v>479</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2">
      <c r="A277" s="31" t="s">
        <v>218</v>
      </c>
      <c r="B277" s="1" t="s">
        <v>375</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2">
      <c r="A278" s="31" t="s">
        <v>218</v>
      </c>
      <c r="B278" s="1" t="s">
        <v>480</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2">
      <c r="A279" s="31" t="s">
        <v>218</v>
      </c>
      <c r="B279" s="1" t="s">
        <v>481</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2">
      <c r="A280" s="31" t="s">
        <v>218</v>
      </c>
      <c r="B280" s="1" t="s">
        <v>482</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2">
      <c r="A281" s="31" t="s">
        <v>218</v>
      </c>
      <c r="B281" s="1" t="s">
        <v>483</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2">
      <c r="A282" s="31" t="s">
        <v>218</v>
      </c>
      <c r="B282" s="1" t="s">
        <v>484</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2">
      <c r="A283" s="31" t="s">
        <v>218</v>
      </c>
      <c r="B283" s="1" t="s">
        <v>485</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2">
      <c r="A284" s="31" t="s">
        <v>218</v>
      </c>
      <c r="B284" s="1" t="s">
        <v>486</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2">
      <c r="A285" s="31" t="s">
        <v>218</v>
      </c>
      <c r="B285" s="1" t="s">
        <v>487</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2">
      <c r="A286" s="31" t="s">
        <v>218</v>
      </c>
      <c r="B286" s="1" t="s">
        <v>488</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2">
      <c r="A287" s="31" t="s">
        <v>218</v>
      </c>
      <c r="B287" s="1" t="s">
        <v>489</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2">
      <c r="A288" s="31" t="s">
        <v>218</v>
      </c>
      <c r="B288" s="1" t="s">
        <v>490</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2">
      <c r="A289" s="31" t="s">
        <v>218</v>
      </c>
      <c r="B289" s="1" t="s">
        <v>491</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2">
      <c r="A290" s="31" t="s">
        <v>218</v>
      </c>
      <c r="B290" s="1" t="s">
        <v>492</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2">
      <c r="A291" s="31" t="s">
        <v>218</v>
      </c>
      <c r="B291" s="1" t="s">
        <v>493</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2">
      <c r="A292" s="31" t="s">
        <v>218</v>
      </c>
      <c r="B292" s="1" t="s">
        <v>494</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2">
      <c r="A293" s="31" t="s">
        <v>218</v>
      </c>
      <c r="B293" s="1" t="s">
        <v>495</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2">
      <c r="A294" s="31" t="s">
        <v>218</v>
      </c>
      <c r="B294" s="1" t="s">
        <v>496</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2">
      <c r="A295" s="31" t="s">
        <v>218</v>
      </c>
      <c r="B295" s="1" t="s">
        <v>497</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2">
      <c r="A296" s="31" t="s">
        <v>218</v>
      </c>
      <c r="B296" s="1" t="s">
        <v>498</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2">
      <c r="A297" s="31" t="s">
        <v>218</v>
      </c>
      <c r="B297" s="1" t="s">
        <v>499</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2">
      <c r="A298" s="31" t="s">
        <v>218</v>
      </c>
      <c r="B298" s="1" t="s">
        <v>500</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2">
      <c r="A299" s="31" t="s">
        <v>218</v>
      </c>
      <c r="B299" s="1" t="s">
        <v>501</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2">
      <c r="A300" s="31" t="s">
        <v>218</v>
      </c>
      <c r="B300" s="1" t="s">
        <v>502</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2">
      <c r="A301" s="31" t="s">
        <v>218</v>
      </c>
      <c r="B301" s="1" t="s">
        <v>503</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2">
      <c r="A302" s="31" t="s">
        <v>218</v>
      </c>
      <c r="B302" s="1" t="s">
        <v>504</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2">
      <c r="A303" s="31" t="s">
        <v>218</v>
      </c>
      <c r="B303" s="1" t="s">
        <v>505</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2">
      <c r="A304" s="31" t="s">
        <v>218</v>
      </c>
      <c r="B304" s="1" t="s">
        <v>506</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2">
      <c r="A305" s="31" t="s">
        <v>218</v>
      </c>
      <c r="B305" s="1" t="s">
        <v>507</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2">
      <c r="A306" s="31" t="s">
        <v>218</v>
      </c>
      <c r="B306" s="1" t="s">
        <v>508</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2">
      <c r="A307" s="31" t="s">
        <v>218</v>
      </c>
      <c r="B307" s="1" t="s">
        <v>509</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2">
      <c r="A308" s="31" t="s">
        <v>218</v>
      </c>
      <c r="B308" s="1" t="s">
        <v>510</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2">
      <c r="A309" s="31" t="s">
        <v>218</v>
      </c>
      <c r="B309" s="1" t="s">
        <v>511</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2">
      <c r="A310" s="31" t="s">
        <v>218</v>
      </c>
      <c r="B310" s="1" t="s">
        <v>512</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2">
      <c r="A311" s="31" t="s">
        <v>218</v>
      </c>
      <c r="B311" s="1" t="s">
        <v>513</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2">
      <c r="A312" s="31" t="s">
        <v>218</v>
      </c>
      <c r="B312" s="1" t="s">
        <v>514</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2">
      <c r="A313" s="31" t="s">
        <v>218</v>
      </c>
      <c r="B313" s="1" t="s">
        <v>515</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2">
      <c r="A314" s="31" t="s">
        <v>218</v>
      </c>
      <c r="B314" s="1" t="s">
        <v>516</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2">
      <c r="A315" s="31" t="s">
        <v>218</v>
      </c>
      <c r="B315" s="1" t="s">
        <v>517</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2">
      <c r="A316" s="31" t="s">
        <v>218</v>
      </c>
      <c r="B316" s="1" t="s">
        <v>518</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2">
      <c r="A317" s="31" t="s">
        <v>218</v>
      </c>
      <c r="B317" s="1" t="s">
        <v>519</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2">
      <c r="A318" s="31" t="s">
        <v>218</v>
      </c>
      <c r="B318" s="1" t="s">
        <v>520</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2">
      <c r="A319" s="31" t="s">
        <v>218</v>
      </c>
      <c r="B319" s="1" t="s">
        <v>521</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2">
      <c r="A320" s="31" t="s">
        <v>218</v>
      </c>
      <c r="B320" s="1" t="s">
        <v>522</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2">
      <c r="A321" s="31" t="s">
        <v>218</v>
      </c>
      <c r="B321" s="1" t="s">
        <v>523</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2">
      <c r="A322" s="31" t="s">
        <v>218</v>
      </c>
      <c r="B322" s="1" t="s">
        <v>524</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2">
      <c r="A323" s="31" t="s">
        <v>218</v>
      </c>
      <c r="B323" s="1" t="s">
        <v>525</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2">
      <c r="A324" s="31" t="s">
        <v>218</v>
      </c>
      <c r="B324" s="1" t="s">
        <v>526</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2">
      <c r="A325" s="31" t="s">
        <v>218</v>
      </c>
      <c r="B325" s="1" t="s">
        <v>527</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2">
      <c r="A326" s="31" t="s">
        <v>218</v>
      </c>
      <c r="B326" s="1" t="s">
        <v>528</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2">
      <c r="A327" s="31" t="s">
        <v>218</v>
      </c>
      <c r="B327" s="1" t="s">
        <v>529</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2">
      <c r="A328" s="31" t="s">
        <v>218</v>
      </c>
      <c r="B328" s="1" t="s">
        <v>530</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2">
      <c r="A329" s="31" t="s">
        <v>218</v>
      </c>
      <c r="B329" s="1" t="s">
        <v>531</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2">
      <c r="A330" s="31" t="s">
        <v>218</v>
      </c>
      <c r="B330" s="1" t="s">
        <v>532</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2">
      <c r="A331" s="31" t="s">
        <v>218</v>
      </c>
      <c r="B331" s="1" t="s">
        <v>533</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2">
      <c r="A332" s="31" t="s">
        <v>218</v>
      </c>
      <c r="B332" s="1" t="s">
        <v>534</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2">
      <c r="A333" s="31" t="s">
        <v>218</v>
      </c>
      <c r="B333" s="1" t="s">
        <v>535</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2">
      <c r="A334" s="31" t="s">
        <v>218</v>
      </c>
      <c r="B334" s="1" t="s">
        <v>536</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2">
      <c r="A335" s="31" t="s">
        <v>218</v>
      </c>
      <c r="B335" s="1" t="s">
        <v>537</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2">
      <c r="A336" s="31" t="s">
        <v>218</v>
      </c>
      <c r="B336" s="1" t="s">
        <v>538</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2">
      <c r="A337" s="31" t="s">
        <v>218</v>
      </c>
      <c r="B337" s="1" t="s">
        <v>539</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2">
      <c r="A338" s="31" t="s">
        <v>218</v>
      </c>
      <c r="B338" s="1" t="s">
        <v>540</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2">
      <c r="A339" s="31" t="s">
        <v>218</v>
      </c>
      <c r="B339" s="1" t="s">
        <v>541</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2">
      <c r="A340" s="31" t="s">
        <v>218</v>
      </c>
      <c r="B340" s="1" t="s">
        <v>542</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2">
      <c r="A341" s="31" t="s">
        <v>218</v>
      </c>
      <c r="B341" s="1" t="s">
        <v>543</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2">
      <c r="A342" s="31" t="s">
        <v>218</v>
      </c>
      <c r="B342" s="1" t="s">
        <v>544</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2">
      <c r="A343" s="31" t="s">
        <v>218</v>
      </c>
      <c r="B343" s="1" t="s">
        <v>545</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2">
      <c r="A344" s="31" t="s">
        <v>218</v>
      </c>
      <c r="B344" s="1" t="s">
        <v>546</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2">
      <c r="A345" s="31" t="s">
        <v>218</v>
      </c>
      <c r="B345" s="1" t="s">
        <v>547</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2">
      <c r="A346" s="31" t="s">
        <v>218</v>
      </c>
      <c r="B346" s="1" t="s">
        <v>548</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2">
      <c r="A347" s="31" t="s">
        <v>218</v>
      </c>
      <c r="B347" s="1" t="s">
        <v>549</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2">
      <c r="A348" s="31" t="s">
        <v>218</v>
      </c>
      <c r="B348" s="1" t="s">
        <v>550</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2">
      <c r="A349" s="31" t="s">
        <v>218</v>
      </c>
      <c r="B349" s="1" t="s">
        <v>551</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2">
      <c r="A350" s="31" t="s">
        <v>218</v>
      </c>
      <c r="B350" s="1" t="s">
        <v>552</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2">
      <c r="A351" s="31" t="s">
        <v>218</v>
      </c>
      <c r="B351" s="1" t="s">
        <v>553</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2">
      <c r="A352" s="31" t="s">
        <v>218</v>
      </c>
      <c r="B352" s="1" t="s">
        <v>554</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2">
      <c r="A353" s="31" t="s">
        <v>218</v>
      </c>
      <c r="B353" s="1" t="s">
        <v>555</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2">
      <c r="A354" s="31" t="s">
        <v>218</v>
      </c>
      <c r="B354" s="1" t="s">
        <v>556</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2">
      <c r="A355" s="31" t="s">
        <v>218</v>
      </c>
      <c r="B355" s="1" t="s">
        <v>557</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2">
      <c r="A356" s="31" t="s">
        <v>218</v>
      </c>
      <c r="B356" s="1" t="s">
        <v>558</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2">
      <c r="A357" s="31" t="s">
        <v>218</v>
      </c>
      <c r="B357" s="1" t="s">
        <v>559</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2">
      <c r="A358" s="31" t="s">
        <v>218</v>
      </c>
      <c r="B358" s="1" t="s">
        <v>560</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2">
      <c r="A359" s="31" t="s">
        <v>218</v>
      </c>
      <c r="B359" s="1" t="s">
        <v>561</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2">
      <c r="A360" s="31" t="s">
        <v>218</v>
      </c>
      <c r="B360" s="1" t="s">
        <v>562</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2">
      <c r="A361" s="31" t="s">
        <v>218</v>
      </c>
      <c r="B361" s="1" t="s">
        <v>563</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2">
      <c r="A362" s="31" t="s">
        <v>218</v>
      </c>
      <c r="B362" s="1" t="s">
        <v>564</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2">
      <c r="A363" s="31" t="s">
        <v>218</v>
      </c>
      <c r="B363" s="1" t="s">
        <v>565</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2">
      <c r="A364" s="31" t="s">
        <v>218</v>
      </c>
      <c r="B364" s="1" t="s">
        <v>566</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2">
      <c r="A365" s="31" t="s">
        <v>218</v>
      </c>
      <c r="B365" s="1" t="s">
        <v>567</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2">
      <c r="A366" s="31" t="s">
        <v>218</v>
      </c>
      <c r="B366" s="1" t="s">
        <v>568</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2">
      <c r="A367" s="31" t="s">
        <v>218</v>
      </c>
      <c r="B367" s="1" t="s">
        <v>569</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2">
      <c r="A368" s="31" t="s">
        <v>218</v>
      </c>
      <c r="B368" s="1" t="s">
        <v>570</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2">
      <c r="A369" s="31" t="s">
        <v>218</v>
      </c>
      <c r="B369" s="1" t="s">
        <v>571</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2">
      <c r="A370" s="31" t="s">
        <v>218</v>
      </c>
      <c r="B370" s="1" t="s">
        <v>572</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2">
      <c r="A371" s="31" t="s">
        <v>218</v>
      </c>
      <c r="B371" s="1" t="s">
        <v>573</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2">
      <c r="A372" s="31" t="s">
        <v>218</v>
      </c>
      <c r="B372" s="1" t="s">
        <v>574</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2">
      <c r="A373" s="31" t="s">
        <v>218</v>
      </c>
      <c r="B373" s="1" t="s">
        <v>575</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2">
      <c r="A374" s="31" t="s">
        <v>218</v>
      </c>
      <c r="B374" s="1" t="s">
        <v>576</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2">
      <c r="A375" s="31" t="s">
        <v>218</v>
      </c>
      <c r="B375" s="1" t="s">
        <v>577</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2">
      <c r="A376" s="31" t="s">
        <v>218</v>
      </c>
      <c r="B376" s="1" t="s">
        <v>578</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2">
      <c r="A377" s="31" t="s">
        <v>218</v>
      </c>
      <c r="B377" s="1" t="s">
        <v>579</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2">
      <c r="A378" s="31" t="s">
        <v>218</v>
      </c>
      <c r="B378" s="1" t="s">
        <v>580</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2">
      <c r="A379" s="31" t="s">
        <v>218</v>
      </c>
      <c r="B379" s="1" t="s">
        <v>581</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2">
      <c r="A380" s="31" t="s">
        <v>218</v>
      </c>
      <c r="B380" s="1" t="s">
        <v>582</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2">
      <c r="A381" s="31" t="s">
        <v>218</v>
      </c>
      <c r="B381" s="1" t="s">
        <v>583</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2">
      <c r="A382" s="31" t="s">
        <v>218</v>
      </c>
      <c r="B382" s="1" t="s">
        <v>584</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2">
      <c r="A383" s="31" t="s">
        <v>218</v>
      </c>
      <c r="B383" s="1" t="s">
        <v>585</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2">
      <c r="A384" s="31" t="s">
        <v>218</v>
      </c>
      <c r="B384" s="1" t="s">
        <v>586</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2">
      <c r="A385" s="31" t="s">
        <v>218</v>
      </c>
      <c r="B385" s="1" t="s">
        <v>587</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2">
      <c r="A386" s="31" t="s">
        <v>218</v>
      </c>
      <c r="B386" s="1" t="s">
        <v>588</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2">
      <c r="A387" s="31" t="s">
        <v>218</v>
      </c>
      <c r="B387" s="1" t="s">
        <v>589</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2">
      <c r="A388" s="31" t="s">
        <v>218</v>
      </c>
      <c r="B388" s="1" t="s">
        <v>590</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2">
      <c r="A389" s="31" t="s">
        <v>218</v>
      </c>
      <c r="B389" s="1" t="s">
        <v>591</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2">
      <c r="A390" s="31" t="s">
        <v>218</v>
      </c>
      <c r="B390" s="1" t="s">
        <v>592</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2">
      <c r="A391" s="31" t="s">
        <v>218</v>
      </c>
      <c r="B391" s="1" t="s">
        <v>593</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2">
      <c r="A392" s="31" t="s">
        <v>218</v>
      </c>
      <c r="B392" s="1" t="s">
        <v>594</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2">
      <c r="A393" s="31" t="s">
        <v>218</v>
      </c>
      <c r="B393" s="1" t="s">
        <v>595</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2">
      <c r="A394" s="31" t="s">
        <v>218</v>
      </c>
      <c r="B394" s="1" t="s">
        <v>596</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2">
      <c r="A395" s="31" t="s">
        <v>218</v>
      </c>
      <c r="B395" s="1" t="s">
        <v>597</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2">
      <c r="A396" s="31" t="s">
        <v>218</v>
      </c>
      <c r="B396" s="1" t="s">
        <v>598</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2">
      <c r="A397" s="31" t="s">
        <v>218</v>
      </c>
      <c r="B397" s="1" t="s">
        <v>599</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2">
      <c r="A398" s="31" t="s">
        <v>218</v>
      </c>
      <c r="B398" s="1" t="s">
        <v>600</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2">
      <c r="A399" s="31" t="s">
        <v>218</v>
      </c>
      <c r="B399" s="1" t="s">
        <v>601</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2">
      <c r="A400" s="31" t="s">
        <v>218</v>
      </c>
      <c r="B400" s="1" t="s">
        <v>602</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2">
      <c r="A401" s="31" t="s">
        <v>218</v>
      </c>
      <c r="B401" s="1" t="s">
        <v>603</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2">
      <c r="A402" s="31" t="s">
        <v>218</v>
      </c>
      <c r="B402" s="1" t="s">
        <v>604</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2">
      <c r="A403" s="31" t="s">
        <v>218</v>
      </c>
      <c r="B403" s="1" t="s">
        <v>605</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2">
      <c r="A404" s="31" t="s">
        <v>218</v>
      </c>
      <c r="B404" s="1" t="s">
        <v>606</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2">
      <c r="A405" s="31" t="s">
        <v>218</v>
      </c>
      <c r="B405" s="1" t="s">
        <v>607</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2">
      <c r="A406" s="31" t="s">
        <v>218</v>
      </c>
      <c r="B406" s="1" t="s">
        <v>608</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2">
      <c r="A407" s="31" t="s">
        <v>218</v>
      </c>
      <c r="B407" s="1" t="s">
        <v>609</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2">
      <c r="A408" s="31" t="s">
        <v>218</v>
      </c>
      <c r="B408" s="1" t="s">
        <v>610</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2">
      <c r="A409" s="31" t="s">
        <v>218</v>
      </c>
      <c r="B409" s="1" t="s">
        <v>611</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2">
      <c r="A410" s="31" t="s">
        <v>218</v>
      </c>
      <c r="B410" s="1" t="s">
        <v>612</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2">
      <c r="A411" s="31" t="s">
        <v>218</v>
      </c>
      <c r="B411" s="1" t="s">
        <v>613</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2">
      <c r="A412" s="31" t="s">
        <v>218</v>
      </c>
      <c r="B412" s="1" t="s">
        <v>614</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2">
      <c r="A413" s="31" t="s">
        <v>218</v>
      </c>
      <c r="B413" s="1" t="s">
        <v>615</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2">
      <c r="A414" s="31" t="s">
        <v>218</v>
      </c>
      <c r="B414" s="1" t="s">
        <v>616</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2">
      <c r="A415" s="31" t="s">
        <v>218</v>
      </c>
      <c r="B415" s="1" t="s">
        <v>617</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2">
      <c r="A416" s="31" t="s">
        <v>218</v>
      </c>
      <c r="B416" s="1" t="s">
        <v>618</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2">
      <c r="A417" s="31" t="s">
        <v>218</v>
      </c>
      <c r="B417" s="1" t="s">
        <v>619</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2">
      <c r="A418" s="31" t="s">
        <v>218</v>
      </c>
      <c r="B418" s="1" t="s">
        <v>620</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2">
      <c r="A419" s="31" t="s">
        <v>218</v>
      </c>
      <c r="B419" s="1" t="s">
        <v>621</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2">
      <c r="A420" s="31" t="s">
        <v>218</v>
      </c>
      <c r="B420" s="1" t="s">
        <v>622</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2">
      <c r="A421" s="31" t="s">
        <v>218</v>
      </c>
      <c r="B421" s="1" t="s">
        <v>623</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2">
      <c r="A422" s="31" t="s">
        <v>218</v>
      </c>
      <c r="B422" s="1" t="s">
        <v>624</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2">
      <c r="A423" s="31" t="s">
        <v>218</v>
      </c>
      <c r="B423" s="1" t="s">
        <v>625</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2">
      <c r="A424" s="31" t="s">
        <v>218</v>
      </c>
      <c r="B424" s="1" t="s">
        <v>626</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2">
      <c r="A425" s="31" t="s">
        <v>218</v>
      </c>
      <c r="B425" s="1" t="s">
        <v>627</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2">
      <c r="A426" s="31" t="s">
        <v>218</v>
      </c>
      <c r="B426" s="1" t="s">
        <v>628</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2">
      <c r="A427" s="31" t="s">
        <v>218</v>
      </c>
      <c r="B427" s="1" t="s">
        <v>629</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2">
      <c r="A428" s="31" t="s">
        <v>218</v>
      </c>
      <c r="B428" s="1" t="s">
        <v>630</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2">
      <c r="A429" s="31" t="s">
        <v>218</v>
      </c>
      <c r="B429" s="1" t="s">
        <v>631</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2">
      <c r="A430" s="31" t="s">
        <v>218</v>
      </c>
      <c r="B430" s="1" t="s">
        <v>632</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2">
      <c r="A431" s="31" t="s">
        <v>218</v>
      </c>
      <c r="B431" s="1" t="s">
        <v>633</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2">
      <c r="A432" s="31" t="s">
        <v>218</v>
      </c>
      <c r="B432" s="1" t="s">
        <v>634</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2">
      <c r="A433" s="31" t="s">
        <v>218</v>
      </c>
      <c r="B433" s="1" t="s">
        <v>635</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2">
      <c r="A434" s="31" t="s">
        <v>218</v>
      </c>
      <c r="B434" s="1" t="s">
        <v>636</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2">
      <c r="A435" s="31" t="s">
        <v>218</v>
      </c>
      <c r="B435" s="1" t="s">
        <v>637</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2">
      <c r="A436" s="31" t="s">
        <v>218</v>
      </c>
      <c r="B436" s="1" t="s">
        <v>638</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2">
      <c r="A437" s="31" t="s">
        <v>218</v>
      </c>
      <c r="B437" s="1" t="s">
        <v>639</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2">
      <c r="A438" s="31" t="s">
        <v>218</v>
      </c>
      <c r="B438" s="1" t="s">
        <v>640</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2">
      <c r="A439" s="31" t="s">
        <v>218</v>
      </c>
      <c r="B439" s="1" t="s">
        <v>641</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2">
      <c r="A440" s="31" t="s">
        <v>218</v>
      </c>
      <c r="B440" s="1" t="s">
        <v>642</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2">
      <c r="A441" s="31" t="s">
        <v>218</v>
      </c>
      <c r="B441" s="1" t="s">
        <v>643</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2">
      <c r="A442" s="31" t="s">
        <v>218</v>
      </c>
      <c r="B442" s="1" t="s">
        <v>644</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2">
      <c r="A443" s="31" t="s">
        <v>218</v>
      </c>
      <c r="B443" s="1" t="s">
        <v>645</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2">
      <c r="A444" s="31" t="s">
        <v>218</v>
      </c>
      <c r="B444" s="1" t="s">
        <v>646</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2">
      <c r="A445" s="31" t="s">
        <v>218</v>
      </c>
      <c r="B445" s="1" t="s">
        <v>647</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2">
      <c r="A446" s="31" t="s">
        <v>218</v>
      </c>
      <c r="B446" s="1" t="s">
        <v>648</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2">
      <c r="A447" s="31" t="s">
        <v>218</v>
      </c>
      <c r="B447" s="1" t="s">
        <v>649</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2">
      <c r="A448" s="31" t="s">
        <v>218</v>
      </c>
      <c r="B448" s="1" t="s">
        <v>650</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2">
      <c r="A449" s="31" t="s">
        <v>218</v>
      </c>
      <c r="B449" s="1" t="s">
        <v>651</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2">
      <c r="A450" s="31" t="s">
        <v>218</v>
      </c>
      <c r="B450" s="1" t="s">
        <v>652</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2">
      <c r="A451" s="31" t="s">
        <v>218</v>
      </c>
      <c r="B451" s="1" t="s">
        <v>653</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2">
      <c r="A452" s="31" t="s">
        <v>218</v>
      </c>
      <c r="B452" s="1" t="s">
        <v>654</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2">
      <c r="A453" s="31" t="s">
        <v>218</v>
      </c>
      <c r="B453" s="1" t="s">
        <v>655</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2">
      <c r="A454" s="31" t="s">
        <v>218</v>
      </c>
      <c r="B454" s="1" t="s">
        <v>656</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2">
      <c r="A455" s="31" t="s">
        <v>218</v>
      </c>
      <c r="B455" s="1" t="s">
        <v>657</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2">
      <c r="A456" s="31" t="s">
        <v>218</v>
      </c>
      <c r="B456" s="1" t="s">
        <v>658</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2">
      <c r="A457" s="31" t="s">
        <v>218</v>
      </c>
      <c r="B457" s="1" t="s">
        <v>659</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2">
      <c r="A458" s="31" t="s">
        <v>218</v>
      </c>
      <c r="B458" s="1" t="s">
        <v>660</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2">
      <c r="A459" s="31" t="s">
        <v>218</v>
      </c>
      <c r="B459" s="1" t="s">
        <v>661</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2">
      <c r="A460" s="31" t="s">
        <v>218</v>
      </c>
      <c r="B460" s="1" t="s">
        <v>662</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2">
      <c r="A461" s="31" t="s">
        <v>218</v>
      </c>
      <c r="B461" s="1" t="s">
        <v>663</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2">
      <c r="A462" s="31" t="s">
        <v>218</v>
      </c>
      <c r="B462" s="1" t="s">
        <v>664</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2">
      <c r="A463" s="31" t="s">
        <v>218</v>
      </c>
      <c r="B463" s="1" t="s">
        <v>665</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2">
      <c r="A464" s="31" t="s">
        <v>218</v>
      </c>
      <c r="B464" s="1" t="s">
        <v>666</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2">
      <c r="A465" s="31" t="s">
        <v>218</v>
      </c>
      <c r="B465" s="1" t="s">
        <v>667</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2">
      <c r="A466" s="31" t="s">
        <v>218</v>
      </c>
      <c r="B466" s="1" t="s">
        <v>668</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2">
      <c r="A467" s="31" t="s">
        <v>218</v>
      </c>
      <c r="B467" s="1" t="s">
        <v>669</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2">
      <c r="A468" s="31" t="s">
        <v>218</v>
      </c>
      <c r="B468" s="1" t="s">
        <v>670</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2">
      <c r="A469" s="31" t="s">
        <v>218</v>
      </c>
      <c r="B469" s="1" t="s">
        <v>671</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2">
      <c r="A470" s="31" t="s">
        <v>218</v>
      </c>
      <c r="B470" s="1" t="s">
        <v>672</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2">
      <c r="A471" s="31" t="s">
        <v>218</v>
      </c>
      <c r="B471" s="1" t="s">
        <v>673</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2">
      <c r="A472" s="31" t="s">
        <v>218</v>
      </c>
      <c r="B472" s="1" t="s">
        <v>674</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2">
      <c r="A473" s="31" t="s">
        <v>218</v>
      </c>
      <c r="B473" s="1" t="s">
        <v>675</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2">
      <c r="A474" s="31" t="s">
        <v>218</v>
      </c>
      <c r="B474" s="1" t="s">
        <v>676</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2">
      <c r="A475" s="31" t="s">
        <v>218</v>
      </c>
      <c r="B475" s="1" t="s">
        <v>677</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2">
      <c r="A476" s="31" t="s">
        <v>218</v>
      </c>
      <c r="B476" s="1" t="s">
        <v>678</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2">
      <c r="A477" s="31" t="s">
        <v>218</v>
      </c>
      <c r="B477" s="1" t="s">
        <v>679</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2">
      <c r="A478" s="31" t="s">
        <v>218</v>
      </c>
      <c r="B478" s="1" t="s">
        <v>680</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2">
      <c r="A479" s="31" t="s">
        <v>218</v>
      </c>
      <c r="B479" s="1" t="s">
        <v>681</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2">
      <c r="A480" s="31" t="s">
        <v>218</v>
      </c>
      <c r="B480" s="1" t="s">
        <v>682</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2">
      <c r="A481" s="31" t="s">
        <v>218</v>
      </c>
      <c r="B481" s="1" t="s">
        <v>683</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2">
      <c r="A482" s="31" t="s">
        <v>218</v>
      </c>
      <c r="B482" s="1" t="s">
        <v>684</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2">
      <c r="A483" s="31" t="s">
        <v>218</v>
      </c>
      <c r="B483" s="1" t="s">
        <v>685</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2">
      <c r="A484" s="31" t="s">
        <v>218</v>
      </c>
      <c r="B484" s="1" t="s">
        <v>686</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2">
      <c r="A485" s="31" t="s">
        <v>218</v>
      </c>
      <c r="B485" s="1" t="s">
        <v>687</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2">
      <c r="A486" s="31" t="s">
        <v>218</v>
      </c>
      <c r="B486" s="1" t="s">
        <v>688</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2">
      <c r="A487" s="31" t="s">
        <v>218</v>
      </c>
      <c r="B487" s="1" t="s">
        <v>689</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2">
      <c r="A488" s="31" t="s">
        <v>218</v>
      </c>
      <c r="B488" s="1" t="s">
        <v>690</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2">
      <c r="A489" s="31" t="s">
        <v>218</v>
      </c>
      <c r="B489" s="1" t="s">
        <v>691</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2">
      <c r="A490" s="31" t="s">
        <v>218</v>
      </c>
      <c r="B490" s="1" t="s">
        <v>692</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2">
      <c r="A491" s="31" t="s">
        <v>218</v>
      </c>
      <c r="B491" s="1" t="s">
        <v>693</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2">
      <c r="A492" s="31" t="s">
        <v>218</v>
      </c>
      <c r="B492" s="1" t="s">
        <v>694</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2">
      <c r="A493" s="31" t="s">
        <v>218</v>
      </c>
      <c r="B493" s="1" t="s">
        <v>695</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2">
      <c r="A494" s="31" t="s">
        <v>218</v>
      </c>
      <c r="B494" s="1" t="s">
        <v>696</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2">
      <c r="A495" s="31" t="s">
        <v>218</v>
      </c>
      <c r="B495" s="1" t="s">
        <v>697</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2">
      <c r="A496" s="31" t="s">
        <v>218</v>
      </c>
      <c r="B496" s="1" t="s">
        <v>698</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2">
      <c r="A497" s="31" t="s">
        <v>218</v>
      </c>
      <c r="B497" s="1" t="s">
        <v>699</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2">
      <c r="A498" s="31" t="s">
        <v>218</v>
      </c>
      <c r="B498" s="1" t="s">
        <v>700</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2">
      <c r="A499" s="31" t="s">
        <v>218</v>
      </c>
      <c r="B499" s="1" t="s">
        <v>701</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2">
      <c r="A500" s="31" t="s">
        <v>218</v>
      </c>
      <c r="B500" s="1" t="s">
        <v>702</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2">
      <c r="A501" s="31" t="s">
        <v>218</v>
      </c>
      <c r="B501" s="1" t="s">
        <v>703</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2">
      <c r="A502" s="31" t="s">
        <v>218</v>
      </c>
      <c r="B502" s="1" t="s">
        <v>704</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2">
      <c r="A503" s="31" t="s">
        <v>218</v>
      </c>
      <c r="B503" s="1" t="s">
        <v>705</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2">
      <c r="A504" s="31" t="s">
        <v>218</v>
      </c>
      <c r="B504" s="1" t="s">
        <v>706</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2">
      <c r="A505" s="31" t="s">
        <v>218</v>
      </c>
      <c r="B505" s="1" t="s">
        <v>707</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2">
      <c r="A506" s="31" t="s">
        <v>218</v>
      </c>
      <c r="B506" s="1" t="s">
        <v>708</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2">
      <c r="A507" s="31" t="s">
        <v>218</v>
      </c>
      <c r="B507" s="1" t="s">
        <v>709</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2">
      <c r="A508" s="31" t="s">
        <v>218</v>
      </c>
      <c r="B508" s="1" t="s">
        <v>710</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2">
      <c r="A509" s="31" t="s">
        <v>218</v>
      </c>
      <c r="B509" s="1" t="s">
        <v>711</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2">
      <c r="A510" s="31" t="s">
        <v>218</v>
      </c>
      <c r="B510" s="1" t="s">
        <v>712</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2">
      <c r="A511" s="31" t="s">
        <v>218</v>
      </c>
      <c r="B511" s="1" t="s">
        <v>713</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2">
      <c r="A512" s="31" t="s">
        <v>218</v>
      </c>
      <c r="B512" s="1" t="s">
        <v>714</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2">
      <c r="A513" s="31" t="s">
        <v>218</v>
      </c>
      <c r="B513" s="1" t="s">
        <v>715</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2">
      <c r="A514" s="31" t="s">
        <v>218</v>
      </c>
      <c r="B514" s="1" t="s">
        <v>716</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19" customFormat="1" ht="15" hidden="1" x14ac:dyDescent="0.25">
      <c r="A515" s="115"/>
      <c r="B515" s="125"/>
      <c r="C515" s="115"/>
      <c r="D515" s="118">
        <f t="shared" ref="D515:L515" si="135">SUM(D201:D514)</f>
        <v>21779298</v>
      </c>
      <c r="E515" s="118">
        <f t="shared" si="135"/>
        <v>22677552</v>
      </c>
      <c r="F515" s="118">
        <f t="shared" si="135"/>
        <v>56550138</v>
      </c>
      <c r="G515" s="118">
        <f t="shared" si="135"/>
        <v>27982818</v>
      </c>
      <c r="H515" s="118">
        <f t="shared" si="135"/>
        <v>28567320</v>
      </c>
      <c r="I515" s="118">
        <f t="shared" si="135"/>
        <v>21779298</v>
      </c>
      <c r="J515" s="118">
        <f t="shared" si="135"/>
        <v>22677552</v>
      </c>
      <c r="K515" s="118">
        <f t="shared" si="135"/>
        <v>6203520</v>
      </c>
      <c r="L515" s="118">
        <f t="shared" si="135"/>
        <v>5889768</v>
      </c>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c r="EP515" s="118"/>
      <c r="EQ515" s="118"/>
      <c r="ER515" s="118"/>
      <c r="ES515" s="118"/>
      <c r="ET515" s="118"/>
      <c r="EU515" s="118"/>
      <c r="EV515" s="118"/>
      <c r="EW515" s="118"/>
      <c r="EX515" s="118"/>
      <c r="EY515" s="118"/>
      <c r="EZ515" s="118"/>
      <c r="FA515" s="118"/>
      <c r="FB515" s="118"/>
      <c r="FC515" s="118"/>
      <c r="FD515" s="118"/>
      <c r="FE515" s="118"/>
      <c r="FF515" s="118"/>
      <c r="FG515" s="118"/>
      <c r="FH515" s="118"/>
      <c r="FI515" s="118"/>
      <c r="FJ515" s="118"/>
      <c r="FK515" s="118"/>
      <c r="FL515" s="118"/>
      <c r="FM515" s="118"/>
      <c r="FN515" s="118"/>
      <c r="FO515" s="118"/>
      <c r="FP515" s="118"/>
      <c r="FQ515" s="118"/>
      <c r="FR515" s="118"/>
      <c r="FS515" s="118"/>
      <c r="FT515" s="118"/>
      <c r="FU515" s="118"/>
      <c r="FV515" s="118"/>
      <c r="FW515" s="118"/>
      <c r="FX515" s="118"/>
      <c r="FY515" s="118"/>
      <c r="FZ515" s="118"/>
      <c r="GA515" s="118"/>
      <c r="GB515" s="118"/>
      <c r="GC515" s="118"/>
      <c r="GD515" s="118"/>
      <c r="GE515" s="118"/>
      <c r="GF515" s="118"/>
      <c r="GG515" s="118"/>
      <c r="GH515" s="118"/>
      <c r="GI515" s="118"/>
      <c r="GJ515" s="118"/>
      <c r="GK515" s="118"/>
      <c r="GL515" s="117"/>
    </row>
    <row r="516" spans="1:194" s="1" customFormat="1" ht="15" hidden="1" x14ac:dyDescent="0.2">
      <c r="A516" s="31" t="s">
        <v>717</v>
      </c>
      <c r="B516" s="1" t="s">
        <v>718</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266">
        <v>375</v>
      </c>
      <c r="N516" s="266">
        <v>392</v>
      </c>
      <c r="O516" s="266">
        <v>399</v>
      </c>
      <c r="P516" s="266">
        <v>337</v>
      </c>
      <c r="Q516" s="266">
        <v>373</v>
      </c>
      <c r="R516" s="266">
        <v>388</v>
      </c>
      <c r="S516" s="266">
        <v>395</v>
      </c>
      <c r="T516" s="266">
        <v>406</v>
      </c>
      <c r="U516" s="266">
        <v>390</v>
      </c>
      <c r="V516" s="266">
        <v>440</v>
      </c>
      <c r="W516" s="266">
        <v>432</v>
      </c>
      <c r="X516" s="266">
        <v>444</v>
      </c>
      <c r="Y516" s="266">
        <v>403</v>
      </c>
      <c r="Z516" s="266">
        <v>352</v>
      </c>
      <c r="AA516" s="266">
        <v>380</v>
      </c>
      <c r="AB516" s="266">
        <v>376</v>
      </c>
      <c r="AC516" s="266">
        <v>356</v>
      </c>
      <c r="AD516" s="266">
        <v>355</v>
      </c>
      <c r="AE516" s="266">
        <v>303</v>
      </c>
      <c r="AF516" s="266">
        <v>350</v>
      </c>
      <c r="AG516" s="266">
        <v>418</v>
      </c>
      <c r="AH516" s="266">
        <v>410</v>
      </c>
      <c r="AI516" s="266">
        <v>390</v>
      </c>
      <c r="AJ516" s="266">
        <v>405</v>
      </c>
      <c r="AK516" s="266">
        <v>398</v>
      </c>
      <c r="AL516" s="266">
        <v>426</v>
      </c>
      <c r="AM516" s="266">
        <v>444</v>
      </c>
      <c r="AN516" s="266">
        <v>508</v>
      </c>
      <c r="AO516" s="266">
        <v>451</v>
      </c>
      <c r="AP516" s="266">
        <v>511</v>
      </c>
      <c r="AQ516" s="266">
        <v>475</v>
      </c>
      <c r="AR516" s="266">
        <v>547</v>
      </c>
      <c r="AS516" s="266">
        <v>426</v>
      </c>
      <c r="AT516" s="266">
        <v>441</v>
      </c>
      <c r="AU516" s="266">
        <v>456</v>
      </c>
      <c r="AV516" s="266">
        <v>464</v>
      </c>
      <c r="AW516" s="266">
        <v>405</v>
      </c>
      <c r="AX516" s="266">
        <v>408</v>
      </c>
      <c r="AY516" s="266">
        <v>407</v>
      </c>
      <c r="AZ516" s="266">
        <v>393</v>
      </c>
      <c r="BA516" s="266">
        <v>448</v>
      </c>
      <c r="BB516" s="266">
        <v>392</v>
      </c>
      <c r="BC516" s="266">
        <v>377</v>
      </c>
      <c r="BD516" s="266">
        <v>348</v>
      </c>
      <c r="BE516" s="266">
        <v>341</v>
      </c>
      <c r="BF516" s="266">
        <v>403</v>
      </c>
      <c r="BG516" s="266">
        <v>408</v>
      </c>
      <c r="BH516" s="266">
        <v>437</v>
      </c>
      <c r="BI516" s="266">
        <v>477</v>
      </c>
      <c r="BJ516" s="266">
        <v>482</v>
      </c>
      <c r="BK516" s="266">
        <v>514</v>
      </c>
      <c r="BL516" s="266">
        <v>530</v>
      </c>
      <c r="BM516" s="266">
        <v>517</v>
      </c>
      <c r="BN516" s="266">
        <v>529</v>
      </c>
      <c r="BO516" s="266">
        <v>520</v>
      </c>
      <c r="BP516" s="266">
        <v>527</v>
      </c>
      <c r="BQ516" s="266">
        <v>533</v>
      </c>
      <c r="BR516" s="266">
        <v>523</v>
      </c>
      <c r="BS516" s="266">
        <v>515</v>
      </c>
      <c r="BT516" s="266">
        <v>437</v>
      </c>
      <c r="BU516" s="266">
        <v>441</v>
      </c>
      <c r="BV516" s="266">
        <v>456</v>
      </c>
      <c r="BW516" s="266">
        <v>398</v>
      </c>
      <c r="BX516" s="266">
        <v>466</v>
      </c>
      <c r="BY516" s="266">
        <v>405</v>
      </c>
      <c r="BZ516" s="266">
        <v>371</v>
      </c>
      <c r="CA516" s="266">
        <v>399</v>
      </c>
      <c r="CB516" s="266">
        <v>387</v>
      </c>
      <c r="CC516" s="266">
        <v>377</v>
      </c>
      <c r="CD516" s="266">
        <v>380</v>
      </c>
      <c r="CE516" s="266">
        <v>390</v>
      </c>
      <c r="CF516" s="266">
        <v>411</v>
      </c>
      <c r="CG516" s="266">
        <v>386</v>
      </c>
      <c r="CH516" s="266">
        <v>451</v>
      </c>
      <c r="CI516" s="266">
        <v>324</v>
      </c>
      <c r="CJ516" s="266">
        <v>321</v>
      </c>
      <c r="CK516" s="266">
        <v>293</v>
      </c>
      <c r="CL516" s="266">
        <v>284</v>
      </c>
      <c r="CM516" s="266">
        <v>244</v>
      </c>
      <c r="CN516" s="266">
        <v>202</v>
      </c>
      <c r="CO516" s="266">
        <v>198</v>
      </c>
      <c r="CP516" s="266">
        <v>207</v>
      </c>
      <c r="CQ516" s="266">
        <v>180</v>
      </c>
      <c r="CR516" s="266">
        <v>146</v>
      </c>
      <c r="CS516" s="266">
        <v>150</v>
      </c>
      <c r="CT516" s="266">
        <v>125</v>
      </c>
      <c r="CU516" s="266">
        <v>75</v>
      </c>
      <c r="CV516" s="266">
        <v>101</v>
      </c>
      <c r="CW516" s="266">
        <v>77</v>
      </c>
      <c r="CX516" s="266">
        <v>50</v>
      </c>
      <c r="CY516" s="266">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2">
      <c r="A517" s="31" t="s">
        <v>207</v>
      </c>
      <c r="B517" s="1" t="s">
        <v>719</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266">
        <v>706</v>
      </c>
      <c r="N517" s="266">
        <v>755</v>
      </c>
      <c r="O517" s="266">
        <v>813</v>
      </c>
      <c r="P517" s="266">
        <v>831</v>
      </c>
      <c r="Q517" s="266">
        <v>818</v>
      </c>
      <c r="R517" s="266">
        <v>848</v>
      </c>
      <c r="S517" s="266">
        <v>897</v>
      </c>
      <c r="T517" s="266">
        <v>878</v>
      </c>
      <c r="U517" s="266">
        <v>904</v>
      </c>
      <c r="V517" s="266">
        <v>977</v>
      </c>
      <c r="W517" s="266">
        <v>844</v>
      </c>
      <c r="X517" s="266">
        <v>896</v>
      </c>
      <c r="Y517" s="266">
        <v>860</v>
      </c>
      <c r="Z517" s="266">
        <v>855</v>
      </c>
      <c r="AA517" s="266">
        <v>861</v>
      </c>
      <c r="AB517" s="266">
        <v>863</v>
      </c>
      <c r="AC517" s="266">
        <v>782</v>
      </c>
      <c r="AD517" s="266">
        <v>801</v>
      </c>
      <c r="AE517" s="266">
        <v>805</v>
      </c>
      <c r="AF517" s="266">
        <v>781</v>
      </c>
      <c r="AG517" s="266">
        <v>805</v>
      </c>
      <c r="AH517" s="266">
        <v>809</v>
      </c>
      <c r="AI517" s="266">
        <v>867</v>
      </c>
      <c r="AJ517" s="266">
        <v>966</v>
      </c>
      <c r="AK517" s="266">
        <v>977</v>
      </c>
      <c r="AL517" s="266">
        <v>878</v>
      </c>
      <c r="AM517" s="266">
        <v>986</v>
      </c>
      <c r="AN517" s="266">
        <v>873</v>
      </c>
      <c r="AO517" s="266">
        <v>962</v>
      </c>
      <c r="AP517" s="266">
        <v>998</v>
      </c>
      <c r="AQ517" s="266">
        <v>866</v>
      </c>
      <c r="AR517" s="266">
        <v>978</v>
      </c>
      <c r="AS517" s="266">
        <v>1002</v>
      </c>
      <c r="AT517" s="266">
        <v>936</v>
      </c>
      <c r="AU517" s="266">
        <v>930</v>
      </c>
      <c r="AV517" s="266">
        <v>989</v>
      </c>
      <c r="AW517" s="266">
        <v>938</v>
      </c>
      <c r="AX517" s="266">
        <v>922</v>
      </c>
      <c r="AY517" s="266">
        <v>925</v>
      </c>
      <c r="AZ517" s="266">
        <v>964</v>
      </c>
      <c r="BA517" s="266">
        <v>1069</v>
      </c>
      <c r="BB517" s="266">
        <v>970</v>
      </c>
      <c r="BC517" s="266">
        <v>789</v>
      </c>
      <c r="BD517" s="266">
        <v>801</v>
      </c>
      <c r="BE517" s="266">
        <v>838</v>
      </c>
      <c r="BF517" s="266">
        <v>848</v>
      </c>
      <c r="BG517" s="266">
        <v>925</v>
      </c>
      <c r="BH517" s="266">
        <v>944</v>
      </c>
      <c r="BI517" s="266">
        <v>1055</v>
      </c>
      <c r="BJ517" s="266">
        <v>1063</v>
      </c>
      <c r="BK517" s="266">
        <v>994</v>
      </c>
      <c r="BL517" s="266">
        <v>971</v>
      </c>
      <c r="BM517" s="266">
        <v>1079</v>
      </c>
      <c r="BN517" s="266">
        <v>1039</v>
      </c>
      <c r="BO517" s="266">
        <v>1083</v>
      </c>
      <c r="BP517" s="266">
        <v>1054</v>
      </c>
      <c r="BQ517" s="266">
        <v>1072</v>
      </c>
      <c r="BR517" s="266">
        <v>966</v>
      </c>
      <c r="BS517" s="266">
        <v>1009</v>
      </c>
      <c r="BT517" s="266">
        <v>1016</v>
      </c>
      <c r="BU517" s="266">
        <v>943</v>
      </c>
      <c r="BV517" s="266">
        <v>908</v>
      </c>
      <c r="BW517" s="266">
        <v>903</v>
      </c>
      <c r="BX517" s="266">
        <v>843</v>
      </c>
      <c r="BY517" s="266">
        <v>825</v>
      </c>
      <c r="BZ517" s="266">
        <v>782</v>
      </c>
      <c r="CA517" s="266">
        <v>799</v>
      </c>
      <c r="CB517" s="266">
        <v>804</v>
      </c>
      <c r="CC517" s="266">
        <v>749</v>
      </c>
      <c r="CD517" s="266">
        <v>804</v>
      </c>
      <c r="CE517" s="266">
        <v>735</v>
      </c>
      <c r="CF517" s="266">
        <v>803</v>
      </c>
      <c r="CG517" s="266">
        <v>816</v>
      </c>
      <c r="CH517" s="266">
        <v>836</v>
      </c>
      <c r="CI517" s="266">
        <v>680</v>
      </c>
      <c r="CJ517" s="266">
        <v>631</v>
      </c>
      <c r="CK517" s="266">
        <v>620</v>
      </c>
      <c r="CL517" s="266">
        <v>565</v>
      </c>
      <c r="CM517" s="266">
        <v>510</v>
      </c>
      <c r="CN517" s="266">
        <v>499</v>
      </c>
      <c r="CO517" s="266">
        <v>429</v>
      </c>
      <c r="CP517" s="266">
        <v>409</v>
      </c>
      <c r="CQ517" s="266">
        <v>359</v>
      </c>
      <c r="CR517" s="266">
        <v>302</v>
      </c>
      <c r="CS517" s="266">
        <v>272</v>
      </c>
      <c r="CT517" s="266">
        <v>267</v>
      </c>
      <c r="CU517" s="266">
        <v>206</v>
      </c>
      <c r="CV517" s="266">
        <v>180</v>
      </c>
      <c r="CW517" s="266">
        <v>185</v>
      </c>
      <c r="CX517" s="266">
        <v>139</v>
      </c>
      <c r="CY517" s="266">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2">
      <c r="A518" s="31" t="s">
        <v>207</v>
      </c>
      <c r="B518" s="1" t="s">
        <v>720</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266">
        <v>880</v>
      </c>
      <c r="N518" s="266">
        <v>929</v>
      </c>
      <c r="O518" s="266">
        <v>993</v>
      </c>
      <c r="P518" s="266">
        <v>1002</v>
      </c>
      <c r="Q518" s="266">
        <v>1045</v>
      </c>
      <c r="R518" s="266">
        <v>1086</v>
      </c>
      <c r="S518" s="266">
        <v>1066</v>
      </c>
      <c r="T518" s="266">
        <v>1029</v>
      </c>
      <c r="U518" s="266">
        <v>1080</v>
      </c>
      <c r="V518" s="266">
        <v>1100</v>
      </c>
      <c r="W518" s="266">
        <v>1237</v>
      </c>
      <c r="X518" s="266">
        <v>1118</v>
      </c>
      <c r="Y518" s="266">
        <v>1227</v>
      </c>
      <c r="Z518" s="266">
        <v>1090</v>
      </c>
      <c r="AA518" s="266">
        <v>1088</v>
      </c>
      <c r="AB518" s="266">
        <v>1050</v>
      </c>
      <c r="AC518" s="266">
        <v>1108</v>
      </c>
      <c r="AD518" s="266">
        <v>1098</v>
      </c>
      <c r="AE518" s="266">
        <v>1043</v>
      </c>
      <c r="AF518" s="266">
        <v>1003</v>
      </c>
      <c r="AG518" s="266">
        <v>991</v>
      </c>
      <c r="AH518" s="266">
        <v>1005</v>
      </c>
      <c r="AI518" s="266">
        <v>1034</v>
      </c>
      <c r="AJ518" s="266">
        <v>1220</v>
      </c>
      <c r="AK518" s="266">
        <v>1073</v>
      </c>
      <c r="AL518" s="266">
        <v>1131</v>
      </c>
      <c r="AM518" s="266">
        <v>1115</v>
      </c>
      <c r="AN518" s="266">
        <v>1170</v>
      </c>
      <c r="AO518" s="266">
        <v>1121</v>
      </c>
      <c r="AP518" s="266">
        <v>1245</v>
      </c>
      <c r="AQ518" s="266">
        <v>1150</v>
      </c>
      <c r="AR518" s="266">
        <v>1137</v>
      </c>
      <c r="AS518" s="266">
        <v>1164</v>
      </c>
      <c r="AT518" s="266">
        <v>1091</v>
      </c>
      <c r="AU518" s="266">
        <v>1179</v>
      </c>
      <c r="AV518" s="266">
        <v>1125</v>
      </c>
      <c r="AW518" s="266">
        <v>1088</v>
      </c>
      <c r="AX518" s="266">
        <v>1118</v>
      </c>
      <c r="AY518" s="266">
        <v>1086</v>
      </c>
      <c r="AZ518" s="266">
        <v>1169</v>
      </c>
      <c r="BA518" s="266">
        <v>1082</v>
      </c>
      <c r="BB518" s="266">
        <v>1087</v>
      </c>
      <c r="BC518" s="266">
        <v>1040</v>
      </c>
      <c r="BD518" s="266">
        <v>1019</v>
      </c>
      <c r="BE518" s="266">
        <v>1025</v>
      </c>
      <c r="BF518" s="266">
        <v>1021</v>
      </c>
      <c r="BG518" s="266">
        <v>1030</v>
      </c>
      <c r="BH518" s="266">
        <v>1160</v>
      </c>
      <c r="BI518" s="266">
        <v>1149</v>
      </c>
      <c r="BJ518" s="266">
        <v>1223</v>
      </c>
      <c r="BK518" s="266">
        <v>1204</v>
      </c>
      <c r="BL518" s="266">
        <v>1340</v>
      </c>
      <c r="BM518" s="266">
        <v>1332</v>
      </c>
      <c r="BN518" s="266">
        <v>1281</v>
      </c>
      <c r="BO518" s="266">
        <v>1313</v>
      </c>
      <c r="BP518" s="266">
        <v>1288</v>
      </c>
      <c r="BQ518" s="266">
        <v>1307</v>
      </c>
      <c r="BR518" s="266">
        <v>1278</v>
      </c>
      <c r="BS518" s="266">
        <v>1191</v>
      </c>
      <c r="BT518" s="266">
        <v>1183</v>
      </c>
      <c r="BU518" s="266">
        <v>1154</v>
      </c>
      <c r="BV518" s="266">
        <v>1082</v>
      </c>
      <c r="BW518" s="266">
        <v>1118</v>
      </c>
      <c r="BX518" s="266">
        <v>1061</v>
      </c>
      <c r="BY518" s="266">
        <v>994</v>
      </c>
      <c r="BZ518" s="266">
        <v>894</v>
      </c>
      <c r="CA518" s="266">
        <v>1011</v>
      </c>
      <c r="CB518" s="266">
        <v>975</v>
      </c>
      <c r="CC518" s="266">
        <v>947</v>
      </c>
      <c r="CD518" s="266">
        <v>947</v>
      </c>
      <c r="CE518" s="266">
        <v>1022</v>
      </c>
      <c r="CF518" s="266">
        <v>933</v>
      </c>
      <c r="CG518" s="266">
        <v>1066</v>
      </c>
      <c r="CH518" s="266">
        <v>1025</v>
      </c>
      <c r="CI518" s="266">
        <v>806</v>
      </c>
      <c r="CJ518" s="266">
        <v>743</v>
      </c>
      <c r="CK518" s="266">
        <v>712</v>
      </c>
      <c r="CL518" s="266">
        <v>644</v>
      </c>
      <c r="CM518" s="266">
        <v>653</v>
      </c>
      <c r="CN518" s="266">
        <v>496</v>
      </c>
      <c r="CO518" s="266">
        <v>504</v>
      </c>
      <c r="CP518" s="266">
        <v>505</v>
      </c>
      <c r="CQ518" s="266">
        <v>428</v>
      </c>
      <c r="CR518" s="266">
        <v>363</v>
      </c>
      <c r="CS518" s="266">
        <v>332</v>
      </c>
      <c r="CT518" s="266">
        <v>269</v>
      </c>
      <c r="CU518" s="266">
        <v>253</v>
      </c>
      <c r="CV518" s="266">
        <v>186</v>
      </c>
      <c r="CW518" s="266">
        <v>158</v>
      </c>
      <c r="CX518" s="266">
        <v>161</v>
      </c>
      <c r="CY518" s="266">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2">
      <c r="A519" s="31" t="s">
        <v>207</v>
      </c>
      <c r="B519" s="1" t="s">
        <v>721</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266">
        <v>1892</v>
      </c>
      <c r="N519" s="266">
        <v>2008</v>
      </c>
      <c r="O519" s="266">
        <v>2091</v>
      </c>
      <c r="P519" s="266">
        <v>2099</v>
      </c>
      <c r="Q519" s="266">
        <v>2302</v>
      </c>
      <c r="R519" s="266">
        <v>2206</v>
      </c>
      <c r="S519" s="266">
        <v>2313</v>
      </c>
      <c r="T519" s="266">
        <v>2298</v>
      </c>
      <c r="U519" s="266">
        <v>2412</v>
      </c>
      <c r="V519" s="266">
        <v>2462</v>
      </c>
      <c r="W519" s="266">
        <v>2211</v>
      </c>
      <c r="X519" s="266">
        <v>2158</v>
      </c>
      <c r="Y519" s="266">
        <v>2204</v>
      </c>
      <c r="Z519" s="266">
        <v>2151</v>
      </c>
      <c r="AA519" s="266">
        <v>2075</v>
      </c>
      <c r="AB519" s="266">
        <v>1858</v>
      </c>
      <c r="AC519" s="266">
        <v>1865</v>
      </c>
      <c r="AD519" s="266">
        <v>1958</v>
      </c>
      <c r="AE519" s="266">
        <v>2257</v>
      </c>
      <c r="AF519" s="266">
        <v>3711</v>
      </c>
      <c r="AG519" s="266">
        <v>4341</v>
      </c>
      <c r="AH519" s="266">
        <v>4235</v>
      </c>
      <c r="AI519" s="266">
        <v>4171</v>
      </c>
      <c r="AJ519" s="266">
        <v>4112</v>
      </c>
      <c r="AK519" s="266">
        <v>3894</v>
      </c>
      <c r="AL519" s="266">
        <v>3806</v>
      </c>
      <c r="AM519" s="266">
        <v>4048</v>
      </c>
      <c r="AN519" s="266">
        <v>3736</v>
      </c>
      <c r="AO519" s="266">
        <v>3538</v>
      </c>
      <c r="AP519" s="266">
        <v>3485</v>
      </c>
      <c r="AQ519" s="266">
        <v>3145</v>
      </c>
      <c r="AR519" s="266">
        <v>3216</v>
      </c>
      <c r="AS519" s="266">
        <v>2929</v>
      </c>
      <c r="AT519" s="266">
        <v>2553</v>
      </c>
      <c r="AU519" s="266">
        <v>2717</v>
      </c>
      <c r="AV519" s="266">
        <v>2587</v>
      </c>
      <c r="AW519" s="266">
        <v>2511</v>
      </c>
      <c r="AX519" s="266">
        <v>2644</v>
      </c>
      <c r="AY519" s="266">
        <v>2335</v>
      </c>
      <c r="AZ519" s="266">
        <v>2321</v>
      </c>
      <c r="BA519" s="266">
        <v>2345</v>
      </c>
      <c r="BB519" s="266">
        <v>2251</v>
      </c>
      <c r="BC519" s="266">
        <v>1881</v>
      </c>
      <c r="BD519" s="266">
        <v>2008</v>
      </c>
      <c r="BE519" s="266">
        <v>1971</v>
      </c>
      <c r="BF519" s="266">
        <v>2038</v>
      </c>
      <c r="BG519" s="266">
        <v>2090</v>
      </c>
      <c r="BH519" s="266">
        <v>1986</v>
      </c>
      <c r="BI519" s="266">
        <v>2031</v>
      </c>
      <c r="BJ519" s="266">
        <v>2099</v>
      </c>
      <c r="BK519" s="266">
        <v>2072</v>
      </c>
      <c r="BL519" s="266">
        <v>2107</v>
      </c>
      <c r="BM519" s="266">
        <v>1896</v>
      </c>
      <c r="BN519" s="266">
        <v>2077</v>
      </c>
      <c r="BO519" s="266">
        <v>1989</v>
      </c>
      <c r="BP519" s="266">
        <v>2031</v>
      </c>
      <c r="BQ519" s="266">
        <v>2013</v>
      </c>
      <c r="BR519" s="266">
        <v>1942</v>
      </c>
      <c r="BS519" s="266">
        <v>2000</v>
      </c>
      <c r="BT519" s="266">
        <v>1906</v>
      </c>
      <c r="BU519" s="266">
        <v>1757</v>
      </c>
      <c r="BV519" s="266">
        <v>1830</v>
      </c>
      <c r="BW519" s="266">
        <v>1717</v>
      </c>
      <c r="BX519" s="266">
        <v>1725</v>
      </c>
      <c r="BY519" s="266">
        <v>1541</v>
      </c>
      <c r="BZ519" s="266">
        <v>1572</v>
      </c>
      <c r="CA519" s="266">
        <v>1515</v>
      </c>
      <c r="CB519" s="266">
        <v>1429</v>
      </c>
      <c r="CC519" s="266">
        <v>1391</v>
      </c>
      <c r="CD519" s="266">
        <v>1345</v>
      </c>
      <c r="CE519" s="266">
        <v>1439</v>
      </c>
      <c r="CF519" s="266">
        <v>1346</v>
      </c>
      <c r="CG519" s="266">
        <v>1313</v>
      </c>
      <c r="CH519" s="266">
        <v>1438</v>
      </c>
      <c r="CI519" s="266">
        <v>1037</v>
      </c>
      <c r="CJ519" s="266">
        <v>1012</v>
      </c>
      <c r="CK519" s="266">
        <v>950</v>
      </c>
      <c r="CL519" s="266">
        <v>839</v>
      </c>
      <c r="CM519" s="266">
        <v>755</v>
      </c>
      <c r="CN519" s="266">
        <v>679</v>
      </c>
      <c r="CO519" s="266">
        <v>672</v>
      </c>
      <c r="CP519" s="266">
        <v>631</v>
      </c>
      <c r="CQ519" s="266">
        <v>630</v>
      </c>
      <c r="CR519" s="266">
        <v>503</v>
      </c>
      <c r="CS519" s="266">
        <v>511</v>
      </c>
      <c r="CT519" s="266">
        <v>461</v>
      </c>
      <c r="CU519" s="266">
        <v>357</v>
      </c>
      <c r="CV519" s="266">
        <v>331</v>
      </c>
      <c r="CW519" s="266">
        <v>255</v>
      </c>
      <c r="CX519" s="266">
        <v>248</v>
      </c>
      <c r="CY519" s="266">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2">
      <c r="A520" s="31" t="s">
        <v>207</v>
      </c>
      <c r="B520" s="1" t="s">
        <v>722</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266">
        <v>810</v>
      </c>
      <c r="N520" s="266">
        <v>900</v>
      </c>
      <c r="O520" s="266">
        <v>937</v>
      </c>
      <c r="P520" s="266">
        <v>981</v>
      </c>
      <c r="Q520" s="266">
        <v>1044</v>
      </c>
      <c r="R520" s="266">
        <v>1064</v>
      </c>
      <c r="S520" s="266">
        <v>1058</v>
      </c>
      <c r="T520" s="266">
        <v>1034</v>
      </c>
      <c r="U520" s="266">
        <v>1137</v>
      </c>
      <c r="V520" s="266">
        <v>1188</v>
      </c>
      <c r="W520" s="266">
        <v>1139</v>
      </c>
      <c r="X520" s="266">
        <v>1070</v>
      </c>
      <c r="Y520" s="266">
        <v>1176</v>
      </c>
      <c r="Z520" s="266">
        <v>1176</v>
      </c>
      <c r="AA520" s="266">
        <v>1145</v>
      </c>
      <c r="AB520" s="266">
        <v>1061</v>
      </c>
      <c r="AC520" s="266">
        <v>1059</v>
      </c>
      <c r="AD520" s="266">
        <v>1063</v>
      </c>
      <c r="AE520" s="266">
        <v>1064</v>
      </c>
      <c r="AF520" s="266">
        <v>975</v>
      </c>
      <c r="AG520" s="266">
        <v>960</v>
      </c>
      <c r="AH520" s="266">
        <v>978</v>
      </c>
      <c r="AI520" s="266">
        <v>994</v>
      </c>
      <c r="AJ520" s="266">
        <v>1045</v>
      </c>
      <c r="AK520" s="266">
        <v>1098</v>
      </c>
      <c r="AL520" s="266">
        <v>990</v>
      </c>
      <c r="AM520" s="266">
        <v>1053</v>
      </c>
      <c r="AN520" s="266">
        <v>974</v>
      </c>
      <c r="AO520" s="266">
        <v>1043</v>
      </c>
      <c r="AP520" s="266">
        <v>1013</v>
      </c>
      <c r="AQ520" s="266">
        <v>998</v>
      </c>
      <c r="AR520" s="266">
        <v>1087</v>
      </c>
      <c r="AS520" s="266">
        <v>1043</v>
      </c>
      <c r="AT520" s="266">
        <v>1063</v>
      </c>
      <c r="AU520" s="266">
        <v>1019</v>
      </c>
      <c r="AV520" s="266">
        <v>1015</v>
      </c>
      <c r="AW520" s="266">
        <v>937</v>
      </c>
      <c r="AX520" s="266">
        <v>943</v>
      </c>
      <c r="AY520" s="266">
        <v>1002</v>
      </c>
      <c r="AZ520" s="266">
        <v>962</v>
      </c>
      <c r="BA520" s="266">
        <v>946</v>
      </c>
      <c r="BB520" s="266">
        <v>944</v>
      </c>
      <c r="BC520" s="266">
        <v>887</v>
      </c>
      <c r="BD520" s="266">
        <v>885</v>
      </c>
      <c r="BE520" s="266">
        <v>1027</v>
      </c>
      <c r="BF520" s="266">
        <v>990</v>
      </c>
      <c r="BG520" s="266">
        <v>1005</v>
      </c>
      <c r="BH520" s="266">
        <v>1111</v>
      </c>
      <c r="BI520" s="266">
        <v>1169</v>
      </c>
      <c r="BJ520" s="266">
        <v>1303</v>
      </c>
      <c r="BK520" s="266">
        <v>1194</v>
      </c>
      <c r="BL520" s="266">
        <v>1221</v>
      </c>
      <c r="BM520" s="266">
        <v>1233</v>
      </c>
      <c r="BN520" s="266">
        <v>1377</v>
      </c>
      <c r="BO520" s="266">
        <v>1366</v>
      </c>
      <c r="BP520" s="266">
        <v>1427</v>
      </c>
      <c r="BQ520" s="266">
        <v>1498</v>
      </c>
      <c r="BR520" s="266">
        <v>1383</v>
      </c>
      <c r="BS520" s="266">
        <v>1435</v>
      </c>
      <c r="BT520" s="266">
        <v>1330</v>
      </c>
      <c r="BU520" s="266">
        <v>1297</v>
      </c>
      <c r="BV520" s="266">
        <v>1239</v>
      </c>
      <c r="BW520" s="266">
        <v>1307</v>
      </c>
      <c r="BX520" s="266">
        <v>1246</v>
      </c>
      <c r="BY520" s="266">
        <v>1166</v>
      </c>
      <c r="BZ520" s="266">
        <v>1299</v>
      </c>
      <c r="CA520" s="266">
        <v>1250</v>
      </c>
      <c r="CB520" s="266">
        <v>1230</v>
      </c>
      <c r="CC520" s="266">
        <v>1222</v>
      </c>
      <c r="CD520" s="266">
        <v>1130</v>
      </c>
      <c r="CE520" s="266">
        <v>1210</v>
      </c>
      <c r="CF520" s="266">
        <v>1224</v>
      </c>
      <c r="CG520" s="266">
        <v>1274</v>
      </c>
      <c r="CH520" s="266">
        <v>1298</v>
      </c>
      <c r="CI520" s="266">
        <v>1070</v>
      </c>
      <c r="CJ520" s="266">
        <v>994</v>
      </c>
      <c r="CK520" s="266">
        <v>938</v>
      </c>
      <c r="CL520" s="266">
        <v>885</v>
      </c>
      <c r="CM520" s="266">
        <v>858</v>
      </c>
      <c r="CN520" s="266">
        <v>694</v>
      </c>
      <c r="CO520" s="266">
        <v>652</v>
      </c>
      <c r="CP520" s="266">
        <v>630</v>
      </c>
      <c r="CQ520" s="266">
        <v>528</v>
      </c>
      <c r="CR520" s="266">
        <v>539</v>
      </c>
      <c r="CS520" s="266">
        <v>456</v>
      </c>
      <c r="CT520" s="266">
        <v>425</v>
      </c>
      <c r="CU520" s="266">
        <v>353</v>
      </c>
      <c r="CV520" s="266">
        <v>308</v>
      </c>
      <c r="CW520" s="266">
        <v>255</v>
      </c>
      <c r="CX520" s="266">
        <v>192</v>
      </c>
      <c r="CY520" s="266">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2">
      <c r="A521" s="31" t="s">
        <v>207</v>
      </c>
      <c r="B521" s="1" t="s">
        <v>723</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266">
        <v>260</v>
      </c>
      <c r="N521" s="266">
        <v>280</v>
      </c>
      <c r="O521" s="266">
        <v>295</v>
      </c>
      <c r="P521" s="266">
        <v>340</v>
      </c>
      <c r="Q521" s="266">
        <v>329</v>
      </c>
      <c r="R521" s="266">
        <v>361</v>
      </c>
      <c r="S521" s="266">
        <v>307</v>
      </c>
      <c r="T521" s="266">
        <v>350</v>
      </c>
      <c r="U521" s="266">
        <v>369</v>
      </c>
      <c r="V521" s="266">
        <v>417</v>
      </c>
      <c r="W521" s="266">
        <v>365</v>
      </c>
      <c r="X521" s="266">
        <v>358</v>
      </c>
      <c r="Y521" s="266">
        <v>337</v>
      </c>
      <c r="Z521" s="266">
        <v>373</v>
      </c>
      <c r="AA521" s="266">
        <v>383</v>
      </c>
      <c r="AB521" s="266">
        <v>375</v>
      </c>
      <c r="AC521" s="266">
        <v>389</v>
      </c>
      <c r="AD521" s="266">
        <v>384</v>
      </c>
      <c r="AE521" s="266">
        <v>387</v>
      </c>
      <c r="AF521" s="266">
        <v>771</v>
      </c>
      <c r="AG521" s="266">
        <v>874</v>
      </c>
      <c r="AH521" s="266">
        <v>907</v>
      </c>
      <c r="AI521" s="266">
        <v>761</v>
      </c>
      <c r="AJ521" s="266">
        <v>624</v>
      </c>
      <c r="AK521" s="266">
        <v>594</v>
      </c>
      <c r="AL521" s="266">
        <v>543</v>
      </c>
      <c r="AM521" s="266">
        <v>636</v>
      </c>
      <c r="AN521" s="266">
        <v>682</v>
      </c>
      <c r="AO521" s="266">
        <v>587</v>
      </c>
      <c r="AP521" s="266">
        <v>469</v>
      </c>
      <c r="AQ521" s="266">
        <v>395</v>
      </c>
      <c r="AR521" s="266">
        <v>247</v>
      </c>
      <c r="AS521" s="266">
        <v>190</v>
      </c>
      <c r="AT521" s="266">
        <v>244</v>
      </c>
      <c r="AU521" s="266">
        <v>174</v>
      </c>
      <c r="AV521" s="266">
        <v>277</v>
      </c>
      <c r="AW521" s="266">
        <v>205</v>
      </c>
      <c r="AX521" s="266">
        <v>309</v>
      </c>
      <c r="AY521" s="266">
        <v>296</v>
      </c>
      <c r="AZ521" s="266">
        <v>292</v>
      </c>
      <c r="BA521" s="266">
        <v>292</v>
      </c>
      <c r="BB521" s="266">
        <v>315</v>
      </c>
      <c r="BC521" s="266">
        <v>272</v>
      </c>
      <c r="BD521" s="266">
        <v>343</v>
      </c>
      <c r="BE521" s="266">
        <v>326</v>
      </c>
      <c r="BF521" s="266">
        <v>323</v>
      </c>
      <c r="BG521" s="266">
        <v>319</v>
      </c>
      <c r="BH521" s="266">
        <v>321</v>
      </c>
      <c r="BI521" s="266">
        <v>396</v>
      </c>
      <c r="BJ521" s="266">
        <v>399</v>
      </c>
      <c r="BK521" s="266">
        <v>436</v>
      </c>
      <c r="BL521" s="266">
        <v>462</v>
      </c>
      <c r="BM521" s="266">
        <v>475</v>
      </c>
      <c r="BN521" s="266">
        <v>502</v>
      </c>
      <c r="BO521" s="266">
        <v>476</v>
      </c>
      <c r="BP521" s="266">
        <v>485</v>
      </c>
      <c r="BQ521" s="266">
        <v>531</v>
      </c>
      <c r="BR521" s="266">
        <v>518</v>
      </c>
      <c r="BS521" s="266">
        <v>488</v>
      </c>
      <c r="BT521" s="266">
        <v>470</v>
      </c>
      <c r="BU521" s="266">
        <v>513</v>
      </c>
      <c r="BV521" s="266">
        <v>511</v>
      </c>
      <c r="BW521" s="266">
        <v>509</v>
      </c>
      <c r="BX521" s="266">
        <v>503</v>
      </c>
      <c r="BY521" s="266">
        <v>506</v>
      </c>
      <c r="BZ521" s="266">
        <v>507</v>
      </c>
      <c r="CA521" s="266">
        <v>471</v>
      </c>
      <c r="CB521" s="266">
        <v>469</v>
      </c>
      <c r="CC521" s="266">
        <v>470</v>
      </c>
      <c r="CD521" s="266">
        <v>492</v>
      </c>
      <c r="CE521" s="266">
        <v>494</v>
      </c>
      <c r="CF521" s="266">
        <v>562</v>
      </c>
      <c r="CG521" s="266">
        <v>570</v>
      </c>
      <c r="CH521" s="266">
        <v>524</v>
      </c>
      <c r="CI521" s="266">
        <v>398</v>
      </c>
      <c r="CJ521" s="266">
        <v>418</v>
      </c>
      <c r="CK521" s="266">
        <v>406</v>
      </c>
      <c r="CL521" s="266">
        <v>376</v>
      </c>
      <c r="CM521" s="266">
        <v>321</v>
      </c>
      <c r="CN521" s="266">
        <v>233</v>
      </c>
      <c r="CO521" s="266">
        <v>296</v>
      </c>
      <c r="CP521" s="266">
        <v>231</v>
      </c>
      <c r="CQ521" s="266">
        <v>216</v>
      </c>
      <c r="CR521" s="266">
        <v>203</v>
      </c>
      <c r="CS521" s="266">
        <v>166</v>
      </c>
      <c r="CT521" s="266">
        <v>158</v>
      </c>
      <c r="CU521" s="266">
        <v>161</v>
      </c>
      <c r="CV521" s="266">
        <v>137</v>
      </c>
      <c r="CW521" s="266">
        <v>123</v>
      </c>
      <c r="CX521" s="266">
        <v>69</v>
      </c>
      <c r="CY521" s="266">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2">
      <c r="A522" s="31" t="s">
        <v>207</v>
      </c>
      <c r="B522" s="1" t="s">
        <v>724</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266">
        <v>514</v>
      </c>
      <c r="N522" s="266">
        <v>530</v>
      </c>
      <c r="O522" s="266">
        <v>561</v>
      </c>
      <c r="P522" s="266">
        <v>549</v>
      </c>
      <c r="Q522" s="266">
        <v>577</v>
      </c>
      <c r="R522" s="266">
        <v>626</v>
      </c>
      <c r="S522" s="266">
        <v>584</v>
      </c>
      <c r="T522" s="266">
        <v>646</v>
      </c>
      <c r="U522" s="266">
        <v>655</v>
      </c>
      <c r="V522" s="266">
        <v>644</v>
      </c>
      <c r="W522" s="266">
        <v>663</v>
      </c>
      <c r="X522" s="266">
        <v>608</v>
      </c>
      <c r="Y522" s="266">
        <v>632</v>
      </c>
      <c r="Z522" s="266">
        <v>633</v>
      </c>
      <c r="AA522" s="266">
        <v>670</v>
      </c>
      <c r="AB522" s="266">
        <v>640</v>
      </c>
      <c r="AC522" s="266">
        <v>646</v>
      </c>
      <c r="AD522" s="266">
        <v>558</v>
      </c>
      <c r="AE522" s="266">
        <v>588</v>
      </c>
      <c r="AF522" s="266">
        <v>548</v>
      </c>
      <c r="AG522" s="266">
        <v>588</v>
      </c>
      <c r="AH522" s="266">
        <v>559</v>
      </c>
      <c r="AI522" s="266">
        <v>575</v>
      </c>
      <c r="AJ522" s="266">
        <v>656</v>
      </c>
      <c r="AK522" s="266">
        <v>605</v>
      </c>
      <c r="AL522" s="266">
        <v>604</v>
      </c>
      <c r="AM522" s="266">
        <v>593</v>
      </c>
      <c r="AN522" s="266">
        <v>583</v>
      </c>
      <c r="AO522" s="266">
        <v>587</v>
      </c>
      <c r="AP522" s="266">
        <v>609</v>
      </c>
      <c r="AQ522" s="266">
        <v>613</v>
      </c>
      <c r="AR522" s="266">
        <v>618</v>
      </c>
      <c r="AS522" s="266">
        <v>638</v>
      </c>
      <c r="AT522" s="266">
        <v>599</v>
      </c>
      <c r="AU522" s="266">
        <v>536</v>
      </c>
      <c r="AV522" s="266">
        <v>551</v>
      </c>
      <c r="AW522" s="266">
        <v>566</v>
      </c>
      <c r="AX522" s="266">
        <v>583</v>
      </c>
      <c r="AY522" s="266">
        <v>564</v>
      </c>
      <c r="AZ522" s="266">
        <v>578</v>
      </c>
      <c r="BA522" s="266">
        <v>630</v>
      </c>
      <c r="BB522" s="266">
        <v>584</v>
      </c>
      <c r="BC522" s="266">
        <v>504</v>
      </c>
      <c r="BD522" s="266">
        <v>542</v>
      </c>
      <c r="BE522" s="266">
        <v>576</v>
      </c>
      <c r="BF522" s="266">
        <v>566</v>
      </c>
      <c r="BG522" s="266">
        <v>545</v>
      </c>
      <c r="BH522" s="266">
        <v>646</v>
      </c>
      <c r="BI522" s="266">
        <v>792</v>
      </c>
      <c r="BJ522" s="266">
        <v>770</v>
      </c>
      <c r="BK522" s="266">
        <v>749</v>
      </c>
      <c r="BL522" s="266">
        <v>824</v>
      </c>
      <c r="BM522" s="266">
        <v>760</v>
      </c>
      <c r="BN522" s="266">
        <v>806</v>
      </c>
      <c r="BO522" s="266">
        <v>882</v>
      </c>
      <c r="BP522" s="266">
        <v>883</v>
      </c>
      <c r="BQ522" s="266">
        <v>893</v>
      </c>
      <c r="BR522" s="266">
        <v>847</v>
      </c>
      <c r="BS522" s="266">
        <v>874</v>
      </c>
      <c r="BT522" s="266">
        <v>855</v>
      </c>
      <c r="BU522" s="266">
        <v>874</v>
      </c>
      <c r="BV522" s="266">
        <v>835</v>
      </c>
      <c r="BW522" s="266">
        <v>780</v>
      </c>
      <c r="BX522" s="266">
        <v>824</v>
      </c>
      <c r="BY522" s="266">
        <v>789</v>
      </c>
      <c r="BZ522" s="266">
        <v>739</v>
      </c>
      <c r="CA522" s="266">
        <v>813</v>
      </c>
      <c r="CB522" s="266">
        <v>775</v>
      </c>
      <c r="CC522" s="266">
        <v>744</v>
      </c>
      <c r="CD522" s="266">
        <v>780</v>
      </c>
      <c r="CE522" s="266">
        <v>768</v>
      </c>
      <c r="CF522" s="266">
        <v>888</v>
      </c>
      <c r="CG522" s="266">
        <v>950</v>
      </c>
      <c r="CH522" s="266">
        <v>922</v>
      </c>
      <c r="CI522" s="266">
        <v>726</v>
      </c>
      <c r="CJ522" s="266">
        <v>692</v>
      </c>
      <c r="CK522" s="266">
        <v>669</v>
      </c>
      <c r="CL522" s="266">
        <v>636</v>
      </c>
      <c r="CM522" s="266">
        <v>582</v>
      </c>
      <c r="CN522" s="266">
        <v>493</v>
      </c>
      <c r="CO522" s="266">
        <v>454</v>
      </c>
      <c r="CP522" s="266">
        <v>444</v>
      </c>
      <c r="CQ522" s="266">
        <v>390</v>
      </c>
      <c r="CR522" s="266">
        <v>364</v>
      </c>
      <c r="CS522" s="266">
        <v>354</v>
      </c>
      <c r="CT522" s="266">
        <v>301</v>
      </c>
      <c r="CU522" s="266">
        <v>299</v>
      </c>
      <c r="CV522" s="266">
        <v>272</v>
      </c>
      <c r="CW522" s="266">
        <v>190</v>
      </c>
      <c r="CX522" s="266">
        <v>172</v>
      </c>
      <c r="CY522" s="266">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2">
      <c r="A523" s="31" t="s">
        <v>207</v>
      </c>
      <c r="B523" s="1" t="s">
        <v>725</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266">
        <v>515</v>
      </c>
      <c r="N523" s="266">
        <v>482</v>
      </c>
      <c r="O523" s="266">
        <v>468</v>
      </c>
      <c r="P523" s="266">
        <v>544</v>
      </c>
      <c r="Q523" s="266">
        <v>517</v>
      </c>
      <c r="R523" s="266">
        <v>524</v>
      </c>
      <c r="S523" s="266">
        <v>552</v>
      </c>
      <c r="T523" s="266">
        <v>567</v>
      </c>
      <c r="U523" s="266">
        <v>557</v>
      </c>
      <c r="V523" s="266">
        <v>602</v>
      </c>
      <c r="W523" s="266">
        <v>629</v>
      </c>
      <c r="X523" s="266">
        <v>558</v>
      </c>
      <c r="Y523" s="266">
        <v>617</v>
      </c>
      <c r="Z523" s="266">
        <v>581</v>
      </c>
      <c r="AA523" s="266">
        <v>542</v>
      </c>
      <c r="AB523" s="266">
        <v>581</v>
      </c>
      <c r="AC523" s="266">
        <v>571</v>
      </c>
      <c r="AD523" s="266">
        <v>586</v>
      </c>
      <c r="AE523" s="266">
        <v>584</v>
      </c>
      <c r="AF523" s="266">
        <v>509</v>
      </c>
      <c r="AG523" s="266">
        <v>485</v>
      </c>
      <c r="AH523" s="266">
        <v>512</v>
      </c>
      <c r="AI523" s="266">
        <v>570</v>
      </c>
      <c r="AJ523" s="266">
        <v>548</v>
      </c>
      <c r="AK523" s="266">
        <v>585</v>
      </c>
      <c r="AL523" s="266">
        <v>506</v>
      </c>
      <c r="AM523" s="266">
        <v>600</v>
      </c>
      <c r="AN523" s="266">
        <v>555</v>
      </c>
      <c r="AO523" s="266">
        <v>584</v>
      </c>
      <c r="AP523" s="266">
        <v>553</v>
      </c>
      <c r="AQ523" s="266">
        <v>555</v>
      </c>
      <c r="AR523" s="266">
        <v>529</v>
      </c>
      <c r="AS523" s="266">
        <v>512</v>
      </c>
      <c r="AT523" s="266">
        <v>536</v>
      </c>
      <c r="AU523" s="266">
        <v>482</v>
      </c>
      <c r="AV523" s="266">
        <v>424</v>
      </c>
      <c r="AW523" s="266">
        <v>488</v>
      </c>
      <c r="AX523" s="266">
        <v>430</v>
      </c>
      <c r="AY523" s="266">
        <v>450</v>
      </c>
      <c r="AZ523" s="266">
        <v>442</v>
      </c>
      <c r="BA523" s="266">
        <v>484</v>
      </c>
      <c r="BB523" s="266">
        <v>471</v>
      </c>
      <c r="BC523" s="266">
        <v>382</v>
      </c>
      <c r="BD523" s="266">
        <v>424</v>
      </c>
      <c r="BE523" s="266">
        <v>497</v>
      </c>
      <c r="BF523" s="266">
        <v>498</v>
      </c>
      <c r="BG523" s="266">
        <v>537</v>
      </c>
      <c r="BH523" s="266">
        <v>512</v>
      </c>
      <c r="BI523" s="266">
        <v>633</v>
      </c>
      <c r="BJ523" s="266">
        <v>614</v>
      </c>
      <c r="BK523" s="266">
        <v>618</v>
      </c>
      <c r="BL523" s="266">
        <v>665</v>
      </c>
      <c r="BM523" s="266">
        <v>643</v>
      </c>
      <c r="BN523" s="266">
        <v>712</v>
      </c>
      <c r="BO523" s="266">
        <v>658</v>
      </c>
      <c r="BP523" s="266">
        <v>751</v>
      </c>
      <c r="BQ523" s="266">
        <v>729</v>
      </c>
      <c r="BR523" s="266">
        <v>702</v>
      </c>
      <c r="BS523" s="266">
        <v>698</v>
      </c>
      <c r="BT523" s="266">
        <v>659</v>
      </c>
      <c r="BU523" s="266">
        <v>748</v>
      </c>
      <c r="BV523" s="266">
        <v>657</v>
      </c>
      <c r="BW523" s="266">
        <v>610</v>
      </c>
      <c r="BX523" s="266">
        <v>617</v>
      </c>
      <c r="BY523" s="266">
        <v>596</v>
      </c>
      <c r="BZ523" s="266">
        <v>645</v>
      </c>
      <c r="CA523" s="266">
        <v>590</v>
      </c>
      <c r="CB523" s="266">
        <v>615</v>
      </c>
      <c r="CC523" s="266">
        <v>587</v>
      </c>
      <c r="CD523" s="266">
        <v>585</v>
      </c>
      <c r="CE523" s="266">
        <v>654</v>
      </c>
      <c r="CF523" s="266">
        <v>723</v>
      </c>
      <c r="CG523" s="266">
        <v>698</v>
      </c>
      <c r="CH523" s="266">
        <v>744</v>
      </c>
      <c r="CI523" s="266">
        <v>486</v>
      </c>
      <c r="CJ523" s="266">
        <v>483</v>
      </c>
      <c r="CK523" s="266">
        <v>505</v>
      </c>
      <c r="CL523" s="266">
        <v>471</v>
      </c>
      <c r="CM523" s="266">
        <v>397</v>
      </c>
      <c r="CN523" s="266">
        <v>386</v>
      </c>
      <c r="CO523" s="266">
        <v>331</v>
      </c>
      <c r="CP523" s="266">
        <v>307</v>
      </c>
      <c r="CQ523" s="266">
        <v>298</v>
      </c>
      <c r="CR523" s="266">
        <v>276</v>
      </c>
      <c r="CS523" s="266">
        <v>223</v>
      </c>
      <c r="CT523" s="266">
        <v>200</v>
      </c>
      <c r="CU523" s="266">
        <v>175</v>
      </c>
      <c r="CV523" s="266">
        <v>155</v>
      </c>
      <c r="CW523" s="266">
        <v>126</v>
      </c>
      <c r="CX523" s="266">
        <v>114</v>
      </c>
      <c r="CY523" s="266">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2">
      <c r="A524" s="31" t="s">
        <v>207</v>
      </c>
      <c r="B524" s="1" t="s">
        <v>726</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266">
        <v>704</v>
      </c>
      <c r="N524" s="266">
        <v>775</v>
      </c>
      <c r="O524" s="266">
        <v>820</v>
      </c>
      <c r="P524" s="266">
        <v>871</v>
      </c>
      <c r="Q524" s="266">
        <v>889</v>
      </c>
      <c r="R524" s="266">
        <v>886</v>
      </c>
      <c r="S524" s="266">
        <v>928</v>
      </c>
      <c r="T524" s="266">
        <v>917</v>
      </c>
      <c r="U524" s="266">
        <v>997</v>
      </c>
      <c r="V524" s="266">
        <v>969</v>
      </c>
      <c r="W524" s="266">
        <v>1046</v>
      </c>
      <c r="X524" s="266">
        <v>977</v>
      </c>
      <c r="Y524" s="266">
        <v>1054</v>
      </c>
      <c r="Z524" s="266">
        <v>991</v>
      </c>
      <c r="AA524" s="266">
        <v>903</v>
      </c>
      <c r="AB524" s="266">
        <v>947</v>
      </c>
      <c r="AC524" s="266">
        <v>901</v>
      </c>
      <c r="AD524" s="266">
        <v>827</v>
      </c>
      <c r="AE524" s="266">
        <v>816</v>
      </c>
      <c r="AF524" s="266">
        <v>844</v>
      </c>
      <c r="AG524" s="266">
        <v>772</v>
      </c>
      <c r="AH524" s="266">
        <v>876</v>
      </c>
      <c r="AI524" s="266">
        <v>839</v>
      </c>
      <c r="AJ524" s="266">
        <v>892</v>
      </c>
      <c r="AK524" s="266">
        <v>893</v>
      </c>
      <c r="AL524" s="266">
        <v>873</v>
      </c>
      <c r="AM524" s="266">
        <v>976</v>
      </c>
      <c r="AN524" s="266">
        <v>885</v>
      </c>
      <c r="AO524" s="266">
        <v>1032</v>
      </c>
      <c r="AP524" s="266">
        <v>978</v>
      </c>
      <c r="AQ524" s="266">
        <v>976</v>
      </c>
      <c r="AR524" s="266">
        <v>992</v>
      </c>
      <c r="AS524" s="266">
        <v>1066</v>
      </c>
      <c r="AT524" s="266">
        <v>984</v>
      </c>
      <c r="AU524" s="266">
        <v>935</v>
      </c>
      <c r="AV524" s="266">
        <v>942</v>
      </c>
      <c r="AW524" s="266">
        <v>893</v>
      </c>
      <c r="AX524" s="266">
        <v>908</v>
      </c>
      <c r="AY524" s="266">
        <v>896</v>
      </c>
      <c r="AZ524" s="266">
        <v>936</v>
      </c>
      <c r="BA524" s="266">
        <v>856</v>
      </c>
      <c r="BB524" s="266">
        <v>832</v>
      </c>
      <c r="BC524" s="266">
        <v>868</v>
      </c>
      <c r="BD524" s="266">
        <v>773</v>
      </c>
      <c r="BE524" s="266">
        <v>829</v>
      </c>
      <c r="BF524" s="266">
        <v>862</v>
      </c>
      <c r="BG524" s="266">
        <v>907</v>
      </c>
      <c r="BH524" s="266">
        <v>959</v>
      </c>
      <c r="BI524" s="266">
        <v>1155</v>
      </c>
      <c r="BJ524" s="266">
        <v>1148</v>
      </c>
      <c r="BK524" s="266">
        <v>1095</v>
      </c>
      <c r="BL524" s="266">
        <v>1158</v>
      </c>
      <c r="BM524" s="266">
        <v>1150</v>
      </c>
      <c r="BN524" s="266">
        <v>1089</v>
      </c>
      <c r="BO524" s="266">
        <v>1116</v>
      </c>
      <c r="BP524" s="266">
        <v>1146</v>
      </c>
      <c r="BQ524" s="266">
        <v>1181</v>
      </c>
      <c r="BR524" s="266">
        <v>1045</v>
      </c>
      <c r="BS524" s="266">
        <v>1097</v>
      </c>
      <c r="BT524" s="266">
        <v>1068</v>
      </c>
      <c r="BU524" s="266">
        <v>996</v>
      </c>
      <c r="BV524" s="266">
        <v>1037</v>
      </c>
      <c r="BW524" s="266">
        <v>939</v>
      </c>
      <c r="BX524" s="266">
        <v>891</v>
      </c>
      <c r="BY524" s="266">
        <v>898</v>
      </c>
      <c r="BZ524" s="266">
        <v>835</v>
      </c>
      <c r="CA524" s="266">
        <v>829</v>
      </c>
      <c r="CB524" s="266">
        <v>859</v>
      </c>
      <c r="CC524" s="266">
        <v>857</v>
      </c>
      <c r="CD524" s="266">
        <v>897</v>
      </c>
      <c r="CE524" s="266">
        <v>869</v>
      </c>
      <c r="CF524" s="266">
        <v>949</v>
      </c>
      <c r="CG524" s="266">
        <v>972</v>
      </c>
      <c r="CH524" s="266">
        <v>1054</v>
      </c>
      <c r="CI524" s="266">
        <v>707</v>
      </c>
      <c r="CJ524" s="266">
        <v>694</v>
      </c>
      <c r="CK524" s="266">
        <v>749</v>
      </c>
      <c r="CL524" s="266">
        <v>658</v>
      </c>
      <c r="CM524" s="266">
        <v>548</v>
      </c>
      <c r="CN524" s="266">
        <v>485</v>
      </c>
      <c r="CO524" s="266">
        <v>493</v>
      </c>
      <c r="CP524" s="266">
        <v>447</v>
      </c>
      <c r="CQ524" s="266">
        <v>413</v>
      </c>
      <c r="CR524" s="266">
        <v>350</v>
      </c>
      <c r="CS524" s="266">
        <v>302</v>
      </c>
      <c r="CT524" s="266">
        <v>273</v>
      </c>
      <c r="CU524" s="266">
        <v>229</v>
      </c>
      <c r="CV524" s="266">
        <v>200</v>
      </c>
      <c r="CW524" s="266">
        <v>196</v>
      </c>
      <c r="CX524" s="266">
        <v>160</v>
      </c>
      <c r="CY524" s="266">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2">
      <c r="A525" s="31" t="s">
        <v>207</v>
      </c>
      <c r="B525" s="1" t="s">
        <v>727</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266">
        <v>547</v>
      </c>
      <c r="N525" s="266">
        <v>548</v>
      </c>
      <c r="O525" s="266">
        <v>606</v>
      </c>
      <c r="P525" s="266">
        <v>567</v>
      </c>
      <c r="Q525" s="266">
        <v>639</v>
      </c>
      <c r="R525" s="266">
        <v>628</v>
      </c>
      <c r="S525" s="266">
        <v>714</v>
      </c>
      <c r="T525" s="266">
        <v>650</v>
      </c>
      <c r="U525" s="266">
        <v>677</v>
      </c>
      <c r="V525" s="266">
        <v>696</v>
      </c>
      <c r="W525" s="266">
        <v>750</v>
      </c>
      <c r="X525" s="266">
        <v>724</v>
      </c>
      <c r="Y525" s="266">
        <v>688</v>
      </c>
      <c r="Z525" s="266">
        <v>725</v>
      </c>
      <c r="AA525" s="266">
        <v>737</v>
      </c>
      <c r="AB525" s="266">
        <v>653</v>
      </c>
      <c r="AC525" s="266">
        <v>663</v>
      </c>
      <c r="AD525" s="266">
        <v>672</v>
      </c>
      <c r="AE525" s="266">
        <v>716</v>
      </c>
      <c r="AF525" s="266">
        <v>930</v>
      </c>
      <c r="AG525" s="266">
        <v>1050</v>
      </c>
      <c r="AH525" s="266">
        <v>1094</v>
      </c>
      <c r="AI525" s="266">
        <v>1094</v>
      </c>
      <c r="AJ525" s="266">
        <v>990</v>
      </c>
      <c r="AK525" s="266">
        <v>992</v>
      </c>
      <c r="AL525" s="266">
        <v>952</v>
      </c>
      <c r="AM525" s="266">
        <v>1065</v>
      </c>
      <c r="AN525" s="266">
        <v>951</v>
      </c>
      <c r="AO525" s="266">
        <v>789</v>
      </c>
      <c r="AP525" s="266">
        <v>863</v>
      </c>
      <c r="AQ525" s="266">
        <v>834</v>
      </c>
      <c r="AR525" s="266">
        <v>780</v>
      </c>
      <c r="AS525" s="266">
        <v>726</v>
      </c>
      <c r="AT525" s="266">
        <v>685</v>
      </c>
      <c r="AU525" s="266">
        <v>640</v>
      </c>
      <c r="AV525" s="266">
        <v>676</v>
      </c>
      <c r="AW525" s="266">
        <v>608</v>
      </c>
      <c r="AX525" s="266">
        <v>610</v>
      </c>
      <c r="AY525" s="266">
        <v>650</v>
      </c>
      <c r="AZ525" s="266">
        <v>664</v>
      </c>
      <c r="BA525" s="266">
        <v>649</v>
      </c>
      <c r="BB525" s="266">
        <v>607</v>
      </c>
      <c r="BC525" s="266">
        <v>573</v>
      </c>
      <c r="BD525" s="266">
        <v>559</v>
      </c>
      <c r="BE525" s="266">
        <v>552</v>
      </c>
      <c r="BF525" s="266">
        <v>609</v>
      </c>
      <c r="BG525" s="266">
        <v>637</v>
      </c>
      <c r="BH525" s="266">
        <v>720</v>
      </c>
      <c r="BI525" s="266">
        <v>728</v>
      </c>
      <c r="BJ525" s="266">
        <v>800</v>
      </c>
      <c r="BK525" s="266">
        <v>747</v>
      </c>
      <c r="BL525" s="266">
        <v>718</v>
      </c>
      <c r="BM525" s="266">
        <v>798</v>
      </c>
      <c r="BN525" s="266">
        <v>772</v>
      </c>
      <c r="BO525" s="266">
        <v>815</v>
      </c>
      <c r="BP525" s="266">
        <v>843</v>
      </c>
      <c r="BQ525" s="266">
        <v>845</v>
      </c>
      <c r="BR525" s="266">
        <v>891</v>
      </c>
      <c r="BS525" s="266">
        <v>848</v>
      </c>
      <c r="BT525" s="266">
        <v>849</v>
      </c>
      <c r="BU525" s="266">
        <v>756</v>
      </c>
      <c r="BV525" s="266">
        <v>771</v>
      </c>
      <c r="BW525" s="266">
        <v>853</v>
      </c>
      <c r="BX525" s="266">
        <v>795</v>
      </c>
      <c r="BY525" s="266">
        <v>727</v>
      </c>
      <c r="BZ525" s="266">
        <v>732</v>
      </c>
      <c r="CA525" s="266">
        <v>728</v>
      </c>
      <c r="CB525" s="266">
        <v>736</v>
      </c>
      <c r="CC525" s="266">
        <v>694</v>
      </c>
      <c r="CD525" s="266">
        <v>717</v>
      </c>
      <c r="CE525" s="266">
        <v>732</v>
      </c>
      <c r="CF525" s="266">
        <v>816</v>
      </c>
      <c r="CG525" s="266">
        <v>823</v>
      </c>
      <c r="CH525" s="266">
        <v>836</v>
      </c>
      <c r="CI525" s="266">
        <v>682</v>
      </c>
      <c r="CJ525" s="266">
        <v>609</v>
      </c>
      <c r="CK525" s="266">
        <v>586</v>
      </c>
      <c r="CL525" s="266">
        <v>600</v>
      </c>
      <c r="CM525" s="266">
        <v>498</v>
      </c>
      <c r="CN525" s="266">
        <v>380</v>
      </c>
      <c r="CO525" s="266">
        <v>400</v>
      </c>
      <c r="CP525" s="266">
        <v>397</v>
      </c>
      <c r="CQ525" s="266">
        <v>367</v>
      </c>
      <c r="CR525" s="266">
        <v>332</v>
      </c>
      <c r="CS525" s="266">
        <v>272</v>
      </c>
      <c r="CT525" s="266">
        <v>258</v>
      </c>
      <c r="CU525" s="266">
        <v>237</v>
      </c>
      <c r="CV525" s="266">
        <v>197</v>
      </c>
      <c r="CW525" s="266">
        <v>155</v>
      </c>
      <c r="CX525" s="266">
        <v>167</v>
      </c>
      <c r="CY525" s="266">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2">
      <c r="A526" s="31" t="s">
        <v>207</v>
      </c>
      <c r="B526" s="1" t="s">
        <v>728</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266">
        <v>308</v>
      </c>
      <c r="N526" s="266">
        <v>307</v>
      </c>
      <c r="O526" s="266">
        <v>343</v>
      </c>
      <c r="P526" s="266">
        <v>381</v>
      </c>
      <c r="Q526" s="266">
        <v>362</v>
      </c>
      <c r="R526" s="266">
        <v>339</v>
      </c>
      <c r="S526" s="266">
        <v>415</v>
      </c>
      <c r="T526" s="266">
        <v>431</v>
      </c>
      <c r="U526" s="266">
        <v>408</v>
      </c>
      <c r="V526" s="266">
        <v>435</v>
      </c>
      <c r="W526" s="266">
        <v>411</v>
      </c>
      <c r="X526" s="266">
        <v>438</v>
      </c>
      <c r="Y526" s="266">
        <v>414</v>
      </c>
      <c r="Z526" s="266">
        <v>387</v>
      </c>
      <c r="AA526" s="266">
        <v>402</v>
      </c>
      <c r="AB526" s="266">
        <v>344</v>
      </c>
      <c r="AC526" s="266">
        <v>344</v>
      </c>
      <c r="AD526" s="266">
        <v>358</v>
      </c>
      <c r="AE526" s="266">
        <v>322</v>
      </c>
      <c r="AF526" s="266">
        <v>321</v>
      </c>
      <c r="AG526" s="266">
        <v>307</v>
      </c>
      <c r="AH526" s="266">
        <v>339</v>
      </c>
      <c r="AI526" s="266">
        <v>325</v>
      </c>
      <c r="AJ526" s="266">
        <v>372</v>
      </c>
      <c r="AK526" s="266">
        <v>404</v>
      </c>
      <c r="AL526" s="266">
        <v>345</v>
      </c>
      <c r="AM526" s="266">
        <v>412</v>
      </c>
      <c r="AN526" s="266">
        <v>361</v>
      </c>
      <c r="AO526" s="266">
        <v>365</v>
      </c>
      <c r="AP526" s="266">
        <v>437</v>
      </c>
      <c r="AQ526" s="266">
        <v>417</v>
      </c>
      <c r="AR526" s="266">
        <v>361</v>
      </c>
      <c r="AS526" s="266">
        <v>361</v>
      </c>
      <c r="AT526" s="266">
        <v>429</v>
      </c>
      <c r="AU526" s="266">
        <v>316</v>
      </c>
      <c r="AV526" s="266">
        <v>298</v>
      </c>
      <c r="AW526" s="266">
        <v>362</v>
      </c>
      <c r="AX526" s="266">
        <v>333</v>
      </c>
      <c r="AY526" s="266">
        <v>355</v>
      </c>
      <c r="AZ526" s="266">
        <v>392</v>
      </c>
      <c r="BA526" s="266">
        <v>364</v>
      </c>
      <c r="BB526" s="266">
        <v>380</v>
      </c>
      <c r="BC526" s="266">
        <v>356</v>
      </c>
      <c r="BD526" s="266">
        <v>324</v>
      </c>
      <c r="BE526" s="266">
        <v>318</v>
      </c>
      <c r="BF526" s="266">
        <v>379</v>
      </c>
      <c r="BG526" s="266">
        <v>379</v>
      </c>
      <c r="BH526" s="266">
        <v>445</v>
      </c>
      <c r="BI526" s="266">
        <v>416</v>
      </c>
      <c r="BJ526" s="266">
        <v>502</v>
      </c>
      <c r="BK526" s="266">
        <v>435</v>
      </c>
      <c r="BL526" s="266">
        <v>451</v>
      </c>
      <c r="BM526" s="266">
        <v>449</v>
      </c>
      <c r="BN526" s="266">
        <v>512</v>
      </c>
      <c r="BO526" s="266">
        <v>492</v>
      </c>
      <c r="BP526" s="266">
        <v>505</v>
      </c>
      <c r="BQ526" s="266">
        <v>473</v>
      </c>
      <c r="BR526" s="266">
        <v>533</v>
      </c>
      <c r="BS526" s="266">
        <v>482</v>
      </c>
      <c r="BT526" s="266">
        <v>516</v>
      </c>
      <c r="BU526" s="266">
        <v>513</v>
      </c>
      <c r="BV526" s="266">
        <v>540</v>
      </c>
      <c r="BW526" s="266">
        <v>517</v>
      </c>
      <c r="BX526" s="266">
        <v>482</v>
      </c>
      <c r="BY526" s="266">
        <v>508</v>
      </c>
      <c r="BZ526" s="266">
        <v>480</v>
      </c>
      <c r="CA526" s="266">
        <v>503</v>
      </c>
      <c r="CB526" s="266">
        <v>480</v>
      </c>
      <c r="CC526" s="266">
        <v>469</v>
      </c>
      <c r="CD526" s="266">
        <v>455</v>
      </c>
      <c r="CE526" s="266">
        <v>509</v>
      </c>
      <c r="CF526" s="266">
        <v>537</v>
      </c>
      <c r="CG526" s="266">
        <v>541</v>
      </c>
      <c r="CH526" s="266">
        <v>510</v>
      </c>
      <c r="CI526" s="266">
        <v>395</v>
      </c>
      <c r="CJ526" s="266">
        <v>426</v>
      </c>
      <c r="CK526" s="266">
        <v>420</v>
      </c>
      <c r="CL526" s="266">
        <v>377</v>
      </c>
      <c r="CM526" s="266">
        <v>300</v>
      </c>
      <c r="CN526" s="266">
        <v>275</v>
      </c>
      <c r="CO526" s="266">
        <v>273</v>
      </c>
      <c r="CP526" s="266">
        <v>283</v>
      </c>
      <c r="CQ526" s="266">
        <v>250</v>
      </c>
      <c r="CR526" s="266">
        <v>219</v>
      </c>
      <c r="CS526" s="266">
        <v>195</v>
      </c>
      <c r="CT526" s="266">
        <v>150</v>
      </c>
      <c r="CU526" s="266">
        <v>97</v>
      </c>
      <c r="CV526" s="266">
        <v>112</v>
      </c>
      <c r="CW526" s="266">
        <v>109</v>
      </c>
      <c r="CX526" s="266">
        <v>86</v>
      </c>
      <c r="CY526" s="266">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2">
      <c r="A527" s="31" t="s">
        <v>207</v>
      </c>
      <c r="B527" s="1" t="s">
        <v>729</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266">
        <v>333</v>
      </c>
      <c r="N527" s="266">
        <v>328</v>
      </c>
      <c r="O527" s="266">
        <v>376</v>
      </c>
      <c r="P527" s="266">
        <v>367</v>
      </c>
      <c r="Q527" s="266">
        <v>371</v>
      </c>
      <c r="R527" s="266">
        <v>415</v>
      </c>
      <c r="S527" s="266">
        <v>370</v>
      </c>
      <c r="T527" s="266">
        <v>378</v>
      </c>
      <c r="U527" s="266">
        <v>384</v>
      </c>
      <c r="V527" s="266">
        <v>421</v>
      </c>
      <c r="W527" s="266">
        <v>368</v>
      </c>
      <c r="X527" s="266">
        <v>367</v>
      </c>
      <c r="Y527" s="266">
        <v>403</v>
      </c>
      <c r="Z527" s="266">
        <v>392</v>
      </c>
      <c r="AA527" s="266">
        <v>362</v>
      </c>
      <c r="AB527" s="266">
        <v>317</v>
      </c>
      <c r="AC527" s="266">
        <v>322</v>
      </c>
      <c r="AD527" s="266">
        <v>340</v>
      </c>
      <c r="AE527" s="266">
        <v>353</v>
      </c>
      <c r="AF527" s="266">
        <v>323</v>
      </c>
      <c r="AG527" s="266">
        <v>338</v>
      </c>
      <c r="AH527" s="266">
        <v>356</v>
      </c>
      <c r="AI527" s="266">
        <v>285</v>
      </c>
      <c r="AJ527" s="266">
        <v>369</v>
      </c>
      <c r="AK527" s="266">
        <v>369</v>
      </c>
      <c r="AL527" s="266">
        <v>387</v>
      </c>
      <c r="AM527" s="266">
        <v>424</v>
      </c>
      <c r="AN527" s="266">
        <v>414</v>
      </c>
      <c r="AO527" s="266">
        <v>395</v>
      </c>
      <c r="AP527" s="266">
        <v>396</v>
      </c>
      <c r="AQ527" s="266">
        <v>470</v>
      </c>
      <c r="AR527" s="266">
        <v>409</v>
      </c>
      <c r="AS527" s="266">
        <v>413</v>
      </c>
      <c r="AT527" s="266">
        <v>397</v>
      </c>
      <c r="AU527" s="266">
        <v>387</v>
      </c>
      <c r="AV527" s="266">
        <v>397</v>
      </c>
      <c r="AW527" s="266">
        <v>429</v>
      </c>
      <c r="AX527" s="266">
        <v>338</v>
      </c>
      <c r="AY527" s="266">
        <v>381</v>
      </c>
      <c r="AZ527" s="266">
        <v>394</v>
      </c>
      <c r="BA527" s="266">
        <v>375</v>
      </c>
      <c r="BB527" s="266">
        <v>336</v>
      </c>
      <c r="BC527" s="266">
        <v>317</v>
      </c>
      <c r="BD527" s="266">
        <v>316</v>
      </c>
      <c r="BE527" s="266">
        <v>300</v>
      </c>
      <c r="BF527" s="266">
        <v>313</v>
      </c>
      <c r="BG527" s="266">
        <v>298</v>
      </c>
      <c r="BH527" s="266">
        <v>325</v>
      </c>
      <c r="BI527" s="266">
        <v>384</v>
      </c>
      <c r="BJ527" s="266">
        <v>402</v>
      </c>
      <c r="BK527" s="266">
        <v>358</v>
      </c>
      <c r="BL527" s="266">
        <v>397</v>
      </c>
      <c r="BM527" s="266">
        <v>428</v>
      </c>
      <c r="BN527" s="266">
        <v>418</v>
      </c>
      <c r="BO527" s="266">
        <v>447</v>
      </c>
      <c r="BP527" s="266">
        <v>389</v>
      </c>
      <c r="BQ527" s="266">
        <v>410</v>
      </c>
      <c r="BR527" s="266">
        <v>387</v>
      </c>
      <c r="BS527" s="266">
        <v>418</v>
      </c>
      <c r="BT527" s="266">
        <v>396</v>
      </c>
      <c r="BU527" s="266">
        <v>423</v>
      </c>
      <c r="BV527" s="266">
        <v>397</v>
      </c>
      <c r="BW527" s="266">
        <v>400</v>
      </c>
      <c r="BX527" s="266">
        <v>342</v>
      </c>
      <c r="BY527" s="266">
        <v>310</v>
      </c>
      <c r="BZ527" s="266">
        <v>315</v>
      </c>
      <c r="CA527" s="266">
        <v>350</v>
      </c>
      <c r="CB527" s="266">
        <v>317</v>
      </c>
      <c r="CC527" s="266">
        <v>314</v>
      </c>
      <c r="CD527" s="266">
        <v>301</v>
      </c>
      <c r="CE527" s="266">
        <v>292</v>
      </c>
      <c r="CF527" s="266">
        <v>327</v>
      </c>
      <c r="CG527" s="266">
        <v>315</v>
      </c>
      <c r="CH527" s="266">
        <v>304</v>
      </c>
      <c r="CI527" s="266">
        <v>234</v>
      </c>
      <c r="CJ527" s="266">
        <v>253</v>
      </c>
      <c r="CK527" s="266">
        <v>246</v>
      </c>
      <c r="CL527" s="266">
        <v>204</v>
      </c>
      <c r="CM527" s="266">
        <v>187</v>
      </c>
      <c r="CN527" s="266">
        <v>165</v>
      </c>
      <c r="CO527" s="266">
        <v>162</v>
      </c>
      <c r="CP527" s="266">
        <v>167</v>
      </c>
      <c r="CQ527" s="266">
        <v>137</v>
      </c>
      <c r="CR527" s="266">
        <v>121</v>
      </c>
      <c r="CS527" s="266">
        <v>137</v>
      </c>
      <c r="CT527" s="266">
        <v>97</v>
      </c>
      <c r="CU527" s="266">
        <v>63</v>
      </c>
      <c r="CV527" s="266">
        <v>55</v>
      </c>
      <c r="CW527" s="266">
        <v>60</v>
      </c>
      <c r="CX527" s="266">
        <v>44</v>
      </c>
      <c r="CY527" s="266">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2">
      <c r="A528" s="31" t="s">
        <v>207</v>
      </c>
      <c r="B528" s="1" t="s">
        <v>730</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266">
        <v>380</v>
      </c>
      <c r="N528" s="266">
        <v>361</v>
      </c>
      <c r="O528" s="266">
        <v>426</v>
      </c>
      <c r="P528" s="266">
        <v>482</v>
      </c>
      <c r="Q528" s="266">
        <v>480</v>
      </c>
      <c r="R528" s="266">
        <v>502</v>
      </c>
      <c r="S528" s="266">
        <v>473</v>
      </c>
      <c r="T528" s="266">
        <v>519</v>
      </c>
      <c r="U528" s="266">
        <v>515</v>
      </c>
      <c r="V528" s="266">
        <v>522</v>
      </c>
      <c r="W528" s="266">
        <v>503</v>
      </c>
      <c r="X528" s="266">
        <v>558</v>
      </c>
      <c r="Y528" s="266">
        <v>533</v>
      </c>
      <c r="Z528" s="266">
        <v>587</v>
      </c>
      <c r="AA528" s="266">
        <v>515</v>
      </c>
      <c r="AB528" s="266">
        <v>555</v>
      </c>
      <c r="AC528" s="266">
        <v>561</v>
      </c>
      <c r="AD528" s="266">
        <v>538</v>
      </c>
      <c r="AE528" s="266">
        <v>494</v>
      </c>
      <c r="AF528" s="266">
        <v>439</v>
      </c>
      <c r="AG528" s="266">
        <v>355</v>
      </c>
      <c r="AH528" s="266">
        <v>404</v>
      </c>
      <c r="AI528" s="266">
        <v>462</v>
      </c>
      <c r="AJ528" s="266">
        <v>516</v>
      </c>
      <c r="AK528" s="266">
        <v>526</v>
      </c>
      <c r="AL528" s="266">
        <v>574</v>
      </c>
      <c r="AM528" s="266">
        <v>586</v>
      </c>
      <c r="AN528" s="266">
        <v>465</v>
      </c>
      <c r="AO528" s="266">
        <v>471</v>
      </c>
      <c r="AP528" s="266">
        <v>600</v>
      </c>
      <c r="AQ528" s="266">
        <v>475</v>
      </c>
      <c r="AR528" s="266">
        <v>486</v>
      </c>
      <c r="AS528" s="266">
        <v>473</v>
      </c>
      <c r="AT528" s="266">
        <v>468</v>
      </c>
      <c r="AU528" s="266">
        <v>441</v>
      </c>
      <c r="AV528" s="266">
        <v>435</v>
      </c>
      <c r="AW528" s="266">
        <v>463</v>
      </c>
      <c r="AX528" s="266">
        <v>458</v>
      </c>
      <c r="AY528" s="266">
        <v>440</v>
      </c>
      <c r="AZ528" s="266">
        <v>454</v>
      </c>
      <c r="BA528" s="266">
        <v>458</v>
      </c>
      <c r="BB528" s="266">
        <v>500</v>
      </c>
      <c r="BC528" s="266">
        <v>415</v>
      </c>
      <c r="BD528" s="266">
        <v>482</v>
      </c>
      <c r="BE528" s="266">
        <v>430</v>
      </c>
      <c r="BF528" s="266">
        <v>493</v>
      </c>
      <c r="BG528" s="266">
        <v>520</v>
      </c>
      <c r="BH528" s="266">
        <v>583</v>
      </c>
      <c r="BI528" s="266">
        <v>617</v>
      </c>
      <c r="BJ528" s="266">
        <v>686</v>
      </c>
      <c r="BK528" s="266">
        <v>660</v>
      </c>
      <c r="BL528" s="266">
        <v>709</v>
      </c>
      <c r="BM528" s="266">
        <v>751</v>
      </c>
      <c r="BN528" s="266">
        <v>769</v>
      </c>
      <c r="BO528" s="266">
        <v>807</v>
      </c>
      <c r="BP528" s="266">
        <v>819</v>
      </c>
      <c r="BQ528" s="266">
        <v>782</v>
      </c>
      <c r="BR528" s="266">
        <v>760</v>
      </c>
      <c r="BS528" s="266">
        <v>803</v>
      </c>
      <c r="BT528" s="266">
        <v>695</v>
      </c>
      <c r="BU528" s="266">
        <v>695</v>
      </c>
      <c r="BV528" s="266">
        <v>657</v>
      </c>
      <c r="BW528" s="266">
        <v>681</v>
      </c>
      <c r="BX528" s="266">
        <v>634</v>
      </c>
      <c r="BY528" s="266">
        <v>579</v>
      </c>
      <c r="BZ528" s="266">
        <v>618</v>
      </c>
      <c r="CA528" s="266">
        <v>596</v>
      </c>
      <c r="CB528" s="266">
        <v>574</v>
      </c>
      <c r="CC528" s="266">
        <v>620</v>
      </c>
      <c r="CD528" s="266">
        <v>656</v>
      </c>
      <c r="CE528" s="266">
        <v>644</v>
      </c>
      <c r="CF528" s="266">
        <v>643</v>
      </c>
      <c r="CG528" s="266">
        <v>664</v>
      </c>
      <c r="CH528" s="266">
        <v>713</v>
      </c>
      <c r="CI528" s="266">
        <v>545</v>
      </c>
      <c r="CJ528" s="266">
        <v>538</v>
      </c>
      <c r="CK528" s="266">
        <v>539</v>
      </c>
      <c r="CL528" s="266">
        <v>496</v>
      </c>
      <c r="CM528" s="266">
        <v>403</v>
      </c>
      <c r="CN528" s="266">
        <v>361</v>
      </c>
      <c r="CO528" s="266">
        <v>373</v>
      </c>
      <c r="CP528" s="266">
        <v>311</v>
      </c>
      <c r="CQ528" s="266">
        <v>299</v>
      </c>
      <c r="CR528" s="266">
        <v>285</v>
      </c>
      <c r="CS528" s="266">
        <v>244</v>
      </c>
      <c r="CT528" s="266">
        <v>209</v>
      </c>
      <c r="CU528" s="266">
        <v>219</v>
      </c>
      <c r="CV528" s="266">
        <v>200</v>
      </c>
      <c r="CW528" s="266">
        <v>159</v>
      </c>
      <c r="CX528" s="266">
        <v>123</v>
      </c>
      <c r="CY528" s="266">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2">
      <c r="A529" s="31" t="s">
        <v>207</v>
      </c>
      <c r="B529" s="1" t="s">
        <v>731</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266">
        <v>642</v>
      </c>
      <c r="N529" s="266">
        <v>705</v>
      </c>
      <c r="O529" s="266">
        <v>764</v>
      </c>
      <c r="P529" s="266">
        <v>748</v>
      </c>
      <c r="Q529" s="266">
        <v>797</v>
      </c>
      <c r="R529" s="266">
        <v>792</v>
      </c>
      <c r="S529" s="266">
        <v>812</v>
      </c>
      <c r="T529" s="266">
        <v>803</v>
      </c>
      <c r="U529" s="266">
        <v>892</v>
      </c>
      <c r="V529" s="266">
        <v>870</v>
      </c>
      <c r="W529" s="266">
        <v>811</v>
      </c>
      <c r="X529" s="266">
        <v>873</v>
      </c>
      <c r="Y529" s="266">
        <v>842</v>
      </c>
      <c r="Z529" s="266">
        <v>793</v>
      </c>
      <c r="AA529" s="266">
        <v>843</v>
      </c>
      <c r="AB529" s="266">
        <v>813</v>
      </c>
      <c r="AC529" s="266">
        <v>761</v>
      </c>
      <c r="AD529" s="266">
        <v>737</v>
      </c>
      <c r="AE529" s="266">
        <v>864</v>
      </c>
      <c r="AF529" s="266">
        <v>1357</v>
      </c>
      <c r="AG529" s="266">
        <v>1095</v>
      </c>
      <c r="AH529" s="266">
        <v>983</v>
      </c>
      <c r="AI529" s="266">
        <v>914</v>
      </c>
      <c r="AJ529" s="266">
        <v>548</v>
      </c>
      <c r="AK529" s="266">
        <v>725</v>
      </c>
      <c r="AL529" s="266">
        <v>839</v>
      </c>
      <c r="AM529" s="266">
        <v>900</v>
      </c>
      <c r="AN529" s="266">
        <v>887</v>
      </c>
      <c r="AO529" s="266">
        <v>809</v>
      </c>
      <c r="AP529" s="266">
        <v>882</v>
      </c>
      <c r="AQ529" s="266">
        <v>937</v>
      </c>
      <c r="AR529" s="266">
        <v>781</v>
      </c>
      <c r="AS529" s="266">
        <v>839</v>
      </c>
      <c r="AT529" s="266">
        <v>873</v>
      </c>
      <c r="AU529" s="266">
        <v>974</v>
      </c>
      <c r="AV529" s="266">
        <v>955</v>
      </c>
      <c r="AW529" s="266">
        <v>887</v>
      </c>
      <c r="AX529" s="266">
        <v>929</v>
      </c>
      <c r="AY529" s="266">
        <v>882</v>
      </c>
      <c r="AZ529" s="266">
        <v>926</v>
      </c>
      <c r="BA529" s="266">
        <v>949</v>
      </c>
      <c r="BB529" s="266">
        <v>904</v>
      </c>
      <c r="BC529" s="266">
        <v>890</v>
      </c>
      <c r="BD529" s="266">
        <v>807</v>
      </c>
      <c r="BE529" s="266">
        <v>779</v>
      </c>
      <c r="BF529" s="266">
        <v>816</v>
      </c>
      <c r="BG529" s="266">
        <v>812</v>
      </c>
      <c r="BH529" s="266">
        <v>869</v>
      </c>
      <c r="BI529" s="266">
        <v>891</v>
      </c>
      <c r="BJ529" s="266">
        <v>1006</v>
      </c>
      <c r="BK529" s="266">
        <v>948</v>
      </c>
      <c r="BL529" s="266">
        <v>963</v>
      </c>
      <c r="BM529" s="266">
        <v>1024</v>
      </c>
      <c r="BN529" s="266">
        <v>964</v>
      </c>
      <c r="BO529" s="266">
        <v>989</v>
      </c>
      <c r="BP529" s="266">
        <v>1011</v>
      </c>
      <c r="BQ529" s="266">
        <v>1033</v>
      </c>
      <c r="BR529" s="266">
        <v>1013</v>
      </c>
      <c r="BS529" s="266">
        <v>997</v>
      </c>
      <c r="BT529" s="266">
        <v>939</v>
      </c>
      <c r="BU529" s="266">
        <v>926</v>
      </c>
      <c r="BV529" s="266">
        <v>929</v>
      </c>
      <c r="BW529" s="266">
        <v>1023</v>
      </c>
      <c r="BX529" s="266">
        <v>917</v>
      </c>
      <c r="BY529" s="266">
        <v>881</v>
      </c>
      <c r="BZ529" s="266">
        <v>831</v>
      </c>
      <c r="CA529" s="266">
        <v>850</v>
      </c>
      <c r="CB529" s="266">
        <v>888</v>
      </c>
      <c r="CC529" s="266">
        <v>824</v>
      </c>
      <c r="CD529" s="266">
        <v>793</v>
      </c>
      <c r="CE529" s="266">
        <v>807</v>
      </c>
      <c r="CF529" s="266">
        <v>773</v>
      </c>
      <c r="CG529" s="266">
        <v>861</v>
      </c>
      <c r="CH529" s="266">
        <v>844</v>
      </c>
      <c r="CI529" s="266">
        <v>607</v>
      </c>
      <c r="CJ529" s="266">
        <v>615</v>
      </c>
      <c r="CK529" s="266">
        <v>605</v>
      </c>
      <c r="CL529" s="266">
        <v>583</v>
      </c>
      <c r="CM529" s="266">
        <v>523</v>
      </c>
      <c r="CN529" s="266">
        <v>418</v>
      </c>
      <c r="CO529" s="266">
        <v>427</v>
      </c>
      <c r="CP529" s="266">
        <v>386</v>
      </c>
      <c r="CQ529" s="266">
        <v>361</v>
      </c>
      <c r="CR529" s="266">
        <v>318</v>
      </c>
      <c r="CS529" s="266">
        <v>280</v>
      </c>
      <c r="CT529" s="266">
        <v>244</v>
      </c>
      <c r="CU529" s="266">
        <v>227</v>
      </c>
      <c r="CV529" s="266">
        <v>181</v>
      </c>
      <c r="CW529" s="266">
        <v>122</v>
      </c>
      <c r="CX529" s="266">
        <v>112</v>
      </c>
      <c r="CY529" s="266">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2">
      <c r="A530" s="31" t="s">
        <v>207</v>
      </c>
      <c r="B530" s="1" t="s">
        <v>732</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266">
        <v>957</v>
      </c>
      <c r="N530" s="266">
        <v>1012</v>
      </c>
      <c r="O530" s="266">
        <v>1027</v>
      </c>
      <c r="P530" s="266">
        <v>1017</v>
      </c>
      <c r="Q530" s="266">
        <v>1095</v>
      </c>
      <c r="R530" s="266">
        <v>1105</v>
      </c>
      <c r="S530" s="266">
        <v>1048</v>
      </c>
      <c r="T530" s="266">
        <v>1103</v>
      </c>
      <c r="U530" s="266">
        <v>1080</v>
      </c>
      <c r="V530" s="266">
        <v>1070</v>
      </c>
      <c r="W530" s="266">
        <v>1027</v>
      </c>
      <c r="X530" s="266">
        <v>1087</v>
      </c>
      <c r="Y530" s="266">
        <v>1078</v>
      </c>
      <c r="Z530" s="266">
        <v>980</v>
      </c>
      <c r="AA530" s="266">
        <v>929</v>
      </c>
      <c r="AB530" s="266">
        <v>896</v>
      </c>
      <c r="AC530" s="266">
        <v>948</v>
      </c>
      <c r="AD530" s="266">
        <v>905</v>
      </c>
      <c r="AE530" s="266">
        <v>886</v>
      </c>
      <c r="AF530" s="266">
        <v>852</v>
      </c>
      <c r="AG530" s="266">
        <v>879</v>
      </c>
      <c r="AH530" s="266">
        <v>888</v>
      </c>
      <c r="AI530" s="266">
        <v>994</v>
      </c>
      <c r="AJ530" s="266">
        <v>1009</v>
      </c>
      <c r="AK530" s="266">
        <v>1037</v>
      </c>
      <c r="AL530" s="266">
        <v>971</v>
      </c>
      <c r="AM530" s="266">
        <v>1034</v>
      </c>
      <c r="AN530" s="266">
        <v>1108</v>
      </c>
      <c r="AO530" s="266">
        <v>1164</v>
      </c>
      <c r="AP530" s="266">
        <v>1187</v>
      </c>
      <c r="AQ530" s="266">
        <v>1135</v>
      </c>
      <c r="AR530" s="266">
        <v>1096</v>
      </c>
      <c r="AS530" s="266">
        <v>1172</v>
      </c>
      <c r="AT530" s="266">
        <v>1036</v>
      </c>
      <c r="AU530" s="266">
        <v>1082</v>
      </c>
      <c r="AV530" s="266">
        <v>1041</v>
      </c>
      <c r="AW530" s="266">
        <v>1038</v>
      </c>
      <c r="AX530" s="266">
        <v>1008</v>
      </c>
      <c r="AY530" s="266">
        <v>961</v>
      </c>
      <c r="AZ530" s="266">
        <v>1091</v>
      </c>
      <c r="BA530" s="266">
        <v>1028</v>
      </c>
      <c r="BB530" s="266">
        <v>1062</v>
      </c>
      <c r="BC530" s="266">
        <v>928</v>
      </c>
      <c r="BD530" s="266">
        <v>927</v>
      </c>
      <c r="BE530" s="266">
        <v>855</v>
      </c>
      <c r="BF530" s="266">
        <v>877</v>
      </c>
      <c r="BG530" s="266">
        <v>912</v>
      </c>
      <c r="BH530" s="266">
        <v>908</v>
      </c>
      <c r="BI530" s="266">
        <v>991</v>
      </c>
      <c r="BJ530" s="266">
        <v>1059</v>
      </c>
      <c r="BK530" s="266">
        <v>1021</v>
      </c>
      <c r="BL530" s="266">
        <v>1076</v>
      </c>
      <c r="BM530" s="266">
        <v>1031</v>
      </c>
      <c r="BN530" s="266">
        <v>1067</v>
      </c>
      <c r="BO530" s="266">
        <v>1045</v>
      </c>
      <c r="BP530" s="266">
        <v>1010</v>
      </c>
      <c r="BQ530" s="266">
        <v>1054</v>
      </c>
      <c r="BR530" s="266">
        <v>1068</v>
      </c>
      <c r="BS530" s="266">
        <v>920</v>
      </c>
      <c r="BT530" s="266">
        <v>954</v>
      </c>
      <c r="BU530" s="266">
        <v>905</v>
      </c>
      <c r="BV530" s="266">
        <v>950</v>
      </c>
      <c r="BW530" s="266">
        <v>870</v>
      </c>
      <c r="BX530" s="266">
        <v>841</v>
      </c>
      <c r="BY530" s="266">
        <v>697</v>
      </c>
      <c r="BZ530" s="266">
        <v>710</v>
      </c>
      <c r="CA530" s="266">
        <v>683</v>
      </c>
      <c r="CB530" s="266">
        <v>733</v>
      </c>
      <c r="CC530" s="266">
        <v>659</v>
      </c>
      <c r="CD530" s="266">
        <v>624</v>
      </c>
      <c r="CE530" s="266">
        <v>709</v>
      </c>
      <c r="CF530" s="266">
        <v>672</v>
      </c>
      <c r="CG530" s="266">
        <v>736</v>
      </c>
      <c r="CH530" s="266">
        <v>796</v>
      </c>
      <c r="CI530" s="266">
        <v>551</v>
      </c>
      <c r="CJ530" s="266">
        <v>521</v>
      </c>
      <c r="CK530" s="266">
        <v>525</v>
      </c>
      <c r="CL530" s="266">
        <v>514</v>
      </c>
      <c r="CM530" s="266">
        <v>413</v>
      </c>
      <c r="CN530" s="266">
        <v>367</v>
      </c>
      <c r="CO530" s="266">
        <v>388</v>
      </c>
      <c r="CP530" s="266">
        <v>389</v>
      </c>
      <c r="CQ530" s="266">
        <v>331</v>
      </c>
      <c r="CR530" s="266">
        <v>310</v>
      </c>
      <c r="CS530" s="266">
        <v>308</v>
      </c>
      <c r="CT530" s="266">
        <v>231</v>
      </c>
      <c r="CU530" s="266">
        <v>214</v>
      </c>
      <c r="CV530" s="266">
        <v>160</v>
      </c>
      <c r="CW530" s="266">
        <v>110</v>
      </c>
      <c r="CX530" s="266">
        <v>138</v>
      </c>
      <c r="CY530" s="266">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2">
      <c r="A531" s="31" t="s">
        <v>207</v>
      </c>
      <c r="B531" s="1" t="s">
        <v>733</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266">
        <v>535</v>
      </c>
      <c r="N531" s="266">
        <v>556</v>
      </c>
      <c r="O531" s="266">
        <v>614</v>
      </c>
      <c r="P531" s="266">
        <v>604</v>
      </c>
      <c r="Q531" s="266">
        <v>635</v>
      </c>
      <c r="R531" s="266">
        <v>668</v>
      </c>
      <c r="S531" s="266">
        <v>659</v>
      </c>
      <c r="T531" s="266">
        <v>709</v>
      </c>
      <c r="U531" s="266">
        <v>719</v>
      </c>
      <c r="V531" s="266">
        <v>746</v>
      </c>
      <c r="W531" s="266">
        <v>767</v>
      </c>
      <c r="X531" s="266">
        <v>726</v>
      </c>
      <c r="Y531" s="266">
        <v>812</v>
      </c>
      <c r="Z531" s="266">
        <v>726</v>
      </c>
      <c r="AA531" s="266">
        <v>793</v>
      </c>
      <c r="AB531" s="266">
        <v>715</v>
      </c>
      <c r="AC531" s="266">
        <v>649</v>
      </c>
      <c r="AD531" s="266">
        <v>630</v>
      </c>
      <c r="AE531" s="266">
        <v>672</v>
      </c>
      <c r="AF531" s="266">
        <v>683</v>
      </c>
      <c r="AG531" s="266">
        <v>615</v>
      </c>
      <c r="AH531" s="266">
        <v>647</v>
      </c>
      <c r="AI531" s="266">
        <v>726</v>
      </c>
      <c r="AJ531" s="266">
        <v>708</v>
      </c>
      <c r="AK531" s="266">
        <v>697</v>
      </c>
      <c r="AL531" s="266">
        <v>637</v>
      </c>
      <c r="AM531" s="266">
        <v>679</v>
      </c>
      <c r="AN531" s="266">
        <v>604</v>
      </c>
      <c r="AO531" s="266">
        <v>741</v>
      </c>
      <c r="AP531" s="266">
        <v>737</v>
      </c>
      <c r="AQ531" s="266">
        <v>710</v>
      </c>
      <c r="AR531" s="266">
        <v>649</v>
      </c>
      <c r="AS531" s="266">
        <v>733</v>
      </c>
      <c r="AT531" s="266">
        <v>718</v>
      </c>
      <c r="AU531" s="266">
        <v>647</v>
      </c>
      <c r="AV531" s="266">
        <v>595</v>
      </c>
      <c r="AW531" s="266">
        <v>597</v>
      </c>
      <c r="AX531" s="266">
        <v>605</v>
      </c>
      <c r="AY531" s="266">
        <v>582</v>
      </c>
      <c r="AZ531" s="266">
        <v>648</v>
      </c>
      <c r="BA531" s="266">
        <v>655</v>
      </c>
      <c r="BB531" s="266">
        <v>611</v>
      </c>
      <c r="BC531" s="266">
        <v>588</v>
      </c>
      <c r="BD531" s="266">
        <v>531</v>
      </c>
      <c r="BE531" s="266">
        <v>518</v>
      </c>
      <c r="BF531" s="266">
        <v>604</v>
      </c>
      <c r="BG531" s="266">
        <v>608</v>
      </c>
      <c r="BH531" s="266">
        <v>646</v>
      </c>
      <c r="BI531" s="266">
        <v>728</v>
      </c>
      <c r="BJ531" s="266">
        <v>772</v>
      </c>
      <c r="BK531" s="266">
        <v>793</v>
      </c>
      <c r="BL531" s="266">
        <v>866</v>
      </c>
      <c r="BM531" s="266">
        <v>882</v>
      </c>
      <c r="BN531" s="266">
        <v>886</v>
      </c>
      <c r="BO531" s="266">
        <v>902</v>
      </c>
      <c r="BP531" s="266">
        <v>954</v>
      </c>
      <c r="BQ531" s="266">
        <v>890</v>
      </c>
      <c r="BR531" s="266">
        <v>1022</v>
      </c>
      <c r="BS531" s="266">
        <v>988</v>
      </c>
      <c r="BT531" s="266">
        <v>891</v>
      </c>
      <c r="BU531" s="266">
        <v>885</v>
      </c>
      <c r="BV531" s="266">
        <v>926</v>
      </c>
      <c r="BW531" s="266">
        <v>880</v>
      </c>
      <c r="BX531" s="266">
        <v>848</v>
      </c>
      <c r="BY531" s="266">
        <v>849</v>
      </c>
      <c r="BZ531" s="266">
        <v>864</v>
      </c>
      <c r="CA531" s="266">
        <v>928</v>
      </c>
      <c r="CB531" s="266">
        <v>901</v>
      </c>
      <c r="CC531" s="266">
        <v>819</v>
      </c>
      <c r="CD531" s="266">
        <v>857</v>
      </c>
      <c r="CE531" s="266">
        <v>874</v>
      </c>
      <c r="CF531" s="266">
        <v>846</v>
      </c>
      <c r="CG531" s="266">
        <v>917</v>
      </c>
      <c r="CH531" s="266">
        <v>954</v>
      </c>
      <c r="CI531" s="266">
        <v>725</v>
      </c>
      <c r="CJ531" s="266">
        <v>743</v>
      </c>
      <c r="CK531" s="266">
        <v>703</v>
      </c>
      <c r="CL531" s="266">
        <v>610</v>
      </c>
      <c r="CM531" s="266">
        <v>544</v>
      </c>
      <c r="CN531" s="266">
        <v>516</v>
      </c>
      <c r="CO531" s="266">
        <v>493</v>
      </c>
      <c r="CP531" s="266">
        <v>461</v>
      </c>
      <c r="CQ531" s="266">
        <v>426</v>
      </c>
      <c r="CR531" s="266">
        <v>353</v>
      </c>
      <c r="CS531" s="266">
        <v>345</v>
      </c>
      <c r="CT531" s="266">
        <v>333</v>
      </c>
      <c r="CU531" s="266">
        <v>207</v>
      </c>
      <c r="CV531" s="266">
        <v>256</v>
      </c>
      <c r="CW531" s="266">
        <v>192</v>
      </c>
      <c r="CX531" s="266">
        <v>154</v>
      </c>
      <c r="CY531" s="266">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2">
      <c r="A532" s="31" t="s">
        <v>207</v>
      </c>
      <c r="B532" s="1" t="s">
        <v>734</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266">
        <v>521</v>
      </c>
      <c r="N532" s="266">
        <v>582</v>
      </c>
      <c r="O532" s="266">
        <v>655</v>
      </c>
      <c r="P532" s="266">
        <v>629</v>
      </c>
      <c r="Q532" s="266">
        <v>609</v>
      </c>
      <c r="R532" s="266">
        <v>680</v>
      </c>
      <c r="S532" s="266">
        <v>690</v>
      </c>
      <c r="T532" s="266">
        <v>706</v>
      </c>
      <c r="U532" s="266">
        <v>681</v>
      </c>
      <c r="V532" s="266">
        <v>701</v>
      </c>
      <c r="W532" s="266">
        <v>668</v>
      </c>
      <c r="X532" s="266">
        <v>736</v>
      </c>
      <c r="Y532" s="266">
        <v>797</v>
      </c>
      <c r="Z532" s="266">
        <v>705</v>
      </c>
      <c r="AA532" s="266">
        <v>728</v>
      </c>
      <c r="AB532" s="266">
        <v>743</v>
      </c>
      <c r="AC532" s="266">
        <v>712</v>
      </c>
      <c r="AD532" s="266">
        <v>685</v>
      </c>
      <c r="AE532" s="266">
        <v>703</v>
      </c>
      <c r="AF532" s="266">
        <v>631</v>
      </c>
      <c r="AG532" s="266">
        <v>607</v>
      </c>
      <c r="AH532" s="266">
        <v>663</v>
      </c>
      <c r="AI532" s="266">
        <v>707</v>
      </c>
      <c r="AJ532" s="266">
        <v>617</v>
      </c>
      <c r="AK532" s="266">
        <v>742</v>
      </c>
      <c r="AL532" s="266">
        <v>738</v>
      </c>
      <c r="AM532" s="266">
        <v>703</v>
      </c>
      <c r="AN532" s="266">
        <v>627</v>
      </c>
      <c r="AO532" s="266">
        <v>709</v>
      </c>
      <c r="AP532" s="266">
        <v>709</v>
      </c>
      <c r="AQ532" s="266">
        <v>708</v>
      </c>
      <c r="AR532" s="266">
        <v>684</v>
      </c>
      <c r="AS532" s="266">
        <v>668</v>
      </c>
      <c r="AT532" s="266">
        <v>702</v>
      </c>
      <c r="AU532" s="266">
        <v>662</v>
      </c>
      <c r="AV532" s="266">
        <v>570</v>
      </c>
      <c r="AW532" s="266">
        <v>567</v>
      </c>
      <c r="AX532" s="266">
        <v>554</v>
      </c>
      <c r="AY532" s="266">
        <v>571</v>
      </c>
      <c r="AZ532" s="266">
        <v>628</v>
      </c>
      <c r="BA532" s="266">
        <v>593</v>
      </c>
      <c r="BB532" s="266">
        <v>574</v>
      </c>
      <c r="BC532" s="266">
        <v>612</v>
      </c>
      <c r="BD532" s="266">
        <v>543</v>
      </c>
      <c r="BE532" s="266">
        <v>553</v>
      </c>
      <c r="BF532" s="266">
        <v>677</v>
      </c>
      <c r="BG532" s="266">
        <v>705</v>
      </c>
      <c r="BH532" s="266">
        <v>717</v>
      </c>
      <c r="BI532" s="266">
        <v>844</v>
      </c>
      <c r="BJ532" s="266">
        <v>869</v>
      </c>
      <c r="BK532" s="266">
        <v>859</v>
      </c>
      <c r="BL532" s="266">
        <v>988</v>
      </c>
      <c r="BM532" s="266">
        <v>867</v>
      </c>
      <c r="BN532" s="266">
        <v>1029</v>
      </c>
      <c r="BO532" s="266">
        <v>978</v>
      </c>
      <c r="BP532" s="266">
        <v>1087</v>
      </c>
      <c r="BQ532" s="266">
        <v>1057</v>
      </c>
      <c r="BR532" s="266">
        <v>1075</v>
      </c>
      <c r="BS532" s="266">
        <v>1088</v>
      </c>
      <c r="BT532" s="266">
        <v>1029</v>
      </c>
      <c r="BU532" s="266">
        <v>1010</v>
      </c>
      <c r="BV532" s="266">
        <v>1018</v>
      </c>
      <c r="BW532" s="266">
        <v>932</v>
      </c>
      <c r="BX532" s="266">
        <v>982</v>
      </c>
      <c r="BY532" s="266">
        <v>1048</v>
      </c>
      <c r="BZ532" s="266">
        <v>922</v>
      </c>
      <c r="CA532" s="266">
        <v>972</v>
      </c>
      <c r="CB532" s="266">
        <v>1010</v>
      </c>
      <c r="CC532" s="266">
        <v>969</v>
      </c>
      <c r="CD532" s="266">
        <v>930</v>
      </c>
      <c r="CE532" s="266">
        <v>1011</v>
      </c>
      <c r="CF532" s="266">
        <v>973</v>
      </c>
      <c r="CG532" s="266">
        <v>1071</v>
      </c>
      <c r="CH532" s="266">
        <v>1086</v>
      </c>
      <c r="CI532" s="266">
        <v>805</v>
      </c>
      <c r="CJ532" s="266">
        <v>772</v>
      </c>
      <c r="CK532" s="266">
        <v>887</v>
      </c>
      <c r="CL532" s="266">
        <v>757</v>
      </c>
      <c r="CM532" s="266">
        <v>615</v>
      </c>
      <c r="CN532" s="266">
        <v>529</v>
      </c>
      <c r="CO532" s="266">
        <v>559</v>
      </c>
      <c r="CP532" s="266">
        <v>525</v>
      </c>
      <c r="CQ532" s="266">
        <v>461</v>
      </c>
      <c r="CR532" s="266">
        <v>428</v>
      </c>
      <c r="CS532" s="266">
        <v>370</v>
      </c>
      <c r="CT532" s="266">
        <v>339</v>
      </c>
      <c r="CU532" s="266">
        <v>289</v>
      </c>
      <c r="CV532" s="266">
        <v>211</v>
      </c>
      <c r="CW532" s="266">
        <v>190</v>
      </c>
      <c r="CX532" s="266">
        <v>190</v>
      </c>
      <c r="CY532" s="266">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2">
      <c r="A533" s="31" t="s">
        <v>207</v>
      </c>
      <c r="B533" s="1" t="s">
        <v>735</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266">
        <v>1222</v>
      </c>
      <c r="N533" s="266">
        <v>1332</v>
      </c>
      <c r="O533" s="266">
        <v>1324</v>
      </c>
      <c r="P533" s="266">
        <v>1395</v>
      </c>
      <c r="Q533" s="266">
        <v>1416</v>
      </c>
      <c r="R533" s="266">
        <v>1433</v>
      </c>
      <c r="S533" s="266">
        <v>1422</v>
      </c>
      <c r="T533" s="266">
        <v>1437</v>
      </c>
      <c r="U533" s="266">
        <v>1487</v>
      </c>
      <c r="V533" s="266">
        <v>1539</v>
      </c>
      <c r="W533" s="266">
        <v>1476</v>
      </c>
      <c r="X533" s="266">
        <v>1589</v>
      </c>
      <c r="Y533" s="266">
        <v>1458</v>
      </c>
      <c r="Z533" s="266">
        <v>1482</v>
      </c>
      <c r="AA533" s="266">
        <v>1491</v>
      </c>
      <c r="AB533" s="266">
        <v>1361</v>
      </c>
      <c r="AC533" s="266">
        <v>1343</v>
      </c>
      <c r="AD533" s="266">
        <v>1313</v>
      </c>
      <c r="AE533" s="266">
        <v>1304</v>
      </c>
      <c r="AF533" s="266">
        <v>1380</v>
      </c>
      <c r="AG533" s="266">
        <v>1401</v>
      </c>
      <c r="AH533" s="266">
        <v>1525</v>
      </c>
      <c r="AI533" s="266">
        <v>1664</v>
      </c>
      <c r="AJ533" s="266">
        <v>1745</v>
      </c>
      <c r="AK533" s="266">
        <v>1582</v>
      </c>
      <c r="AL533" s="266">
        <v>1605</v>
      </c>
      <c r="AM533" s="266">
        <v>1564</v>
      </c>
      <c r="AN533" s="266">
        <v>1645</v>
      </c>
      <c r="AO533" s="266">
        <v>1657</v>
      </c>
      <c r="AP533" s="266">
        <v>1662</v>
      </c>
      <c r="AQ533" s="266">
        <v>1826</v>
      </c>
      <c r="AR533" s="266">
        <v>1654</v>
      </c>
      <c r="AS533" s="266">
        <v>1547</v>
      </c>
      <c r="AT533" s="266">
        <v>1568</v>
      </c>
      <c r="AU533" s="266">
        <v>1536</v>
      </c>
      <c r="AV533" s="266">
        <v>1514</v>
      </c>
      <c r="AW533" s="266">
        <v>1441</v>
      </c>
      <c r="AX533" s="266">
        <v>1469</v>
      </c>
      <c r="AY533" s="266">
        <v>1406</v>
      </c>
      <c r="AZ533" s="266">
        <v>1497</v>
      </c>
      <c r="BA533" s="266">
        <v>1537</v>
      </c>
      <c r="BB533" s="266">
        <v>1377</v>
      </c>
      <c r="BC533" s="266">
        <v>1245</v>
      </c>
      <c r="BD533" s="266">
        <v>1321</v>
      </c>
      <c r="BE533" s="266">
        <v>1193</v>
      </c>
      <c r="BF533" s="266">
        <v>1294</v>
      </c>
      <c r="BG533" s="266">
        <v>1309</v>
      </c>
      <c r="BH533" s="266">
        <v>1485</v>
      </c>
      <c r="BI533" s="266">
        <v>1556</v>
      </c>
      <c r="BJ533" s="266">
        <v>1674</v>
      </c>
      <c r="BK533" s="266">
        <v>1600</v>
      </c>
      <c r="BL533" s="266">
        <v>1660</v>
      </c>
      <c r="BM533" s="266">
        <v>1591</v>
      </c>
      <c r="BN533" s="266">
        <v>1678</v>
      </c>
      <c r="BO533" s="266">
        <v>1629</v>
      </c>
      <c r="BP533" s="266">
        <v>1683</v>
      </c>
      <c r="BQ533" s="266">
        <v>1651</v>
      </c>
      <c r="BR533" s="266">
        <v>1518</v>
      </c>
      <c r="BS533" s="266">
        <v>1648</v>
      </c>
      <c r="BT533" s="266">
        <v>1541</v>
      </c>
      <c r="BU533" s="266">
        <v>1398</v>
      </c>
      <c r="BV533" s="266">
        <v>1407</v>
      </c>
      <c r="BW533" s="266">
        <v>1430</v>
      </c>
      <c r="BX533" s="266">
        <v>1415</v>
      </c>
      <c r="BY533" s="266">
        <v>1243</v>
      </c>
      <c r="BZ533" s="266">
        <v>1212</v>
      </c>
      <c r="CA533" s="266">
        <v>1257</v>
      </c>
      <c r="CB533" s="266">
        <v>1235</v>
      </c>
      <c r="CC533" s="266">
        <v>1267</v>
      </c>
      <c r="CD533" s="266">
        <v>1242</v>
      </c>
      <c r="CE533" s="266">
        <v>1291</v>
      </c>
      <c r="CF533" s="266">
        <v>1296</v>
      </c>
      <c r="CG533" s="266">
        <v>1353</v>
      </c>
      <c r="CH533" s="266">
        <v>1414</v>
      </c>
      <c r="CI533" s="266">
        <v>1090</v>
      </c>
      <c r="CJ533" s="266">
        <v>1034</v>
      </c>
      <c r="CK533" s="266">
        <v>941</v>
      </c>
      <c r="CL533" s="266">
        <v>829</v>
      </c>
      <c r="CM533" s="266">
        <v>809</v>
      </c>
      <c r="CN533" s="266">
        <v>727</v>
      </c>
      <c r="CO533" s="266">
        <v>643</v>
      </c>
      <c r="CP533" s="266">
        <v>590</v>
      </c>
      <c r="CQ533" s="266">
        <v>557</v>
      </c>
      <c r="CR533" s="266">
        <v>451</v>
      </c>
      <c r="CS533" s="266">
        <v>410</v>
      </c>
      <c r="CT533" s="266">
        <v>387</v>
      </c>
      <c r="CU533" s="266">
        <v>367</v>
      </c>
      <c r="CV533" s="266">
        <v>285</v>
      </c>
      <c r="CW533" s="266">
        <v>222</v>
      </c>
      <c r="CX533" s="266">
        <v>174</v>
      </c>
      <c r="CY533" s="266">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2">
      <c r="A534" s="31" t="s">
        <v>207</v>
      </c>
      <c r="B534" s="1" t="s">
        <v>736</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266">
        <v>1062</v>
      </c>
      <c r="N534" s="266">
        <v>1200</v>
      </c>
      <c r="O534" s="266">
        <v>1245</v>
      </c>
      <c r="P534" s="266">
        <v>1233</v>
      </c>
      <c r="Q534" s="266">
        <v>1367</v>
      </c>
      <c r="R534" s="266">
        <v>1306</v>
      </c>
      <c r="S534" s="266">
        <v>1391</v>
      </c>
      <c r="T534" s="266">
        <v>1415</v>
      </c>
      <c r="U534" s="266">
        <v>1484</v>
      </c>
      <c r="V534" s="266">
        <v>1458</v>
      </c>
      <c r="W534" s="266">
        <v>1391</v>
      </c>
      <c r="X534" s="266">
        <v>1410</v>
      </c>
      <c r="Y534" s="266">
        <v>1428</v>
      </c>
      <c r="Z534" s="266">
        <v>1389</v>
      </c>
      <c r="AA534" s="266">
        <v>1380</v>
      </c>
      <c r="AB534" s="266">
        <v>1364</v>
      </c>
      <c r="AC534" s="266">
        <v>1376</v>
      </c>
      <c r="AD534" s="266">
        <v>1377</v>
      </c>
      <c r="AE534" s="266">
        <v>1386</v>
      </c>
      <c r="AF534" s="266">
        <v>1794</v>
      </c>
      <c r="AG534" s="266">
        <v>2463</v>
      </c>
      <c r="AH534" s="266">
        <v>2789</v>
      </c>
      <c r="AI534" s="266">
        <v>2556</v>
      </c>
      <c r="AJ534" s="266">
        <v>2324</v>
      </c>
      <c r="AK534" s="266">
        <v>2089</v>
      </c>
      <c r="AL534" s="266">
        <v>1797</v>
      </c>
      <c r="AM534" s="266">
        <v>1990</v>
      </c>
      <c r="AN534" s="266">
        <v>1956</v>
      </c>
      <c r="AO534" s="266">
        <v>1988</v>
      </c>
      <c r="AP534" s="266">
        <v>1865</v>
      </c>
      <c r="AQ534" s="266">
        <v>1910</v>
      </c>
      <c r="AR534" s="266">
        <v>1621</v>
      </c>
      <c r="AS534" s="266">
        <v>1509</v>
      </c>
      <c r="AT534" s="266">
        <v>1393</v>
      </c>
      <c r="AU534" s="266">
        <v>1547</v>
      </c>
      <c r="AV534" s="266">
        <v>1599</v>
      </c>
      <c r="AW534" s="266">
        <v>1491</v>
      </c>
      <c r="AX534" s="266">
        <v>1429</v>
      </c>
      <c r="AY534" s="266">
        <v>1524</v>
      </c>
      <c r="AZ534" s="266">
        <v>1500</v>
      </c>
      <c r="BA534" s="266">
        <v>1583</v>
      </c>
      <c r="BB534" s="266">
        <v>1335</v>
      </c>
      <c r="BC534" s="266">
        <v>1239</v>
      </c>
      <c r="BD534" s="266">
        <v>1464</v>
      </c>
      <c r="BE534" s="266">
        <v>1325</v>
      </c>
      <c r="BF534" s="266">
        <v>1324</v>
      </c>
      <c r="BG534" s="266">
        <v>1404</v>
      </c>
      <c r="BH534" s="266">
        <v>1449</v>
      </c>
      <c r="BI534" s="266">
        <v>1458</v>
      </c>
      <c r="BJ534" s="266">
        <v>1458</v>
      </c>
      <c r="BK534" s="266">
        <v>1423</v>
      </c>
      <c r="BL534" s="266">
        <v>1635</v>
      </c>
      <c r="BM534" s="266">
        <v>1553</v>
      </c>
      <c r="BN534" s="266">
        <v>1578</v>
      </c>
      <c r="BO534" s="266">
        <v>1551</v>
      </c>
      <c r="BP534" s="266">
        <v>1668</v>
      </c>
      <c r="BQ534" s="266">
        <v>1577</v>
      </c>
      <c r="BR534" s="266">
        <v>1494</v>
      </c>
      <c r="BS534" s="266">
        <v>1577</v>
      </c>
      <c r="BT534" s="266">
        <v>1447</v>
      </c>
      <c r="BU534" s="266">
        <v>1403</v>
      </c>
      <c r="BV534" s="266">
        <v>1347</v>
      </c>
      <c r="BW534" s="266">
        <v>1388</v>
      </c>
      <c r="BX534" s="266">
        <v>1310</v>
      </c>
      <c r="BY534" s="266">
        <v>1211</v>
      </c>
      <c r="BZ534" s="266">
        <v>1235</v>
      </c>
      <c r="CA534" s="266">
        <v>1225</v>
      </c>
      <c r="CB534" s="266">
        <v>1260</v>
      </c>
      <c r="CC534" s="266">
        <v>1233</v>
      </c>
      <c r="CD534" s="266">
        <v>1108</v>
      </c>
      <c r="CE534" s="266">
        <v>1217</v>
      </c>
      <c r="CF534" s="266">
        <v>1247</v>
      </c>
      <c r="CG534" s="266">
        <v>1268</v>
      </c>
      <c r="CH534" s="266">
        <v>1403</v>
      </c>
      <c r="CI534" s="266">
        <v>932</v>
      </c>
      <c r="CJ534" s="266">
        <v>978</v>
      </c>
      <c r="CK534" s="266">
        <v>948</v>
      </c>
      <c r="CL534" s="266">
        <v>921</v>
      </c>
      <c r="CM534" s="266">
        <v>767</v>
      </c>
      <c r="CN534" s="266">
        <v>684</v>
      </c>
      <c r="CO534" s="266">
        <v>670</v>
      </c>
      <c r="CP534" s="266">
        <v>608</v>
      </c>
      <c r="CQ534" s="266">
        <v>595</v>
      </c>
      <c r="CR534" s="266">
        <v>512</v>
      </c>
      <c r="CS534" s="266">
        <v>502</v>
      </c>
      <c r="CT534" s="266">
        <v>443</v>
      </c>
      <c r="CU534" s="266">
        <v>356</v>
      </c>
      <c r="CV534" s="266">
        <v>309</v>
      </c>
      <c r="CW534" s="266">
        <v>308</v>
      </c>
      <c r="CX534" s="266">
        <v>231</v>
      </c>
      <c r="CY534" s="266">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2">
      <c r="A535" s="31" t="s">
        <v>207</v>
      </c>
      <c r="B535" s="1" t="s">
        <v>737</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266">
        <v>485</v>
      </c>
      <c r="N535" s="266">
        <v>550</v>
      </c>
      <c r="O535" s="266">
        <v>490</v>
      </c>
      <c r="P535" s="266">
        <v>562</v>
      </c>
      <c r="Q535" s="266">
        <v>548</v>
      </c>
      <c r="R535" s="266">
        <v>531</v>
      </c>
      <c r="S535" s="266">
        <v>567</v>
      </c>
      <c r="T535" s="266">
        <v>567</v>
      </c>
      <c r="U535" s="266">
        <v>610</v>
      </c>
      <c r="V535" s="266">
        <v>603</v>
      </c>
      <c r="W535" s="266">
        <v>625</v>
      </c>
      <c r="X535" s="266">
        <v>576</v>
      </c>
      <c r="Y535" s="266">
        <v>580</v>
      </c>
      <c r="Z535" s="266">
        <v>554</v>
      </c>
      <c r="AA535" s="266">
        <v>566</v>
      </c>
      <c r="AB535" s="266">
        <v>572</v>
      </c>
      <c r="AC535" s="266">
        <v>489</v>
      </c>
      <c r="AD535" s="266">
        <v>508</v>
      </c>
      <c r="AE535" s="266">
        <v>499</v>
      </c>
      <c r="AF535" s="266">
        <v>490</v>
      </c>
      <c r="AG535" s="266">
        <v>495</v>
      </c>
      <c r="AH535" s="266">
        <v>508</v>
      </c>
      <c r="AI535" s="266">
        <v>513</v>
      </c>
      <c r="AJ535" s="266">
        <v>626</v>
      </c>
      <c r="AK535" s="266">
        <v>617</v>
      </c>
      <c r="AL535" s="266">
        <v>610</v>
      </c>
      <c r="AM535" s="266">
        <v>609</v>
      </c>
      <c r="AN535" s="266">
        <v>568</v>
      </c>
      <c r="AO535" s="266">
        <v>620</v>
      </c>
      <c r="AP535" s="266">
        <v>694</v>
      </c>
      <c r="AQ535" s="266">
        <v>633</v>
      </c>
      <c r="AR535" s="266">
        <v>654</v>
      </c>
      <c r="AS535" s="266">
        <v>553</v>
      </c>
      <c r="AT535" s="266">
        <v>547</v>
      </c>
      <c r="AU535" s="266">
        <v>608</v>
      </c>
      <c r="AV535" s="266">
        <v>595</v>
      </c>
      <c r="AW535" s="266">
        <v>582</v>
      </c>
      <c r="AX535" s="266">
        <v>573</v>
      </c>
      <c r="AY535" s="266">
        <v>539</v>
      </c>
      <c r="AZ535" s="266">
        <v>537</v>
      </c>
      <c r="BA535" s="266">
        <v>539</v>
      </c>
      <c r="BB535" s="266">
        <v>542</v>
      </c>
      <c r="BC535" s="266">
        <v>455</v>
      </c>
      <c r="BD535" s="266">
        <v>496</v>
      </c>
      <c r="BE535" s="266">
        <v>437</v>
      </c>
      <c r="BF535" s="266">
        <v>472</v>
      </c>
      <c r="BG535" s="266">
        <v>514</v>
      </c>
      <c r="BH535" s="266">
        <v>552</v>
      </c>
      <c r="BI535" s="266">
        <v>566</v>
      </c>
      <c r="BJ535" s="266">
        <v>627</v>
      </c>
      <c r="BK535" s="266">
        <v>649</v>
      </c>
      <c r="BL535" s="266">
        <v>654</v>
      </c>
      <c r="BM535" s="266">
        <v>620</v>
      </c>
      <c r="BN535" s="266">
        <v>627</v>
      </c>
      <c r="BO535" s="266">
        <v>636</v>
      </c>
      <c r="BP535" s="266">
        <v>723</v>
      </c>
      <c r="BQ535" s="266">
        <v>646</v>
      </c>
      <c r="BR535" s="266">
        <v>687</v>
      </c>
      <c r="BS535" s="266">
        <v>673</v>
      </c>
      <c r="BT535" s="266">
        <v>633</v>
      </c>
      <c r="BU535" s="266">
        <v>601</v>
      </c>
      <c r="BV535" s="266">
        <v>618</v>
      </c>
      <c r="BW535" s="266">
        <v>595</v>
      </c>
      <c r="BX535" s="266">
        <v>531</v>
      </c>
      <c r="BY535" s="266">
        <v>499</v>
      </c>
      <c r="BZ535" s="266">
        <v>483</v>
      </c>
      <c r="CA535" s="266">
        <v>550</v>
      </c>
      <c r="CB535" s="266">
        <v>494</v>
      </c>
      <c r="CC535" s="266">
        <v>502</v>
      </c>
      <c r="CD535" s="266">
        <v>529</v>
      </c>
      <c r="CE535" s="266">
        <v>499</v>
      </c>
      <c r="CF535" s="266">
        <v>498</v>
      </c>
      <c r="CG535" s="266">
        <v>520</v>
      </c>
      <c r="CH535" s="266">
        <v>577</v>
      </c>
      <c r="CI535" s="266">
        <v>416</v>
      </c>
      <c r="CJ535" s="266">
        <v>430</v>
      </c>
      <c r="CK535" s="266">
        <v>383</v>
      </c>
      <c r="CL535" s="266">
        <v>339</v>
      </c>
      <c r="CM535" s="266">
        <v>302</v>
      </c>
      <c r="CN535" s="266">
        <v>288</v>
      </c>
      <c r="CO535" s="266">
        <v>272</v>
      </c>
      <c r="CP535" s="266">
        <v>261</v>
      </c>
      <c r="CQ535" s="266">
        <v>252</v>
      </c>
      <c r="CR535" s="266">
        <v>199</v>
      </c>
      <c r="CS535" s="266">
        <v>182</v>
      </c>
      <c r="CT535" s="266">
        <v>161</v>
      </c>
      <c r="CU535" s="266">
        <v>162</v>
      </c>
      <c r="CV535" s="266">
        <v>148</v>
      </c>
      <c r="CW535" s="266">
        <v>104</v>
      </c>
      <c r="CX535" s="266">
        <v>81</v>
      </c>
      <c r="CY535" s="266">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2">
      <c r="A536" s="31" t="s">
        <v>207</v>
      </c>
      <c r="B536" s="1" t="s">
        <v>738</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266">
        <v>619</v>
      </c>
      <c r="N536" s="266">
        <v>646</v>
      </c>
      <c r="O536" s="266">
        <v>687</v>
      </c>
      <c r="P536" s="266">
        <v>784</v>
      </c>
      <c r="Q536" s="266">
        <v>753</v>
      </c>
      <c r="R536" s="266">
        <v>777</v>
      </c>
      <c r="S536" s="266">
        <v>790</v>
      </c>
      <c r="T536" s="266">
        <v>826</v>
      </c>
      <c r="U536" s="266">
        <v>843</v>
      </c>
      <c r="V536" s="266">
        <v>797</v>
      </c>
      <c r="W536" s="266">
        <v>875</v>
      </c>
      <c r="X536" s="266">
        <v>871</v>
      </c>
      <c r="Y536" s="266">
        <v>888</v>
      </c>
      <c r="Z536" s="266">
        <v>838</v>
      </c>
      <c r="AA536" s="266">
        <v>799</v>
      </c>
      <c r="AB536" s="266">
        <v>768</v>
      </c>
      <c r="AC536" s="266">
        <v>711</v>
      </c>
      <c r="AD536" s="266">
        <v>803</v>
      </c>
      <c r="AE536" s="266">
        <v>754</v>
      </c>
      <c r="AF536" s="266">
        <v>643</v>
      </c>
      <c r="AG536" s="266">
        <v>672</v>
      </c>
      <c r="AH536" s="266">
        <v>677</v>
      </c>
      <c r="AI536" s="266">
        <v>793</v>
      </c>
      <c r="AJ536" s="266">
        <v>749</v>
      </c>
      <c r="AK536" s="266">
        <v>782</v>
      </c>
      <c r="AL536" s="266">
        <v>802</v>
      </c>
      <c r="AM536" s="266">
        <v>820</v>
      </c>
      <c r="AN536" s="266">
        <v>738</v>
      </c>
      <c r="AO536" s="266">
        <v>744</v>
      </c>
      <c r="AP536" s="266">
        <v>854</v>
      </c>
      <c r="AQ536" s="266">
        <v>793</v>
      </c>
      <c r="AR536" s="266">
        <v>791</v>
      </c>
      <c r="AS536" s="266">
        <v>777</v>
      </c>
      <c r="AT536" s="266">
        <v>774</v>
      </c>
      <c r="AU536" s="266">
        <v>835</v>
      </c>
      <c r="AV536" s="266">
        <v>787</v>
      </c>
      <c r="AW536" s="266">
        <v>797</v>
      </c>
      <c r="AX536" s="266">
        <v>803</v>
      </c>
      <c r="AY536" s="266">
        <v>773</v>
      </c>
      <c r="AZ536" s="266">
        <v>901</v>
      </c>
      <c r="BA536" s="266">
        <v>873</v>
      </c>
      <c r="BB536" s="266">
        <v>855</v>
      </c>
      <c r="BC536" s="266">
        <v>780</v>
      </c>
      <c r="BD536" s="266">
        <v>803</v>
      </c>
      <c r="BE536" s="266">
        <v>810</v>
      </c>
      <c r="BF536" s="266">
        <v>822</v>
      </c>
      <c r="BG536" s="266">
        <v>819</v>
      </c>
      <c r="BH536" s="266">
        <v>873</v>
      </c>
      <c r="BI536" s="266">
        <v>945</v>
      </c>
      <c r="BJ536" s="266">
        <v>869</v>
      </c>
      <c r="BK536" s="266">
        <v>846</v>
      </c>
      <c r="BL536" s="266">
        <v>885</v>
      </c>
      <c r="BM536" s="266">
        <v>912</v>
      </c>
      <c r="BN536" s="266">
        <v>982</v>
      </c>
      <c r="BO536" s="266">
        <v>841</v>
      </c>
      <c r="BP536" s="266">
        <v>918</v>
      </c>
      <c r="BQ536" s="266">
        <v>944</v>
      </c>
      <c r="BR536" s="266">
        <v>918</v>
      </c>
      <c r="BS536" s="266">
        <v>933</v>
      </c>
      <c r="BT536" s="266">
        <v>920</v>
      </c>
      <c r="BU536" s="266">
        <v>871</v>
      </c>
      <c r="BV536" s="266">
        <v>850</v>
      </c>
      <c r="BW536" s="266">
        <v>813</v>
      </c>
      <c r="BX536" s="266">
        <v>816</v>
      </c>
      <c r="BY536" s="266">
        <v>776</v>
      </c>
      <c r="BZ536" s="266">
        <v>768</v>
      </c>
      <c r="CA536" s="266">
        <v>786</v>
      </c>
      <c r="CB536" s="266">
        <v>821</v>
      </c>
      <c r="CC536" s="266">
        <v>719</v>
      </c>
      <c r="CD536" s="266">
        <v>703</v>
      </c>
      <c r="CE536" s="266">
        <v>694</v>
      </c>
      <c r="CF536" s="266">
        <v>713</v>
      </c>
      <c r="CG536" s="266">
        <v>749</v>
      </c>
      <c r="CH536" s="266">
        <v>840</v>
      </c>
      <c r="CI536" s="266">
        <v>579</v>
      </c>
      <c r="CJ536" s="266">
        <v>592</v>
      </c>
      <c r="CK536" s="266">
        <v>627</v>
      </c>
      <c r="CL536" s="266">
        <v>526</v>
      </c>
      <c r="CM536" s="266">
        <v>456</v>
      </c>
      <c r="CN536" s="266">
        <v>420</v>
      </c>
      <c r="CO536" s="266">
        <v>391</v>
      </c>
      <c r="CP536" s="266">
        <v>370</v>
      </c>
      <c r="CQ536" s="266">
        <v>345</v>
      </c>
      <c r="CR536" s="266">
        <v>304</v>
      </c>
      <c r="CS536" s="266">
        <v>255</v>
      </c>
      <c r="CT536" s="266">
        <v>218</v>
      </c>
      <c r="CU536" s="266">
        <v>213</v>
      </c>
      <c r="CV536" s="266">
        <v>187</v>
      </c>
      <c r="CW536" s="266">
        <v>156</v>
      </c>
      <c r="CX536" s="266">
        <v>122</v>
      </c>
      <c r="CY536" s="266">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2">
      <c r="A537" s="31" t="s">
        <v>207</v>
      </c>
      <c r="B537" s="1" t="s">
        <v>739</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266">
        <v>718</v>
      </c>
      <c r="N537" s="266">
        <v>713</v>
      </c>
      <c r="O537" s="266">
        <v>739</v>
      </c>
      <c r="P537" s="266">
        <v>822</v>
      </c>
      <c r="Q537" s="266">
        <v>808</v>
      </c>
      <c r="R537" s="266">
        <v>793</v>
      </c>
      <c r="S537" s="266">
        <v>764</v>
      </c>
      <c r="T537" s="266">
        <v>871</v>
      </c>
      <c r="U537" s="266">
        <v>863</v>
      </c>
      <c r="V537" s="266">
        <v>917</v>
      </c>
      <c r="W537" s="266">
        <v>932</v>
      </c>
      <c r="X537" s="266">
        <v>916</v>
      </c>
      <c r="Y537" s="266">
        <v>858</v>
      </c>
      <c r="Z537" s="266">
        <v>884</v>
      </c>
      <c r="AA537" s="266">
        <v>866</v>
      </c>
      <c r="AB537" s="266">
        <v>851</v>
      </c>
      <c r="AC537" s="266">
        <v>792</v>
      </c>
      <c r="AD537" s="266">
        <v>756</v>
      </c>
      <c r="AE537" s="266">
        <v>750</v>
      </c>
      <c r="AF537" s="266">
        <v>717</v>
      </c>
      <c r="AG537" s="266">
        <v>692</v>
      </c>
      <c r="AH537" s="266">
        <v>716</v>
      </c>
      <c r="AI537" s="266">
        <v>771</v>
      </c>
      <c r="AJ537" s="266">
        <v>810</v>
      </c>
      <c r="AK537" s="266">
        <v>837</v>
      </c>
      <c r="AL537" s="266">
        <v>806</v>
      </c>
      <c r="AM537" s="266">
        <v>820</v>
      </c>
      <c r="AN537" s="266">
        <v>881</v>
      </c>
      <c r="AO537" s="266">
        <v>810</v>
      </c>
      <c r="AP537" s="266">
        <v>915</v>
      </c>
      <c r="AQ537" s="266">
        <v>845</v>
      </c>
      <c r="AR537" s="266">
        <v>911</v>
      </c>
      <c r="AS537" s="266">
        <v>916</v>
      </c>
      <c r="AT537" s="266">
        <v>852</v>
      </c>
      <c r="AU537" s="266">
        <v>836</v>
      </c>
      <c r="AV537" s="266">
        <v>951</v>
      </c>
      <c r="AW537" s="266">
        <v>838</v>
      </c>
      <c r="AX537" s="266">
        <v>896</v>
      </c>
      <c r="AY537" s="266">
        <v>850</v>
      </c>
      <c r="AZ537" s="266">
        <v>977</v>
      </c>
      <c r="BA537" s="266">
        <v>894</v>
      </c>
      <c r="BB537" s="266">
        <v>855</v>
      </c>
      <c r="BC537" s="266">
        <v>693</v>
      </c>
      <c r="BD537" s="266">
        <v>768</v>
      </c>
      <c r="BE537" s="266">
        <v>782</v>
      </c>
      <c r="BF537" s="266">
        <v>851</v>
      </c>
      <c r="BG537" s="266">
        <v>813</v>
      </c>
      <c r="BH537" s="266">
        <v>920</v>
      </c>
      <c r="BI537" s="266">
        <v>1020</v>
      </c>
      <c r="BJ537" s="266">
        <v>999</v>
      </c>
      <c r="BK537" s="266">
        <v>971</v>
      </c>
      <c r="BL537" s="266">
        <v>956</v>
      </c>
      <c r="BM537" s="266">
        <v>929</v>
      </c>
      <c r="BN537" s="266">
        <v>891</v>
      </c>
      <c r="BO537" s="266">
        <v>976</v>
      </c>
      <c r="BP537" s="266">
        <v>1000</v>
      </c>
      <c r="BQ537" s="266">
        <v>990</v>
      </c>
      <c r="BR537" s="266">
        <v>958</v>
      </c>
      <c r="BS537" s="266">
        <v>932</v>
      </c>
      <c r="BT537" s="266">
        <v>894</v>
      </c>
      <c r="BU537" s="266">
        <v>853</v>
      </c>
      <c r="BV537" s="266">
        <v>757</v>
      </c>
      <c r="BW537" s="266">
        <v>815</v>
      </c>
      <c r="BX537" s="266">
        <v>813</v>
      </c>
      <c r="BY537" s="266">
        <v>803</v>
      </c>
      <c r="BZ537" s="266">
        <v>734</v>
      </c>
      <c r="CA537" s="266">
        <v>762</v>
      </c>
      <c r="CB537" s="266">
        <v>767</v>
      </c>
      <c r="CC537" s="266">
        <v>726</v>
      </c>
      <c r="CD537" s="266">
        <v>706</v>
      </c>
      <c r="CE537" s="266">
        <v>708</v>
      </c>
      <c r="CF537" s="266">
        <v>765</v>
      </c>
      <c r="CG537" s="266">
        <v>780</v>
      </c>
      <c r="CH537" s="266">
        <v>836</v>
      </c>
      <c r="CI537" s="266">
        <v>631</v>
      </c>
      <c r="CJ537" s="266">
        <v>585</v>
      </c>
      <c r="CK537" s="266">
        <v>573</v>
      </c>
      <c r="CL537" s="266">
        <v>585</v>
      </c>
      <c r="CM537" s="266">
        <v>476</v>
      </c>
      <c r="CN537" s="266">
        <v>420</v>
      </c>
      <c r="CO537" s="266">
        <v>392</v>
      </c>
      <c r="CP537" s="266">
        <v>365</v>
      </c>
      <c r="CQ537" s="266">
        <v>354</v>
      </c>
      <c r="CR537" s="266">
        <v>293</v>
      </c>
      <c r="CS537" s="266">
        <v>274</v>
      </c>
      <c r="CT537" s="266">
        <v>239</v>
      </c>
      <c r="CU537" s="266">
        <v>188</v>
      </c>
      <c r="CV537" s="266">
        <v>194</v>
      </c>
      <c r="CW537" s="266">
        <v>157</v>
      </c>
      <c r="CX537" s="266">
        <v>147</v>
      </c>
      <c r="CY537" s="266">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19" customFormat="1" ht="15" hidden="1" x14ac:dyDescent="0.25">
      <c r="A538" s="115"/>
      <c r="B538" s="125"/>
      <c r="C538" s="115"/>
      <c r="D538" s="117">
        <f>SUM(D516:D537)</f>
        <v>1240703</v>
      </c>
      <c r="E538" s="117">
        <f t="shared" ref="E538:L538" si="147">SUM(E516:E537)</f>
        <v>1299011</v>
      </c>
      <c r="F538" s="117">
        <f t="shared" si="147"/>
        <v>3169586</v>
      </c>
      <c r="G538" s="117">
        <f t="shared" si="147"/>
        <v>1563524</v>
      </c>
      <c r="H538" s="117">
        <f t="shared" si="147"/>
        <v>1606062</v>
      </c>
      <c r="I538" s="117">
        <f t="shared" si="147"/>
        <v>1240703</v>
      </c>
      <c r="J538" s="117">
        <f t="shared" si="147"/>
        <v>1299011</v>
      </c>
      <c r="K538" s="117">
        <f t="shared" si="147"/>
        <v>322821</v>
      </c>
      <c r="L538" s="117">
        <f t="shared" si="147"/>
        <v>307051</v>
      </c>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c r="EP538" s="118"/>
      <c r="EQ538" s="118"/>
      <c r="ER538" s="118"/>
      <c r="ES538" s="118"/>
      <c r="ET538" s="118"/>
      <c r="EU538" s="118"/>
      <c r="EV538" s="118"/>
      <c r="EW538" s="118"/>
      <c r="EX538" s="118"/>
      <c r="EY538" s="118"/>
      <c r="EZ538" s="118"/>
      <c r="FA538" s="118"/>
      <c r="FB538" s="118"/>
      <c r="FC538" s="118"/>
      <c r="FD538" s="118"/>
      <c r="FE538" s="118"/>
      <c r="FF538" s="118"/>
      <c r="FG538" s="118"/>
      <c r="FH538" s="118"/>
      <c r="FI538" s="118"/>
      <c r="FJ538" s="118"/>
      <c r="FK538" s="118"/>
      <c r="FL538" s="118"/>
      <c r="FM538" s="118"/>
      <c r="FN538" s="118"/>
      <c r="FO538" s="118"/>
      <c r="FP538" s="118"/>
      <c r="FQ538" s="118"/>
      <c r="FR538" s="118"/>
      <c r="FS538" s="118"/>
      <c r="FT538" s="118"/>
      <c r="FU538" s="118"/>
      <c r="FV538" s="118"/>
      <c r="FW538" s="118"/>
      <c r="FX538" s="118"/>
      <c r="FY538" s="118"/>
      <c r="FZ538" s="118"/>
      <c r="GA538" s="118"/>
      <c r="GB538" s="118"/>
      <c r="GC538" s="118"/>
      <c r="GD538" s="118"/>
      <c r="GE538" s="118"/>
      <c r="GF538" s="118"/>
      <c r="GG538" s="118"/>
      <c r="GH538" s="118"/>
      <c r="GI538" s="118"/>
      <c r="GJ538" s="118"/>
      <c r="GK538" s="118"/>
      <c r="GL538" s="117"/>
    </row>
    <row r="539" spans="1:194" s="1" customFormat="1" hidden="1" x14ac:dyDescent="0.2">
      <c r="A539" s="31" t="s">
        <v>211</v>
      </c>
      <c r="B539" s="1" t="s">
        <v>740</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2">
      <c r="A540" s="31" t="s">
        <v>211</v>
      </c>
      <c r="B540" s="1" t="s">
        <v>741</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2">
      <c r="A541" s="31" t="s">
        <v>211</v>
      </c>
      <c r="B541" s="1" t="s">
        <v>742</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2">
      <c r="A542" s="31" t="s">
        <v>211</v>
      </c>
      <c r="B542" s="1" t="s">
        <v>743</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2">
      <c r="A543" s="31" t="s">
        <v>211</v>
      </c>
      <c r="B543" s="1" t="s">
        <v>744</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2">
      <c r="A544" s="31" t="s">
        <v>211</v>
      </c>
      <c r="B544" s="1" t="s">
        <v>745</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2">
      <c r="A545" s="31" t="s">
        <v>211</v>
      </c>
      <c r="B545" s="1" t="s">
        <v>746</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2">
      <c r="A546" s="31" t="s">
        <v>211</v>
      </c>
      <c r="B546" s="1" t="s">
        <v>747</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2">
      <c r="A547" s="31" t="s">
        <v>211</v>
      </c>
      <c r="B547" s="1" t="s">
        <v>748</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2">
      <c r="A548" s="31" t="s">
        <v>211</v>
      </c>
      <c r="B548" s="1" t="s">
        <v>749</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2">
      <c r="A549" s="31" t="s">
        <v>211</v>
      </c>
      <c r="B549" s="1" t="s">
        <v>750</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19" customFormat="1" ht="15" hidden="1" x14ac:dyDescent="0.25">
      <c r="A550" s="115"/>
      <c r="B550" s="126"/>
      <c r="C550" s="115"/>
      <c r="D550" s="118">
        <f>SUM(D539:D549)</f>
        <v>707833</v>
      </c>
      <c r="E550" s="118">
        <f>SUM(E539:E549)</f>
        <v>746569</v>
      </c>
      <c r="F550" s="118">
        <f>SUM(F539:F549)</f>
        <v>1895510</v>
      </c>
      <c r="G550" s="118">
        <f>SUM(G539:G549)</f>
        <v>934155</v>
      </c>
      <c r="H550" s="118">
        <f>SUM(H539:H549)</f>
        <v>961355</v>
      </c>
      <c r="I550" s="117"/>
      <c r="J550" s="117"/>
      <c r="K550" s="118"/>
      <c r="L550" s="117"/>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7"/>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c r="EP550" s="118"/>
      <c r="EQ550" s="118"/>
      <c r="ER550" s="118"/>
      <c r="ES550" s="118"/>
      <c r="ET550" s="118"/>
      <c r="EU550" s="118"/>
      <c r="EV550" s="118"/>
      <c r="EW550" s="118"/>
      <c r="EX550" s="118"/>
      <c r="EY550" s="118"/>
      <c r="EZ550" s="118"/>
      <c r="FA550" s="118"/>
      <c r="FB550" s="118"/>
      <c r="FC550" s="118"/>
      <c r="FD550" s="118"/>
      <c r="FE550" s="118"/>
      <c r="FF550" s="118"/>
      <c r="FG550" s="118"/>
      <c r="FH550" s="118"/>
      <c r="FI550" s="118"/>
      <c r="FJ550" s="118"/>
      <c r="FK550" s="118"/>
      <c r="FL550" s="118"/>
      <c r="FM550" s="118"/>
      <c r="FN550" s="118"/>
      <c r="FO550" s="118"/>
      <c r="FP550" s="118"/>
      <c r="FQ550" s="118"/>
      <c r="FR550" s="118"/>
      <c r="FS550" s="118"/>
      <c r="FT550" s="118"/>
      <c r="FU550" s="118"/>
      <c r="FV550" s="118"/>
      <c r="FW550" s="118"/>
      <c r="FX550" s="118"/>
      <c r="FY550" s="118"/>
      <c r="FZ550" s="118"/>
      <c r="GA550" s="118"/>
      <c r="GB550" s="118"/>
      <c r="GC550" s="118"/>
      <c r="GD550" s="118"/>
      <c r="GE550" s="118"/>
      <c r="GF550" s="118"/>
      <c r="GG550" s="118"/>
      <c r="GH550" s="118"/>
      <c r="GI550" s="118"/>
      <c r="GJ550" s="118"/>
      <c r="GK550" s="118"/>
      <c r="GL550" s="117"/>
    </row>
    <row r="551" spans="1:194" x14ac:dyDescent="0.2">
      <c r="D551" s="85"/>
      <c r="E551" s="85"/>
      <c r="F551" s="85"/>
      <c r="G551" s="85"/>
      <c r="H551" s="85"/>
      <c r="I551" s="85"/>
      <c r="J551" s="85"/>
      <c r="K551" s="85"/>
      <c r="L551" s="85"/>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2">
      <c r="C552" s="21" t="s">
        <v>751</v>
      </c>
      <c r="D552" s="269" t="s">
        <v>752</v>
      </c>
      <c r="E552" s="269" t="s">
        <v>753</v>
      </c>
      <c r="F552" s="269" t="s">
        <v>754</v>
      </c>
      <c r="G552" s="269" t="s">
        <v>755</v>
      </c>
      <c r="H552" s="269" t="s">
        <v>756</v>
      </c>
      <c r="I552" s="269" t="s">
        <v>757</v>
      </c>
      <c r="J552" s="744" t="s">
        <v>758</v>
      </c>
      <c r="K552" s="747" t="s">
        <v>759</v>
      </c>
      <c r="L552" s="465" t="s">
        <v>760</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2">
      <c r="C553" s="21" t="s">
        <v>761</v>
      </c>
      <c r="D553" s="1327" t="s">
        <v>762</v>
      </c>
      <c r="E553" s="1328"/>
      <c r="F553" s="1328"/>
      <c r="G553" s="1328"/>
      <c r="H553" s="1328"/>
      <c r="I553" s="1329"/>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2">
      <c r="B554" s="11">
        <v>0</v>
      </c>
      <c r="C554" s="268" t="s">
        <v>763</v>
      </c>
      <c r="D554" s="272"/>
      <c r="E554" s="272"/>
      <c r="F554" s="272"/>
      <c r="G554" s="272"/>
      <c r="H554" s="272"/>
      <c r="I554" s="272"/>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2">
      <c r="B555" s="11">
        <v>1</v>
      </c>
      <c r="C555" s="268" t="s">
        <v>764</v>
      </c>
      <c r="D555" s="272">
        <v>1.0084713674792447</v>
      </c>
      <c r="E555" s="272">
        <v>1.012558766876926</v>
      </c>
      <c r="F555" s="272">
        <v>1.0164706229364109</v>
      </c>
      <c r="G555" s="272">
        <v>1.0201553531133736</v>
      </c>
      <c r="H555" s="272">
        <v>1.0235742483952912</v>
      </c>
      <c r="I555" s="272">
        <v>1.0267172469145875</v>
      </c>
      <c r="J555" s="745">
        <f>(I555-100%)/5</f>
        <v>5.3434493829175086E-3</v>
      </c>
      <c r="K555" s="748">
        <f t="shared" ref="K555:K568" si="155">(I555/100%)^(1/5)-1</f>
        <v>5.2872431120358776E-3</v>
      </c>
      <c r="L555" s="740">
        <v>5.2872431120358776E-3</v>
      </c>
      <c r="M555" s="734"/>
      <c r="N555" s="734"/>
      <c r="O555" s="735"/>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2">
      <c r="B556" s="11">
        <v>2</v>
      </c>
      <c r="C556" s="268" t="s">
        <v>765</v>
      </c>
      <c r="D556" s="272">
        <v>0.97911366120419119</v>
      </c>
      <c r="E556" s="272">
        <v>0.96505936183655627</v>
      </c>
      <c r="F556" s="272">
        <v>0.94901616112315001</v>
      </c>
      <c r="G556" s="272">
        <v>0.93508333165134838</v>
      </c>
      <c r="H556" s="272">
        <v>0.9222712546323395</v>
      </c>
      <c r="I556" s="272">
        <v>0.90935825851558405</v>
      </c>
      <c r="J556" s="745">
        <f t="shared" ref="J556:J568" si="156">(I556-100%)/5</f>
        <v>-1.8128348296883191E-2</v>
      </c>
      <c r="K556" s="748">
        <f t="shared" si="155"/>
        <v>-1.8823804738367533E-2</v>
      </c>
      <c r="L556" s="740">
        <v>-1.8823804738367533E-2</v>
      </c>
      <c r="M556" s="734"/>
      <c r="N556" s="734"/>
      <c r="O556" s="735"/>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2">
      <c r="B557" s="11">
        <v>3</v>
      </c>
      <c r="C557" s="268" t="s">
        <v>766</v>
      </c>
      <c r="D557" s="272">
        <v>1.0501308817348203</v>
      </c>
      <c r="E557" s="272">
        <v>1.0744077400525671</v>
      </c>
      <c r="F557" s="272">
        <v>1.0955667624449938</v>
      </c>
      <c r="G557" s="272">
        <v>1.1079906380704687</v>
      </c>
      <c r="H557" s="272">
        <v>1.1107920201570887</v>
      </c>
      <c r="I557" s="272">
        <v>1.1136931872847826</v>
      </c>
      <c r="J557" s="745">
        <f t="shared" si="156"/>
        <v>2.2738637456956524E-2</v>
      </c>
      <c r="K557" s="748">
        <f t="shared" si="155"/>
        <v>2.1769918371808084E-2</v>
      </c>
      <c r="L557" s="740">
        <v>2.1769918371808084E-2</v>
      </c>
      <c r="M557" s="734"/>
      <c r="N557" s="734"/>
      <c r="O557" s="735"/>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2">
      <c r="B558" s="11">
        <v>4</v>
      </c>
      <c r="C558" s="268" t="s">
        <v>767</v>
      </c>
      <c r="D558" s="272">
        <v>1.0021244015688702</v>
      </c>
      <c r="E558" s="272">
        <v>1.0004900238876309</v>
      </c>
      <c r="F558" s="272">
        <v>0.99650095160224417</v>
      </c>
      <c r="G558" s="272">
        <v>0.99110812543288473</v>
      </c>
      <c r="H558" s="272">
        <v>0.9833550643960518</v>
      </c>
      <c r="I558" s="272">
        <v>0.97556611568334439</v>
      </c>
      <c r="J558" s="745">
        <f t="shared" si="156"/>
        <v>-4.8867768633311217E-3</v>
      </c>
      <c r="K558" s="748">
        <f t="shared" si="155"/>
        <v>-4.9352504369472028E-3</v>
      </c>
      <c r="L558" s="740">
        <v>-4.9352504369472028E-3</v>
      </c>
      <c r="M558" s="734"/>
      <c r="N558" s="734"/>
      <c r="O558" s="735"/>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2">
      <c r="B559" s="11">
        <v>5</v>
      </c>
      <c r="C559" s="268" t="s">
        <v>768</v>
      </c>
      <c r="D559" s="272">
        <v>0.99814913154892626</v>
      </c>
      <c r="E559" s="272">
        <v>0.99606252583011812</v>
      </c>
      <c r="F559" s="272">
        <v>0.99474491881213067</v>
      </c>
      <c r="G559" s="272">
        <v>0.99345811966553155</v>
      </c>
      <c r="H559" s="272">
        <v>0.99277041951420775</v>
      </c>
      <c r="I559" s="272">
        <v>0.99248367810384175</v>
      </c>
      <c r="J559" s="745">
        <f t="shared" si="156"/>
        <v>-1.5032643792316502E-3</v>
      </c>
      <c r="K559" s="748">
        <f t="shared" si="155"/>
        <v>-1.5078044771719146E-3</v>
      </c>
      <c r="L559" s="740">
        <v>-1.5078044771719146E-3</v>
      </c>
      <c r="M559" s="734"/>
      <c r="N559" s="734"/>
      <c r="O559" s="735"/>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2">
      <c r="B560" s="11">
        <v>6</v>
      </c>
      <c r="C560" s="732" t="s">
        <v>769</v>
      </c>
      <c r="D560" s="733">
        <v>1.0101978885143685</v>
      </c>
      <c r="E560" s="733">
        <v>1.0158417431734368</v>
      </c>
      <c r="F560" s="733">
        <v>1.0219028338714957</v>
      </c>
      <c r="G560" s="733">
        <v>1.0280568686265446</v>
      </c>
      <c r="H560" s="733">
        <v>1.0345147935582482</v>
      </c>
      <c r="I560" s="733">
        <v>1.0406315337231495</v>
      </c>
      <c r="J560" s="745">
        <f t="shared" si="156"/>
        <v>8.1263067446299079E-3</v>
      </c>
      <c r="K560" s="748">
        <f t="shared" si="155"/>
        <v>7.9973639975556843E-3</v>
      </c>
      <c r="L560" s="740">
        <v>7.9973639975556843E-3</v>
      </c>
      <c r="M560" s="734"/>
      <c r="N560" s="734"/>
      <c r="O560" s="735"/>
      <c r="P560" s="13"/>
      <c r="Q560" s="738"/>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2">
      <c r="B561" s="11">
        <v>7</v>
      </c>
      <c r="C561" s="268" t="s">
        <v>770</v>
      </c>
      <c r="D561" s="272">
        <v>1.0179895480811041</v>
      </c>
      <c r="E561" s="272">
        <v>1.0270245103407745</v>
      </c>
      <c r="F561" s="272">
        <v>1.035680022619258</v>
      </c>
      <c r="G561" s="272">
        <v>1.044587575347828</v>
      </c>
      <c r="H561" s="272">
        <v>1.0533108586534927</v>
      </c>
      <c r="I561" s="272">
        <v>1.0618565818679431</v>
      </c>
      <c r="J561" s="745">
        <f t="shared" si="156"/>
        <v>1.2371316373588615E-2</v>
      </c>
      <c r="K561" s="748">
        <f t="shared" si="155"/>
        <v>1.2076108105830263E-2</v>
      </c>
      <c r="L561" s="740">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2">
      <c r="B562" s="11">
        <v>8</v>
      </c>
      <c r="C562" s="268" t="s">
        <v>771</v>
      </c>
      <c r="D562" s="272">
        <v>1.025459585029741</v>
      </c>
      <c r="E562" s="272">
        <v>1.0362883746720766</v>
      </c>
      <c r="F562" s="272">
        <v>1.0456150301831861</v>
      </c>
      <c r="G562" s="272">
        <v>1.0541139681739078</v>
      </c>
      <c r="H562" s="272">
        <v>1.0617518973784201</v>
      </c>
      <c r="I562" s="272">
        <v>1.0684919468248992</v>
      </c>
      <c r="J562" s="745">
        <f t="shared" si="156"/>
        <v>1.3698389364979847E-2</v>
      </c>
      <c r="K562" s="748">
        <f t="shared" si="155"/>
        <v>1.3337817363712645E-2</v>
      </c>
      <c r="L562" s="740">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2">
      <c r="B563" s="11">
        <v>9</v>
      </c>
      <c r="C563" s="268" t="s">
        <v>772</v>
      </c>
      <c r="D563" s="272">
        <v>1.0176309601745992</v>
      </c>
      <c r="E563" s="272">
        <v>1.026721384011922</v>
      </c>
      <c r="F563" s="272">
        <v>1.0353097334700412</v>
      </c>
      <c r="G563" s="272">
        <v>1.0443529299521672</v>
      </c>
      <c r="H563" s="272">
        <v>1.0531269671200225</v>
      </c>
      <c r="I563" s="272">
        <v>1.060999071634672</v>
      </c>
      <c r="J563" s="745">
        <f t="shared" si="156"/>
        <v>1.2199814326934399E-2</v>
      </c>
      <c r="K563" s="748">
        <f t="shared" si="155"/>
        <v>1.1912593350478673E-2</v>
      </c>
      <c r="L563" s="740">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2">
      <c r="B564" s="11">
        <v>10</v>
      </c>
      <c r="C564" s="268" t="s">
        <v>773</v>
      </c>
      <c r="D564" s="272">
        <v>1.0262012632924804</v>
      </c>
      <c r="E564" s="272">
        <v>1.0377419172898725</v>
      </c>
      <c r="F564" s="272">
        <v>1.0474318943272938</v>
      </c>
      <c r="G564" s="272">
        <v>1.0562455260408008</v>
      </c>
      <c r="H564" s="272">
        <v>1.0640586503393024</v>
      </c>
      <c r="I564" s="272">
        <v>1.0709776495395087</v>
      </c>
      <c r="J564" s="745">
        <f t="shared" si="156"/>
        <v>1.4195529907901738E-2</v>
      </c>
      <c r="K564" s="748">
        <f t="shared" si="155"/>
        <v>1.3808858053341311E-2</v>
      </c>
      <c r="L564" s="740">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2">
      <c r="B565" s="11">
        <v>11</v>
      </c>
      <c r="C565" s="268" t="s">
        <v>774</v>
      </c>
      <c r="D565" s="272">
        <v>1.0178171842817774</v>
      </c>
      <c r="E565" s="272">
        <v>1.0268788054668254</v>
      </c>
      <c r="F565" s="272">
        <v>1.0355020343395345</v>
      </c>
      <c r="G565" s="272">
        <v>1.0444747874619096</v>
      </c>
      <c r="H565" s="272">
        <v>1.0532224668176333</v>
      </c>
      <c r="I565" s="272">
        <v>1.061444399195056</v>
      </c>
      <c r="J565" s="745">
        <f t="shared" si="156"/>
        <v>1.2288879839011191E-2</v>
      </c>
      <c r="K565" s="748">
        <f t="shared" si="155"/>
        <v>1.1997524042871577E-2</v>
      </c>
      <c r="L565" s="740">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2">
      <c r="B566" s="11">
        <v>12</v>
      </c>
      <c r="C566" s="268" t="s">
        <v>775</v>
      </c>
      <c r="D566" s="272">
        <v>1.0258121374506908</v>
      </c>
      <c r="E566" s="272">
        <v>1.0369793076474678</v>
      </c>
      <c r="F566" s="272">
        <v>1.0464786659194905</v>
      </c>
      <c r="G566" s="272">
        <v>1.0551271917293508</v>
      </c>
      <c r="H566" s="272">
        <v>1.0628483988963264</v>
      </c>
      <c r="I566" s="272">
        <v>1.0696735110607984</v>
      </c>
      <c r="J566" s="745">
        <f t="shared" si="156"/>
        <v>1.3934702212159689E-2</v>
      </c>
      <c r="K566" s="748">
        <f t="shared" si="155"/>
        <v>1.3561832989988032E-2</v>
      </c>
      <c r="L566" s="740">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2">
      <c r="B567" s="11">
        <v>13</v>
      </c>
      <c r="C567" s="268" t="s">
        <v>776</v>
      </c>
      <c r="D567" s="272">
        <v>1.0365941840145607</v>
      </c>
      <c r="E567" s="272">
        <v>1.0572178180655467</v>
      </c>
      <c r="F567" s="272">
        <v>1.0785254514512732</v>
      </c>
      <c r="G567" s="272">
        <v>1.0997637625585324</v>
      </c>
      <c r="H567" s="272">
        <v>1.1201767945027068</v>
      </c>
      <c r="I567" s="272">
        <v>1.1400106523526532</v>
      </c>
      <c r="J567" s="745">
        <f t="shared" si="156"/>
        <v>2.8002130470530639E-2</v>
      </c>
      <c r="K567" s="748">
        <f t="shared" si="155"/>
        <v>2.6553958189091009E-2</v>
      </c>
      <c r="L567" s="740">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2">
      <c r="B568" s="11">
        <v>14</v>
      </c>
      <c r="C568" s="268" t="s">
        <v>777</v>
      </c>
      <c r="D568" s="272">
        <v>1.0078587000810717</v>
      </c>
      <c r="E568" s="272">
        <v>1.0115906567364388</v>
      </c>
      <c r="F568" s="272">
        <v>1.0151771324716494</v>
      </c>
      <c r="G568" s="272">
        <v>1.0185646395951737</v>
      </c>
      <c r="H568" s="272">
        <v>1.0217137974440724</v>
      </c>
      <c r="I568" s="272">
        <v>1.0246123542565422</v>
      </c>
      <c r="J568" s="745">
        <f t="shared" si="156"/>
        <v>4.922470851308436E-3</v>
      </c>
      <c r="K568" s="748">
        <f t="shared" si="155"/>
        <v>4.8747129592989769E-3</v>
      </c>
      <c r="L568" s="740">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2">
      <c r="B569" s="11">
        <v>15</v>
      </c>
      <c r="C569" s="268"/>
      <c r="D569" s="272"/>
      <c r="E569" s="272"/>
      <c r="F569" s="272"/>
      <c r="G569" s="272"/>
      <c r="H569" s="272"/>
      <c r="I569" s="272"/>
      <c r="J569" s="746" t="s">
        <v>778</v>
      </c>
      <c r="K569" s="6"/>
      <c r="L569" s="464" t="s">
        <v>779</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2">
      <c r="E570" s="15"/>
      <c r="L570" s="464" t="s">
        <v>780</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2">
      <c r="E571" s="15"/>
      <c r="L571" s="464" t="s">
        <v>781</v>
      </c>
      <c r="M571" s="13"/>
      <c r="N571" s="13"/>
      <c r="O571" s="13"/>
      <c r="P571" s="13"/>
      <c r="Q571" s="13"/>
      <c r="R571" s="739"/>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2">
      <c r="E572" s="15"/>
      <c r="L572" s="464" t="s">
        <v>782</v>
      </c>
      <c r="M572" s="13"/>
      <c r="N572" s="13"/>
      <c r="O572" s="13"/>
      <c r="P572" s="13"/>
      <c r="Q572" s="13"/>
      <c r="R572" s="739"/>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2">
      <c r="E573" s="15"/>
      <c r="L573" s="464" t="s">
        <v>783</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2">
      <c r="E574" s="15"/>
      <c r="L574" s="464"/>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2">
      <c r="E575" s="15"/>
      <c r="L575" s="464" t="s">
        <v>784</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2">
      <c r="B576" s="730" t="s">
        <v>785</v>
      </c>
      <c r="C576" s="736">
        <v>44456850</v>
      </c>
      <c r="D576" s="736"/>
      <c r="E576" s="736">
        <f t="shared" ref="E576:I576" si="157">$C$576*E560</f>
        <v>45161124</v>
      </c>
      <c r="F576" s="736">
        <f t="shared" si="157"/>
        <v>45430581.000000007</v>
      </c>
      <c r="G576" s="736">
        <f t="shared" si="157"/>
        <v>45704170</v>
      </c>
      <c r="H576" s="736">
        <f t="shared" si="157"/>
        <v>45991269.000000007</v>
      </c>
      <c r="I576" s="736">
        <f t="shared" si="157"/>
        <v>46263200</v>
      </c>
      <c r="L576" s="464" t="s">
        <v>786</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2:42" x14ac:dyDescent="0.2">
      <c r="C577" s="742"/>
      <c r="D577" s="743"/>
      <c r="E577" s="742"/>
      <c r="F577" s="743"/>
      <c r="G577" s="743"/>
      <c r="H577" s="743"/>
      <c r="I577" s="74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2:42" x14ac:dyDescent="0.2">
      <c r="B578" s="730" t="s">
        <v>787</v>
      </c>
      <c r="C578" s="731">
        <f>C576</f>
        <v>44456850</v>
      </c>
      <c r="D578" s="729"/>
      <c r="E578" s="729">
        <f>C578*(1+(1*$J$560))</f>
        <v>44818120.000000007</v>
      </c>
      <c r="F578" s="729">
        <f>C578*(1+(2*$J$560))</f>
        <v>45179390</v>
      </c>
      <c r="G578" s="729">
        <f>C578*(1+(2*$J$560))</f>
        <v>45179390</v>
      </c>
      <c r="H578" s="729">
        <f>C578*(1+(4*$J$560))</f>
        <v>45901930</v>
      </c>
      <c r="I578" s="729">
        <f>C578*(1+(5*$J$560))</f>
        <v>46263200</v>
      </c>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2:42" x14ac:dyDescent="0.2">
      <c r="E579" s="15"/>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2:42" x14ac:dyDescent="0.2">
      <c r="B580" s="730" t="s">
        <v>788</v>
      </c>
      <c r="C580" s="741">
        <f>C576</f>
        <v>44456850</v>
      </c>
      <c r="D580" s="737"/>
      <c r="E580" s="741">
        <f>C580*(1+$L$560)</f>
        <v>44812387.611634731</v>
      </c>
      <c r="F580" s="741">
        <f>E580*(1+$L$560)</f>
        <v>45170768.586964533</v>
      </c>
      <c r="G580" s="741">
        <f>F580*(1+$L$560)</f>
        <v>45532015.665403843</v>
      </c>
      <c r="H580" s="741">
        <f>G580*(1+$L$560)</f>
        <v>45896151.768222488</v>
      </c>
      <c r="I580" s="741">
        <f>H580*(1+$L$560)</f>
        <v>46263200.000000022</v>
      </c>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2:42" x14ac:dyDescent="0.2">
      <c r="E581" s="15"/>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2:42" x14ac:dyDescent="0.2">
      <c r="E582" s="15"/>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2:42" x14ac:dyDescent="0.2">
      <c r="E583" s="15"/>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2:42" x14ac:dyDescent="0.2">
      <c r="E584" s="15"/>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2:42" x14ac:dyDescent="0.2">
      <c r="E585" s="15"/>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2:42" x14ac:dyDescent="0.2">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2:42" x14ac:dyDescent="0.2">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2:42" x14ac:dyDescent="0.2">
      <c r="C588" s="749">
        <f>C580*D555</f>
        <v>44833460.313319661</v>
      </c>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2:42" x14ac:dyDescent="0.2">
      <c r="C589" s="749">
        <f>C588*E555</f>
        <v>45396513.289680555</v>
      </c>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2:42" x14ac:dyDescent="0.2">
      <c r="C590" s="749">
        <f>C589*F555</f>
        <v>46144222.142702647</v>
      </c>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2:42" x14ac:dyDescent="0.2">
      <c r="C591" s="749">
        <f>C590*G555</f>
        <v>47074275.23413077</v>
      </c>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2:42" x14ac:dyDescent="0.2">
      <c r="C592" s="749">
        <f>C591*H555</f>
        <v>48184015.891528472</v>
      </c>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2">
      <c r="C593" s="749">
        <f>C592*I555</f>
        <v>49471360.141438849</v>
      </c>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2">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2">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2">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2">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2">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2">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2">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2">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2">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2">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2">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2">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2">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2">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2">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2">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2">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2">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2">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2">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9"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5 G570:I571 K570:K571 G201:L201 G25:L25 H516:L531 H533:L537 H29:L134 G150:L156 G144:L148 G203:L514 I550:L550 G136:L142 G28:K28 G577:K577 J576:K576 G579:K579 J578:K578 G581:K750 J580:K580" formulaRange="1"/>
    <ignoredError sqref="F144:F148 F150:F152" formula="1"/>
    <ignoredError sqref="L135 H135:K135" formula="1"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6"/>
  <sheetViews>
    <sheetView showGridLines="0" zoomScale="80" zoomScaleNormal="80" zoomScaleSheetLayoutView="80" workbookViewId="0"/>
  </sheetViews>
  <sheetFormatPr defaultColWidth="8.85546875" defaultRowHeight="15" x14ac:dyDescent="0.25"/>
  <cols>
    <col min="1" max="1" width="3.5703125" customWidth="1"/>
    <col min="2" max="2" width="50.5703125" style="1" customWidth="1"/>
    <col min="3" max="3" width="11.5703125" customWidth="1"/>
    <col min="4" max="8" width="11.710937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84.6" customHeight="1" x14ac:dyDescent="0.25">
      <c r="B1" s="274" t="str">
        <f>'Unit costs'!B1</f>
        <v>Tumour profiling tests to guide adjuvant chemotherapy decisions in lymph node positive early breast cancer</v>
      </c>
      <c r="C1" s="130"/>
      <c r="D1" s="130"/>
      <c r="E1" s="130"/>
      <c r="F1" s="130"/>
      <c r="G1" s="130"/>
      <c r="H1" s="130"/>
      <c r="I1" s="130"/>
      <c r="J1" s="130"/>
      <c r="K1" s="130"/>
      <c r="L1" s="130"/>
      <c r="M1" s="130"/>
      <c r="N1" s="130"/>
      <c r="O1" s="130"/>
      <c r="P1" s="130"/>
      <c r="Q1" s="130"/>
      <c r="R1" s="130"/>
      <c r="S1" s="130"/>
      <c r="T1" s="130"/>
    </row>
    <row r="2" spans="2:34" ht="38.1" customHeight="1" x14ac:dyDescent="0.25">
      <c r="B2" s="543" t="s">
        <v>789</v>
      </c>
      <c r="C2" s="130" t="s">
        <v>104</v>
      </c>
      <c r="D2" s="130" t="s">
        <v>104</v>
      </c>
      <c r="E2" s="130" t="s">
        <v>104</v>
      </c>
      <c r="F2" s="130" t="s">
        <v>104</v>
      </c>
      <c r="G2" s="130" t="s">
        <v>104</v>
      </c>
      <c r="H2" s="130"/>
      <c r="I2" s="130" t="s">
        <v>104</v>
      </c>
      <c r="J2" s="130" t="s">
        <v>104</v>
      </c>
      <c r="K2" s="260"/>
      <c r="L2" s="130"/>
      <c r="M2" s="130"/>
      <c r="N2" s="130"/>
      <c r="O2" s="130"/>
      <c r="P2" s="130"/>
      <c r="Q2" s="130"/>
      <c r="R2" s="130"/>
      <c r="S2" s="130"/>
      <c r="T2" s="130"/>
    </row>
    <row r="3" spans="2:34" x14ac:dyDescent="0.25">
      <c r="B3" s="257" t="s">
        <v>104</v>
      </c>
      <c r="C3" s="260" t="s">
        <v>104</v>
      </c>
      <c r="D3" s="260" t="s">
        <v>104</v>
      </c>
      <c r="E3" s="260" t="s">
        <v>104</v>
      </c>
      <c r="F3" s="260" t="s">
        <v>104</v>
      </c>
      <c r="G3" s="260" t="s">
        <v>104</v>
      </c>
      <c r="H3" s="260" t="s">
        <v>104</v>
      </c>
      <c r="I3" s="260" t="s">
        <v>104</v>
      </c>
      <c r="J3" s="260" t="s">
        <v>104</v>
      </c>
      <c r="K3" s="260"/>
      <c r="L3" s="260"/>
      <c r="M3" s="260"/>
      <c r="N3" s="260"/>
      <c r="O3" s="260"/>
      <c r="P3" s="260"/>
      <c r="Q3" s="260"/>
      <c r="R3" s="260"/>
      <c r="S3" s="260"/>
      <c r="T3" s="260"/>
    </row>
    <row r="4" spans="2:34" s="364" customFormat="1" x14ac:dyDescent="0.25">
      <c r="B4" s="368" t="s">
        <v>790</v>
      </c>
      <c r="F4" s="260"/>
      <c r="G4" s="260"/>
      <c r="H4" s="260"/>
      <c r="I4" s="260"/>
      <c r="J4" s="260" t="s">
        <v>104</v>
      </c>
      <c r="K4" s="260"/>
      <c r="L4" s="260"/>
      <c r="M4" s="260"/>
      <c r="N4" s="260"/>
      <c r="O4" s="260"/>
      <c r="P4" s="260"/>
      <c r="Q4" s="260"/>
      <c r="R4" s="260"/>
      <c r="S4" s="260"/>
      <c r="T4" s="260"/>
    </row>
    <row r="5" spans="2:34" s="364" customFormat="1" x14ac:dyDescent="0.25">
      <c r="B5" s="368" t="s">
        <v>791</v>
      </c>
      <c r="F5" s="260"/>
      <c r="G5" s="260"/>
      <c r="H5" s="260"/>
      <c r="I5" s="260"/>
      <c r="J5" s="260"/>
      <c r="K5" s="260"/>
      <c r="L5" s="260"/>
      <c r="M5" s="260"/>
      <c r="N5" s="260"/>
      <c r="O5" s="260"/>
      <c r="P5" s="260"/>
      <c r="Q5" s="260"/>
      <c r="R5" s="260"/>
      <c r="S5" s="260"/>
      <c r="T5" s="260"/>
    </row>
    <row r="6" spans="2:34" s="364" customFormat="1" x14ac:dyDescent="0.25">
      <c r="B6" s="368"/>
      <c r="C6" s="260" t="s">
        <v>104</v>
      </c>
      <c r="D6" s="260" t="s">
        <v>104</v>
      </c>
      <c r="E6" s="260"/>
      <c r="F6" s="260"/>
      <c r="G6" s="260"/>
      <c r="H6" s="260"/>
      <c r="I6" s="260" t="s">
        <v>104</v>
      </c>
      <c r="J6" s="260" t="s">
        <v>104</v>
      </c>
      <c r="K6" s="260"/>
      <c r="L6" s="260"/>
      <c r="M6" s="260"/>
      <c r="N6" s="260"/>
      <c r="O6" s="260"/>
      <c r="P6" s="260"/>
      <c r="Q6" s="260"/>
      <c r="R6" s="260"/>
      <c r="S6" s="260"/>
      <c r="T6" s="260"/>
    </row>
    <row r="7" spans="2:34" s="364" customFormat="1" ht="45" x14ac:dyDescent="0.25">
      <c r="B7" s="378" t="s">
        <v>145</v>
      </c>
      <c r="C7" s="381"/>
      <c r="D7" s="629" t="s">
        <v>792</v>
      </c>
      <c r="E7" s="382" t="s">
        <v>56</v>
      </c>
      <c r="F7" s="382" t="s">
        <v>57</v>
      </c>
      <c r="G7" s="383" t="s">
        <v>793</v>
      </c>
      <c r="H7" s="383" t="s">
        <v>794</v>
      </c>
      <c r="I7" s="382" t="s">
        <v>795</v>
      </c>
      <c r="K7" s="260"/>
      <c r="L7" s="260"/>
      <c r="N7" s="260"/>
      <c r="O7" s="260"/>
      <c r="P7" s="260"/>
      <c r="Q7" s="260"/>
      <c r="R7" s="260"/>
      <c r="S7" s="260"/>
      <c r="T7" s="260"/>
    </row>
    <row r="8" spans="2:34" s="275" customFormat="1" x14ac:dyDescent="0.25">
      <c r="B8" s="343" t="s">
        <v>145</v>
      </c>
      <c r="C8" s="310"/>
      <c r="D8" s="309">
        <f>'Inputs and eligible population'!F$46</f>
        <v>3325.6486634478779</v>
      </c>
      <c r="E8" s="309">
        <f>'Inputs and eligible population'!G$46</f>
        <v>3325.6486634478779</v>
      </c>
      <c r="F8" s="309">
        <f>'Inputs and eligible population'!H$46</f>
        <v>3325.6486634478779</v>
      </c>
      <c r="G8" s="309">
        <f>'Inputs and eligible population'!I$46</f>
        <v>3325.6486634478779</v>
      </c>
      <c r="H8" s="309">
        <f>'Inputs and eligible population'!J$46</f>
        <v>3325.6486634478779</v>
      </c>
      <c r="I8" s="309">
        <f>'Inputs and eligible population'!K$46</f>
        <v>3325.6486634478779</v>
      </c>
      <c r="K8" s="260"/>
      <c r="L8" s="260"/>
    </row>
    <row r="9" spans="2:34" s="364" customFormat="1" x14ac:dyDescent="0.25">
      <c r="B9" s="366" t="s">
        <v>104</v>
      </c>
      <c r="C9" s="260" t="s">
        <v>104</v>
      </c>
      <c r="D9" s="260" t="s">
        <v>104</v>
      </c>
      <c r="E9" s="260" t="s">
        <v>104</v>
      </c>
      <c r="F9" s="260" t="s">
        <v>104</v>
      </c>
      <c r="G9" s="260" t="s">
        <v>104</v>
      </c>
      <c r="H9" s="260"/>
      <c r="I9" s="260"/>
      <c r="K9" s="260"/>
      <c r="L9" s="260"/>
      <c r="N9" s="260"/>
      <c r="O9" s="260"/>
      <c r="P9" s="260"/>
      <c r="Q9" s="260"/>
      <c r="R9" s="260"/>
      <c r="S9" s="260"/>
      <c r="T9" s="260"/>
      <c r="AD9" s="384"/>
      <c r="AE9" s="384"/>
      <c r="AF9" s="384"/>
      <c r="AG9" s="384"/>
      <c r="AH9" s="384"/>
    </row>
    <row r="10" spans="2:34" s="364" customFormat="1" x14ac:dyDescent="0.25">
      <c r="B10" s="466" t="s">
        <v>148</v>
      </c>
      <c r="C10" s="467"/>
      <c r="D10" s="468"/>
      <c r="E10" s="468"/>
      <c r="F10" s="468"/>
      <c r="G10" s="468"/>
      <c r="H10" s="468"/>
      <c r="I10" s="469"/>
      <c r="K10" s="260"/>
      <c r="L10" s="260"/>
      <c r="N10" s="260"/>
      <c r="O10" s="260"/>
      <c r="P10" s="260"/>
      <c r="Q10" s="260"/>
      <c r="R10" s="260"/>
      <c r="S10" s="260"/>
      <c r="T10" s="260"/>
    </row>
    <row r="11" spans="2:34" s="364" customFormat="1" ht="15.75" thickBot="1" x14ac:dyDescent="0.3">
      <c r="B11" s="366"/>
      <c r="C11" s="260"/>
      <c r="D11" s="260"/>
      <c r="E11" s="260"/>
      <c r="F11" s="260"/>
      <c r="G11" s="260"/>
      <c r="H11" s="260"/>
      <c r="I11" s="260"/>
      <c r="N11" s="260"/>
      <c r="O11" s="260"/>
      <c r="P11" s="260"/>
      <c r="Q11" s="260"/>
      <c r="R11" s="260"/>
      <c r="S11" s="260"/>
      <c r="T11" s="260"/>
      <c r="AD11" s="384"/>
      <c r="AE11" s="384"/>
      <c r="AF11" s="384"/>
      <c r="AG11" s="384"/>
      <c r="AH11" s="384"/>
    </row>
    <row r="12" spans="2:34" s="1" customFormat="1" ht="29.25" x14ac:dyDescent="0.25">
      <c r="B12" s="1049" t="s">
        <v>1213</v>
      </c>
      <c r="C12" s="1050"/>
      <c r="D12" s="1051" t="s">
        <v>146</v>
      </c>
      <c r="E12" s="1052" t="s">
        <v>62</v>
      </c>
      <c r="F12" s="1052" t="s">
        <v>63</v>
      </c>
      <c r="G12" s="1052" t="s">
        <v>64</v>
      </c>
      <c r="H12" s="1052" t="s">
        <v>65</v>
      </c>
      <c r="I12" s="1053" t="s">
        <v>66</v>
      </c>
      <c r="K12" s="257"/>
    </row>
    <row r="13" spans="2:34" s="1" customFormat="1" ht="14.25" x14ac:dyDescent="0.2">
      <c r="B13" s="1054" t="s">
        <v>1125</v>
      </c>
      <c r="C13" s="323"/>
      <c r="D13" s="974">
        <f>'Inputs and eligible population'!D64</f>
        <v>0</v>
      </c>
      <c r="E13" s="974">
        <f>'Inputs and eligible population'!E64</f>
        <v>0</v>
      </c>
      <c r="F13" s="974">
        <f>'Inputs and eligible population'!F64</f>
        <v>0</v>
      </c>
      <c r="G13" s="974">
        <f>'Inputs and eligible population'!G64</f>
        <v>0</v>
      </c>
      <c r="H13" s="974">
        <f>'Inputs and eligible population'!H64</f>
        <v>0</v>
      </c>
      <c r="I13" s="1060">
        <f>'Inputs and eligible population'!I64</f>
        <v>0</v>
      </c>
      <c r="K13" s="257"/>
    </row>
    <row r="14" spans="2:34" s="1" customFormat="1" ht="14.25" x14ac:dyDescent="0.2">
      <c r="B14" s="967" t="s">
        <v>1214</v>
      </c>
      <c r="C14" s="970"/>
      <c r="D14" s="974">
        <f>'Inputs and eligible population'!D65</f>
        <v>0</v>
      </c>
      <c r="E14" s="974">
        <f>'Inputs and eligible population'!E65</f>
        <v>0</v>
      </c>
      <c r="F14" s="974">
        <f>'Inputs and eligible population'!F65</f>
        <v>0</v>
      </c>
      <c r="G14" s="974">
        <f>'Inputs and eligible population'!G65</f>
        <v>0</v>
      </c>
      <c r="H14" s="974">
        <f>'Inputs and eligible population'!H65</f>
        <v>0</v>
      </c>
      <c r="I14" s="1060">
        <f>'Inputs and eligible population'!I65</f>
        <v>0</v>
      </c>
      <c r="K14" s="257"/>
    </row>
    <row r="15" spans="2:34" s="1" customFormat="1" ht="14.25" x14ac:dyDescent="0.2">
      <c r="B15" s="967" t="s">
        <v>1215</v>
      </c>
      <c r="C15" s="970"/>
      <c r="D15" s="974">
        <f>'Inputs and eligible population'!D66</f>
        <v>0</v>
      </c>
      <c r="E15" s="974">
        <f>'Inputs and eligible population'!E66</f>
        <v>0</v>
      </c>
      <c r="F15" s="974">
        <f>'Inputs and eligible population'!F66</f>
        <v>0</v>
      </c>
      <c r="G15" s="974">
        <f>'Inputs and eligible population'!G66</f>
        <v>0</v>
      </c>
      <c r="H15" s="974">
        <f>'Inputs and eligible population'!H66</f>
        <v>0</v>
      </c>
      <c r="I15" s="1060">
        <f>'Inputs and eligible population'!I66</f>
        <v>0</v>
      </c>
      <c r="K15" s="257"/>
    </row>
    <row r="16" spans="2:34" s="1" customFormat="1" ht="14.25" x14ac:dyDescent="0.2">
      <c r="B16" s="967" t="s">
        <v>1275</v>
      </c>
      <c r="C16" s="970"/>
      <c r="D16" s="974">
        <f>'Inputs and eligible population'!D67</f>
        <v>0</v>
      </c>
      <c r="E16" s="974">
        <f>'Inputs and eligible population'!E67</f>
        <v>0</v>
      </c>
      <c r="F16" s="974">
        <f>'Inputs and eligible population'!F67</f>
        <v>0</v>
      </c>
      <c r="G16" s="974">
        <f>'Inputs and eligible population'!G67</f>
        <v>0</v>
      </c>
      <c r="H16" s="974">
        <f>'Inputs and eligible population'!H67</f>
        <v>0</v>
      </c>
      <c r="I16" s="1060">
        <f>'Inputs and eligible population'!I67</f>
        <v>0</v>
      </c>
      <c r="K16" s="257"/>
    </row>
    <row r="17" spans="2:34" s="1" customFormat="1" x14ac:dyDescent="0.25">
      <c r="B17" s="967" t="s">
        <v>1225</v>
      </c>
      <c r="C17" s="970"/>
      <c r="D17" s="977">
        <f t="shared" ref="D17:I17" si="0">SUM(D13:D16)</f>
        <v>0</v>
      </c>
      <c r="E17" s="977">
        <f t="shared" si="0"/>
        <v>0</v>
      </c>
      <c r="F17" s="977">
        <f t="shared" si="0"/>
        <v>0</v>
      </c>
      <c r="G17" s="977">
        <f t="shared" si="0"/>
        <v>0</v>
      </c>
      <c r="H17" s="977">
        <f t="shared" si="0"/>
        <v>0</v>
      </c>
      <c r="I17" s="1061">
        <f t="shared" si="0"/>
        <v>0</v>
      </c>
      <c r="K17" s="257"/>
    </row>
    <row r="18" spans="2:34" s="1" customFormat="1" thickBot="1" x14ac:dyDescent="0.25">
      <c r="B18" s="1056" t="s">
        <v>1216</v>
      </c>
      <c r="C18" s="1057"/>
      <c r="D18" s="1062">
        <f>'Inputs and eligible population'!E76</f>
        <v>0</v>
      </c>
      <c r="E18" s="1062">
        <f>'Inputs and eligible population'!F76</f>
        <v>0</v>
      </c>
      <c r="F18" s="1062">
        <f>'Inputs and eligible population'!G76</f>
        <v>0</v>
      </c>
      <c r="G18" s="1062">
        <f>'Inputs and eligible population'!H76</f>
        <v>0</v>
      </c>
      <c r="H18" s="1062">
        <f>'Inputs and eligible population'!I76</f>
        <v>0</v>
      </c>
      <c r="I18" s="1063">
        <f>'Inputs and eligible population'!J76</f>
        <v>0</v>
      </c>
      <c r="J18" s="257"/>
      <c r="K18" s="257"/>
    </row>
    <row r="19" spans="2:34" s="1" customFormat="1" ht="15.75" thickBot="1" x14ac:dyDescent="0.3">
      <c r="B19" s="969"/>
      <c r="C19" s="969"/>
      <c r="D19" s="80"/>
      <c r="E19" s="978"/>
      <c r="F19" s="978"/>
      <c r="G19" s="978"/>
      <c r="H19" s="978"/>
      <c r="I19" s="978"/>
      <c r="J19" s="257"/>
      <c r="K19" s="257"/>
    </row>
    <row r="20" spans="2:34" s="1" customFormat="1" ht="43.5" x14ac:dyDescent="0.25">
      <c r="B20" s="1049" t="s">
        <v>1226</v>
      </c>
      <c r="C20" s="1050" t="s">
        <v>981</v>
      </c>
      <c r="D20" s="1051" t="s">
        <v>1227</v>
      </c>
      <c r="E20" s="1052" t="s">
        <v>1228</v>
      </c>
      <c r="F20" s="1052" t="s">
        <v>1229</v>
      </c>
      <c r="G20" s="1052" t="s">
        <v>1230</v>
      </c>
      <c r="H20" s="1052" t="s">
        <v>1231</v>
      </c>
      <c r="I20" s="1053" t="s">
        <v>1232</v>
      </c>
      <c r="J20" s="257"/>
      <c r="K20" s="257"/>
    </row>
    <row r="21" spans="2:34" s="1" customFormat="1" ht="14.25" x14ac:dyDescent="0.2">
      <c r="B21" s="1054" t="s">
        <v>1125</v>
      </c>
      <c r="C21" s="1085">
        <v>0</v>
      </c>
      <c r="D21" s="1010">
        <f>D13*$C21/1000</f>
        <v>0</v>
      </c>
      <c r="E21" s="1010">
        <f t="shared" ref="E21:I22" si="1">E13*$C21/1000</f>
        <v>0</v>
      </c>
      <c r="F21" s="1010">
        <f t="shared" si="1"/>
        <v>0</v>
      </c>
      <c r="G21" s="1010">
        <f t="shared" si="1"/>
        <v>0</v>
      </c>
      <c r="H21" s="1010">
        <f t="shared" si="1"/>
        <v>0</v>
      </c>
      <c r="I21" s="1055">
        <f t="shared" si="1"/>
        <v>0</v>
      </c>
      <c r="J21" s="257"/>
      <c r="K21" s="257"/>
    </row>
    <row r="22" spans="2:34" s="1" customFormat="1" ht="14.25" x14ac:dyDescent="0.2">
      <c r="B22" s="967" t="s">
        <v>1214</v>
      </c>
      <c r="C22" s="1048">
        <f>'Unit costs'!E7</f>
        <v>0</v>
      </c>
      <c r="D22" s="1010">
        <f>D14*$C22/1000</f>
        <v>0</v>
      </c>
      <c r="E22" s="1010">
        <f t="shared" si="1"/>
        <v>0</v>
      </c>
      <c r="F22" s="1010">
        <f t="shared" si="1"/>
        <v>0</v>
      </c>
      <c r="G22" s="1010">
        <f t="shared" si="1"/>
        <v>0</v>
      </c>
      <c r="H22" s="1010">
        <f t="shared" si="1"/>
        <v>0</v>
      </c>
      <c r="I22" s="1055">
        <f t="shared" si="1"/>
        <v>0</v>
      </c>
      <c r="J22" s="257"/>
      <c r="K22" s="257"/>
    </row>
    <row r="23" spans="2:34" s="1" customFormat="1" ht="14.25" x14ac:dyDescent="0.2">
      <c r="B23" s="967" t="s">
        <v>1215</v>
      </c>
      <c r="C23" s="1048">
        <f>'Unit costs'!E8</f>
        <v>0</v>
      </c>
      <c r="D23" s="1010">
        <f t="shared" ref="D23:D24" si="2">D15*$C23/1000</f>
        <v>0</v>
      </c>
      <c r="E23" s="1010">
        <f t="shared" ref="E23:I23" si="3">E15*$C23/1000</f>
        <v>0</v>
      </c>
      <c r="F23" s="1010">
        <f t="shared" si="3"/>
        <v>0</v>
      </c>
      <c r="G23" s="1010">
        <f t="shared" si="3"/>
        <v>0</v>
      </c>
      <c r="H23" s="1010">
        <f t="shared" si="3"/>
        <v>0</v>
      </c>
      <c r="I23" s="1055">
        <f t="shared" si="3"/>
        <v>0</v>
      </c>
      <c r="J23" s="257"/>
      <c r="K23" s="257"/>
    </row>
    <row r="24" spans="2:34" s="1" customFormat="1" ht="14.25" x14ac:dyDescent="0.2">
      <c r="B24" s="967" t="s">
        <v>1275</v>
      </c>
      <c r="C24" s="1048">
        <f>'Unit costs'!E9</f>
        <v>0</v>
      </c>
      <c r="D24" s="1010">
        <f t="shared" si="2"/>
        <v>0</v>
      </c>
      <c r="E24" s="1010">
        <f t="shared" ref="E24:I24" si="4">E16*$C24/1000</f>
        <v>0</v>
      </c>
      <c r="F24" s="1010">
        <f t="shared" si="4"/>
        <v>0</v>
      </c>
      <c r="G24" s="1010">
        <f t="shared" si="4"/>
        <v>0</v>
      </c>
      <c r="H24" s="1010">
        <f t="shared" si="4"/>
        <v>0</v>
      </c>
      <c r="I24" s="1055">
        <f t="shared" si="4"/>
        <v>0</v>
      </c>
      <c r="J24" s="257"/>
      <c r="K24" s="257"/>
    </row>
    <row r="25" spans="2:34" s="1" customFormat="1" thickBot="1" x14ac:dyDescent="0.25">
      <c r="B25" s="1056" t="s">
        <v>1133</v>
      </c>
      <c r="C25" s="1057"/>
      <c r="D25" s="1058">
        <f t="shared" ref="D25:I25" si="5">SUM(D21:D24)</f>
        <v>0</v>
      </c>
      <c r="E25" s="1058">
        <f t="shared" si="5"/>
        <v>0</v>
      </c>
      <c r="F25" s="1058">
        <f t="shared" si="5"/>
        <v>0</v>
      </c>
      <c r="G25" s="1058">
        <f t="shared" si="5"/>
        <v>0</v>
      </c>
      <c r="H25" s="1058">
        <f t="shared" si="5"/>
        <v>0</v>
      </c>
      <c r="I25" s="1059">
        <f t="shared" si="5"/>
        <v>0</v>
      </c>
      <c r="J25" s="257"/>
      <c r="K25" s="257"/>
    </row>
    <row r="26" spans="2:34" s="364" customFormat="1" x14ac:dyDescent="0.25">
      <c r="B26" s="1074"/>
      <c r="C26" s="388"/>
      <c r="D26" s="507" t="s">
        <v>150</v>
      </c>
      <c r="E26" s="314">
        <f>E25-$D$25</f>
        <v>0</v>
      </c>
      <c r="F26" s="314">
        <f t="shared" ref="F26:I26" si="6">F25-$D$25</f>
        <v>0</v>
      </c>
      <c r="G26" s="314">
        <f t="shared" si="6"/>
        <v>0</v>
      </c>
      <c r="H26" s="314">
        <f t="shared" si="6"/>
        <v>0</v>
      </c>
      <c r="I26" s="1075">
        <f t="shared" si="6"/>
        <v>0</v>
      </c>
      <c r="N26" s="260"/>
      <c r="O26" s="260"/>
      <c r="P26" s="260"/>
      <c r="Q26" s="260"/>
      <c r="R26" s="260"/>
      <c r="S26" s="260"/>
      <c r="T26" s="260"/>
      <c r="AD26" s="384"/>
      <c r="AE26" s="384"/>
      <c r="AF26" s="384"/>
      <c r="AG26" s="384"/>
      <c r="AH26" s="384"/>
    </row>
    <row r="27" spans="2:34" s="364" customFormat="1" ht="15.75" thickBot="1" x14ac:dyDescent="0.3">
      <c r="B27" s="1076"/>
      <c r="C27" s="1077"/>
      <c r="D27" s="1078" t="s">
        <v>797</v>
      </c>
      <c r="E27" s="1079">
        <f>E26</f>
        <v>0</v>
      </c>
      <c r="F27" s="1080">
        <f>F26-E26</f>
        <v>0</v>
      </c>
      <c r="G27" s="1080">
        <f t="shared" ref="G27" si="7">G26-F26</f>
        <v>0</v>
      </c>
      <c r="H27" s="1080">
        <f t="shared" ref="H27" si="8">H26-G26</f>
        <v>0</v>
      </c>
      <c r="I27" s="1081">
        <f t="shared" ref="I27" si="9">I26-H26</f>
        <v>0</v>
      </c>
      <c r="J27" s="260"/>
      <c r="K27" s="260"/>
      <c r="L27" s="260"/>
      <c r="M27" s="260"/>
      <c r="N27" s="260"/>
      <c r="O27" s="260"/>
      <c r="P27" s="260"/>
      <c r="Q27" s="260"/>
      <c r="R27" s="260"/>
      <c r="S27" s="260"/>
      <c r="T27" s="260"/>
      <c r="AD27" s="384"/>
      <c r="AE27" s="384"/>
      <c r="AF27" s="384"/>
      <c r="AG27" s="384"/>
      <c r="AH27" s="384"/>
    </row>
    <row r="28" spans="2:34" s="1" customFormat="1" ht="15.75" thickBot="1" x14ac:dyDescent="0.3">
      <c r="B28" s="969"/>
      <c r="C28" s="969"/>
      <c r="D28" s="80"/>
      <c r="E28" s="978"/>
      <c r="F28" s="978"/>
      <c r="G28" s="978"/>
      <c r="H28" s="978"/>
      <c r="I28" s="978"/>
      <c r="J28" s="257"/>
      <c r="K28" s="257"/>
    </row>
    <row r="29" spans="2:34" s="1" customFormat="1" ht="28.5" x14ac:dyDescent="0.2">
      <c r="B29" s="1069" t="s">
        <v>1235</v>
      </c>
      <c r="C29" s="1070"/>
      <c r="D29" s="1051" t="s">
        <v>146</v>
      </c>
      <c r="E29" s="1052" t="s">
        <v>62</v>
      </c>
      <c r="F29" s="1052" t="s">
        <v>63</v>
      </c>
      <c r="G29" s="1052" t="s">
        <v>64</v>
      </c>
      <c r="H29" s="1052" t="s">
        <v>65</v>
      </c>
      <c r="I29" s="1053" t="s">
        <v>66</v>
      </c>
      <c r="J29" s="257"/>
      <c r="K29" s="257"/>
    </row>
    <row r="30" spans="2:34" s="1" customFormat="1" ht="14.25" x14ac:dyDescent="0.2">
      <c r="B30" s="967" t="s">
        <v>1135</v>
      </c>
      <c r="C30" s="970"/>
      <c r="D30" s="1047">
        <f>'Inputs and eligible population'!D93</f>
        <v>0</v>
      </c>
      <c r="E30" s="1047">
        <f>'Inputs and eligible population'!E93</f>
        <v>0</v>
      </c>
      <c r="F30" s="1047">
        <f>'Inputs and eligible population'!F93</f>
        <v>0</v>
      </c>
      <c r="G30" s="1047">
        <f>'Inputs and eligible population'!G93</f>
        <v>0</v>
      </c>
      <c r="H30" s="1047">
        <f>'Inputs and eligible population'!H93</f>
        <v>0</v>
      </c>
      <c r="I30" s="1064">
        <f>'Inputs and eligible population'!I93</f>
        <v>0</v>
      </c>
      <c r="J30" s="257"/>
      <c r="K30" s="257"/>
    </row>
    <row r="31" spans="2:34" s="1" customFormat="1" ht="14.25" x14ac:dyDescent="0.2">
      <c r="B31" s="967" t="s">
        <v>1136</v>
      </c>
      <c r="C31" s="970"/>
      <c r="D31" s="1047">
        <f>'Inputs and eligible population'!D94</f>
        <v>0</v>
      </c>
      <c r="E31" s="1047">
        <f>'Inputs and eligible population'!E94</f>
        <v>0</v>
      </c>
      <c r="F31" s="1047">
        <f>'Inputs and eligible population'!F94</f>
        <v>0</v>
      </c>
      <c r="G31" s="1047">
        <f>'Inputs and eligible population'!G94</f>
        <v>0</v>
      </c>
      <c r="H31" s="1047">
        <f>'Inputs and eligible population'!H94</f>
        <v>0</v>
      </c>
      <c r="I31" s="1064">
        <f>'Inputs and eligible population'!I94</f>
        <v>0</v>
      </c>
      <c r="J31" s="257"/>
      <c r="K31" s="257"/>
    </row>
    <row r="32" spans="2:34" s="1" customFormat="1" ht="14.25" x14ac:dyDescent="0.2">
      <c r="B32" s="967" t="s">
        <v>1137</v>
      </c>
      <c r="C32" s="970"/>
      <c r="D32" s="1047">
        <f>'Inputs and eligible population'!D95</f>
        <v>0</v>
      </c>
      <c r="E32" s="1047">
        <f>'Inputs and eligible population'!E95</f>
        <v>0</v>
      </c>
      <c r="F32" s="1047">
        <f>'Inputs and eligible population'!F95</f>
        <v>0</v>
      </c>
      <c r="G32" s="1047">
        <f>'Inputs and eligible population'!G95</f>
        <v>0</v>
      </c>
      <c r="H32" s="1047">
        <f>'Inputs and eligible population'!H95</f>
        <v>0</v>
      </c>
      <c r="I32" s="1064">
        <f>'Inputs and eligible population'!I95</f>
        <v>0</v>
      </c>
      <c r="J32" s="257"/>
      <c r="K32" s="257"/>
    </row>
    <row r="33" spans="2:34" s="1" customFormat="1" ht="14.25" x14ac:dyDescent="0.2">
      <c r="B33" s="967" t="s">
        <v>1138</v>
      </c>
      <c r="C33" s="970"/>
      <c r="D33" s="1047">
        <f>'Inputs and eligible population'!D96</f>
        <v>0</v>
      </c>
      <c r="E33" s="1047">
        <f>'Inputs and eligible population'!E96</f>
        <v>0</v>
      </c>
      <c r="F33" s="1047">
        <f>'Inputs and eligible population'!F96</f>
        <v>0</v>
      </c>
      <c r="G33" s="1047">
        <f>'Inputs and eligible population'!G96</f>
        <v>0</v>
      </c>
      <c r="H33" s="1047">
        <f>'Inputs and eligible population'!H96</f>
        <v>0</v>
      </c>
      <c r="I33" s="1064">
        <f>'Inputs and eligible population'!I96</f>
        <v>0</v>
      </c>
      <c r="J33" s="257"/>
      <c r="K33" s="257"/>
    </row>
    <row r="34" spans="2:34" s="1" customFormat="1" ht="14.25" x14ac:dyDescent="0.2">
      <c r="B34" s="967" t="s">
        <v>1139</v>
      </c>
      <c r="C34" s="970"/>
      <c r="D34" s="1047">
        <f>'Inputs and eligible population'!D97</f>
        <v>0</v>
      </c>
      <c r="E34" s="1047">
        <f>'Inputs and eligible population'!E97</f>
        <v>0</v>
      </c>
      <c r="F34" s="1047">
        <f>'Inputs and eligible population'!F97</f>
        <v>0</v>
      </c>
      <c r="G34" s="1047">
        <f>'Inputs and eligible population'!G97</f>
        <v>0</v>
      </c>
      <c r="H34" s="1047">
        <f>'Inputs and eligible population'!H97</f>
        <v>0</v>
      </c>
      <c r="I34" s="1064">
        <f>'Inputs and eligible population'!I97</f>
        <v>0</v>
      </c>
      <c r="J34" s="257"/>
      <c r="K34" s="257"/>
    </row>
    <row r="35" spans="2:34" s="1" customFormat="1" ht="14.25" x14ac:dyDescent="0.2">
      <c r="B35" s="967" t="s">
        <v>1140</v>
      </c>
      <c r="C35" s="970"/>
      <c r="D35" s="1047">
        <f>'Inputs and eligible population'!D98</f>
        <v>0</v>
      </c>
      <c r="E35" s="1047">
        <f>'Inputs and eligible population'!E98</f>
        <v>0</v>
      </c>
      <c r="F35" s="1047">
        <f>'Inputs and eligible population'!F98</f>
        <v>0</v>
      </c>
      <c r="G35" s="1047">
        <f>'Inputs and eligible population'!G98</f>
        <v>0</v>
      </c>
      <c r="H35" s="1047">
        <f>'Inputs and eligible population'!H98</f>
        <v>0</v>
      </c>
      <c r="I35" s="1064">
        <f>'Inputs and eligible population'!I98</f>
        <v>0</v>
      </c>
      <c r="J35" s="257"/>
      <c r="K35" s="257"/>
    </row>
    <row r="36" spans="2:34" s="1" customFormat="1" ht="14.25" x14ac:dyDescent="0.2">
      <c r="B36" s="967" t="s">
        <v>1141</v>
      </c>
      <c r="C36" s="970"/>
      <c r="D36" s="1047">
        <f>'Inputs and eligible population'!D99</f>
        <v>0</v>
      </c>
      <c r="E36" s="1047">
        <f>'Inputs and eligible population'!E99</f>
        <v>0</v>
      </c>
      <c r="F36" s="1047">
        <f>'Inputs and eligible population'!F99</f>
        <v>0</v>
      </c>
      <c r="G36" s="1047">
        <f>'Inputs and eligible population'!G99</f>
        <v>0</v>
      </c>
      <c r="H36" s="1047">
        <f>'Inputs and eligible population'!H99</f>
        <v>0</v>
      </c>
      <c r="I36" s="1064">
        <f>'Inputs and eligible population'!I99</f>
        <v>0</v>
      </c>
      <c r="J36" s="257"/>
      <c r="K36" s="257"/>
    </row>
    <row r="37" spans="2:34" s="1" customFormat="1" ht="14.25" x14ac:dyDescent="0.2">
      <c r="B37" s="967" t="s">
        <v>1142</v>
      </c>
      <c r="C37" s="970"/>
      <c r="D37" s="1047">
        <f>'Inputs and eligible population'!D100</f>
        <v>0</v>
      </c>
      <c r="E37" s="1047">
        <f>'Inputs and eligible population'!E100</f>
        <v>0</v>
      </c>
      <c r="F37" s="1047">
        <f>'Inputs and eligible population'!F100</f>
        <v>0</v>
      </c>
      <c r="G37" s="1047">
        <f>'Inputs and eligible population'!G100</f>
        <v>0</v>
      </c>
      <c r="H37" s="1047">
        <f>'Inputs and eligible population'!H100</f>
        <v>0</v>
      </c>
      <c r="I37" s="1064">
        <f>'Inputs and eligible population'!I100</f>
        <v>0</v>
      </c>
      <c r="J37" s="257"/>
      <c r="K37" s="257"/>
    </row>
    <row r="38" spans="2:34" s="1" customFormat="1" ht="15.75" thickBot="1" x14ac:dyDescent="0.3">
      <c r="B38" s="1065"/>
      <c r="C38" s="1066"/>
      <c r="D38" s="1067">
        <f t="shared" ref="D38:I38" si="10">SUM(D30:D37)</f>
        <v>0</v>
      </c>
      <c r="E38" s="1067">
        <f t="shared" si="10"/>
        <v>0</v>
      </c>
      <c r="F38" s="1067">
        <f t="shared" si="10"/>
        <v>0</v>
      </c>
      <c r="G38" s="1067">
        <f t="shared" si="10"/>
        <v>0</v>
      </c>
      <c r="H38" s="1067">
        <f t="shared" si="10"/>
        <v>0</v>
      </c>
      <c r="I38" s="1068">
        <f t="shared" si="10"/>
        <v>0</v>
      </c>
      <c r="J38" s="257"/>
      <c r="K38" s="257"/>
    </row>
    <row r="39" spans="2:34" s="1" customFormat="1" x14ac:dyDescent="0.25">
      <c r="B39" s="969"/>
      <c r="C39" s="80"/>
      <c r="D39" s="978"/>
      <c r="E39" s="978"/>
      <c r="F39" s="978"/>
      <c r="G39" s="978"/>
      <c r="H39" s="978"/>
      <c r="I39" s="257"/>
      <c r="J39" s="257"/>
    </row>
    <row r="40" spans="2:34" s="364" customFormat="1" ht="15.75" thickBot="1" x14ac:dyDescent="0.3">
      <c r="B40" s="392"/>
      <c r="C40" s="260"/>
      <c r="D40" s="260"/>
      <c r="E40" s="260"/>
      <c r="F40" s="260"/>
      <c r="G40" s="260"/>
      <c r="H40" s="260"/>
      <c r="I40" s="260"/>
      <c r="N40" s="260"/>
      <c r="O40" s="260"/>
      <c r="P40" s="260"/>
      <c r="Q40" s="260"/>
      <c r="R40" s="260"/>
      <c r="S40" s="260"/>
      <c r="T40" s="260"/>
      <c r="AD40" s="384"/>
      <c r="AE40" s="384"/>
      <c r="AF40" s="384"/>
      <c r="AG40" s="384"/>
      <c r="AH40" s="384"/>
    </row>
    <row r="41" spans="2:34" s="364" customFormat="1" ht="43.5" x14ac:dyDescent="0.25">
      <c r="B41" s="1069" t="s">
        <v>1235</v>
      </c>
      <c r="C41" s="1050" t="s">
        <v>981</v>
      </c>
      <c r="D41" s="1051" t="s">
        <v>1227</v>
      </c>
      <c r="E41" s="1052" t="s">
        <v>1228</v>
      </c>
      <c r="F41" s="1052" t="s">
        <v>1229</v>
      </c>
      <c r="G41" s="1052" t="s">
        <v>1230</v>
      </c>
      <c r="H41" s="1052" t="s">
        <v>1231</v>
      </c>
      <c r="I41" s="1053" t="s">
        <v>1232</v>
      </c>
      <c r="N41" s="260"/>
      <c r="O41" s="260"/>
      <c r="P41" s="260"/>
      <c r="Q41" s="260"/>
      <c r="R41" s="260"/>
      <c r="S41" s="260"/>
      <c r="T41" s="260"/>
      <c r="AD41" s="384"/>
      <c r="AE41" s="384"/>
      <c r="AF41" s="384"/>
      <c r="AG41" s="384"/>
      <c r="AH41" s="384"/>
    </row>
    <row r="42" spans="2:34" s="364" customFormat="1" x14ac:dyDescent="0.25">
      <c r="B42" s="967" t="s">
        <v>1135</v>
      </c>
      <c r="C42" s="1009">
        <f>'Unit costs'!K32</f>
        <v>1583.9696609999999</v>
      </c>
      <c r="D42" s="1071">
        <f>D30*$C42/1000</f>
        <v>0</v>
      </c>
      <c r="E42" s="1071">
        <f t="shared" ref="E42:I42" si="11">E30*$C42/1000</f>
        <v>0</v>
      </c>
      <c r="F42" s="1071">
        <f t="shared" si="11"/>
        <v>0</v>
      </c>
      <c r="G42" s="1071">
        <f t="shared" si="11"/>
        <v>0</v>
      </c>
      <c r="H42" s="1071">
        <f t="shared" si="11"/>
        <v>0</v>
      </c>
      <c r="I42" s="1073">
        <f t="shared" si="11"/>
        <v>0</v>
      </c>
      <c r="N42" s="260"/>
      <c r="O42" s="260"/>
      <c r="P42" s="260"/>
      <c r="Q42" s="260"/>
      <c r="R42" s="260"/>
      <c r="S42" s="260"/>
      <c r="T42" s="260"/>
      <c r="AD42" s="384"/>
      <c r="AE42" s="384"/>
      <c r="AF42" s="384"/>
      <c r="AG42" s="384"/>
      <c r="AH42" s="384"/>
    </row>
    <row r="43" spans="2:34" s="364" customFormat="1" x14ac:dyDescent="0.25">
      <c r="B43" s="967" t="s">
        <v>1136</v>
      </c>
      <c r="C43" s="1009">
        <f>'Unit costs'!K44</f>
        <v>1643.6262717966001</v>
      </c>
      <c r="D43" s="1071">
        <f t="shared" ref="D43:I49" si="12">D31*$C43/1000</f>
        <v>0</v>
      </c>
      <c r="E43" s="1071">
        <f t="shared" si="12"/>
        <v>0</v>
      </c>
      <c r="F43" s="1071">
        <f t="shared" si="12"/>
        <v>0</v>
      </c>
      <c r="G43" s="1071">
        <f t="shared" si="12"/>
        <v>0</v>
      </c>
      <c r="H43" s="1071">
        <f t="shared" si="12"/>
        <v>0</v>
      </c>
      <c r="I43" s="1073">
        <f t="shared" si="12"/>
        <v>0</v>
      </c>
      <c r="N43" s="260"/>
      <c r="O43" s="260"/>
      <c r="P43" s="260"/>
      <c r="Q43" s="260"/>
      <c r="R43" s="260"/>
      <c r="S43" s="260"/>
      <c r="T43" s="260"/>
      <c r="AD43" s="384"/>
      <c r="AE43" s="384"/>
      <c r="AF43" s="384"/>
      <c r="AG43" s="384"/>
      <c r="AH43" s="384"/>
    </row>
    <row r="44" spans="2:34" s="364" customFormat="1" x14ac:dyDescent="0.25">
      <c r="B44" s="967" t="s">
        <v>1137</v>
      </c>
      <c r="C44" s="1009">
        <f>'Unit costs'!K57</f>
        <v>2105.3995479999999</v>
      </c>
      <c r="D44" s="1071">
        <f t="shared" si="12"/>
        <v>0</v>
      </c>
      <c r="E44" s="1071">
        <f t="shared" si="12"/>
        <v>0</v>
      </c>
      <c r="F44" s="1071">
        <f t="shared" si="12"/>
        <v>0</v>
      </c>
      <c r="G44" s="1071">
        <f t="shared" si="12"/>
        <v>0</v>
      </c>
      <c r="H44" s="1071">
        <f t="shared" si="12"/>
        <v>0</v>
      </c>
      <c r="I44" s="1073">
        <f t="shared" si="12"/>
        <v>0</v>
      </c>
      <c r="N44" s="260"/>
      <c r="O44" s="260"/>
      <c r="P44" s="260"/>
      <c r="Q44" s="260"/>
      <c r="R44" s="260"/>
      <c r="S44" s="260"/>
      <c r="T44" s="260"/>
      <c r="AD44" s="384"/>
      <c r="AE44" s="384"/>
      <c r="AF44" s="384"/>
      <c r="AG44" s="384"/>
      <c r="AH44" s="384"/>
    </row>
    <row r="45" spans="2:34" s="364" customFormat="1" x14ac:dyDescent="0.25">
      <c r="B45" s="967" t="s">
        <v>1138</v>
      </c>
      <c r="C45" s="1009">
        <f>'Unit costs'!K68</f>
        <v>2463.3994076949002</v>
      </c>
      <c r="D45" s="1071">
        <f t="shared" si="12"/>
        <v>0</v>
      </c>
      <c r="E45" s="1071">
        <f t="shared" si="12"/>
        <v>0</v>
      </c>
      <c r="F45" s="1071">
        <f t="shared" si="12"/>
        <v>0</v>
      </c>
      <c r="G45" s="1071">
        <f t="shared" si="12"/>
        <v>0</v>
      </c>
      <c r="H45" s="1071">
        <f t="shared" si="12"/>
        <v>0</v>
      </c>
      <c r="I45" s="1073">
        <f t="shared" si="12"/>
        <v>0</v>
      </c>
      <c r="N45" s="260"/>
      <c r="O45" s="260"/>
      <c r="P45" s="260"/>
      <c r="Q45" s="260"/>
      <c r="R45" s="260"/>
      <c r="S45" s="260"/>
      <c r="T45" s="260"/>
      <c r="AD45" s="384"/>
      <c r="AE45" s="384"/>
      <c r="AF45" s="384"/>
      <c r="AG45" s="384"/>
      <c r="AH45" s="384"/>
    </row>
    <row r="46" spans="2:34" s="364" customFormat="1" x14ac:dyDescent="0.25">
      <c r="B46" s="967" t="s">
        <v>1139</v>
      </c>
      <c r="C46" s="1009">
        <f>'Unit costs'!K79</f>
        <v>2514.4594076949002</v>
      </c>
      <c r="D46" s="1071">
        <f t="shared" si="12"/>
        <v>0</v>
      </c>
      <c r="E46" s="1071">
        <f t="shared" si="12"/>
        <v>0</v>
      </c>
      <c r="F46" s="1071">
        <f t="shared" si="12"/>
        <v>0</v>
      </c>
      <c r="G46" s="1071">
        <f t="shared" si="12"/>
        <v>0</v>
      </c>
      <c r="H46" s="1071">
        <f t="shared" si="12"/>
        <v>0</v>
      </c>
      <c r="I46" s="1073">
        <f t="shared" si="12"/>
        <v>0</v>
      </c>
      <c r="N46" s="260"/>
      <c r="O46" s="260"/>
      <c r="P46" s="260"/>
      <c r="Q46" s="260"/>
      <c r="R46" s="260"/>
      <c r="S46" s="260"/>
      <c r="T46" s="260"/>
      <c r="AD46" s="384"/>
      <c r="AE46" s="384"/>
      <c r="AF46" s="384"/>
      <c r="AG46" s="384"/>
      <c r="AH46" s="384"/>
    </row>
    <row r="47" spans="2:34" s="364" customFormat="1" x14ac:dyDescent="0.25">
      <c r="B47" s="967" t="s">
        <v>1140</v>
      </c>
      <c r="C47" s="1009">
        <f>'Unit costs'!K93</f>
        <v>3388.3325435932002</v>
      </c>
      <c r="D47" s="1071">
        <f t="shared" si="12"/>
        <v>0</v>
      </c>
      <c r="E47" s="1071">
        <f t="shared" si="12"/>
        <v>0</v>
      </c>
      <c r="F47" s="1071">
        <f t="shared" si="12"/>
        <v>0</v>
      </c>
      <c r="G47" s="1071">
        <f t="shared" si="12"/>
        <v>0</v>
      </c>
      <c r="H47" s="1071">
        <f t="shared" si="12"/>
        <v>0</v>
      </c>
      <c r="I47" s="1073">
        <f t="shared" si="12"/>
        <v>0</v>
      </c>
      <c r="N47" s="260"/>
      <c r="O47" s="260"/>
      <c r="P47" s="260"/>
      <c r="Q47" s="260"/>
      <c r="R47" s="260"/>
      <c r="S47" s="260"/>
      <c r="T47" s="260"/>
      <c r="AD47" s="384"/>
      <c r="AE47" s="384"/>
      <c r="AF47" s="384"/>
      <c r="AG47" s="384"/>
      <c r="AH47" s="384"/>
    </row>
    <row r="48" spans="2:34" s="364" customFormat="1" x14ac:dyDescent="0.25">
      <c r="B48" s="967" t="s">
        <v>1141</v>
      </c>
      <c r="C48" s="1009">
        <f>'Unit costs'!K101</f>
        <v>155.16</v>
      </c>
      <c r="D48" s="1071">
        <f t="shared" si="12"/>
        <v>0</v>
      </c>
      <c r="E48" s="1071">
        <f t="shared" si="12"/>
        <v>0</v>
      </c>
      <c r="F48" s="1071">
        <f t="shared" si="12"/>
        <v>0</v>
      </c>
      <c r="G48" s="1071">
        <f t="shared" si="12"/>
        <v>0</v>
      </c>
      <c r="H48" s="1071">
        <f t="shared" si="12"/>
        <v>0</v>
      </c>
      <c r="I48" s="1073">
        <f t="shared" si="12"/>
        <v>0</v>
      </c>
      <c r="J48" s="508"/>
      <c r="N48" s="260"/>
      <c r="O48" s="260"/>
      <c r="P48" s="260"/>
      <c r="Q48" s="260"/>
      <c r="R48" s="260"/>
      <c r="S48" s="260"/>
      <c r="T48" s="260"/>
      <c r="AD48" s="384"/>
      <c r="AE48" s="384"/>
      <c r="AF48" s="384"/>
      <c r="AG48" s="384"/>
      <c r="AH48" s="384"/>
    </row>
    <row r="49" spans="2:34" s="364" customFormat="1" x14ac:dyDescent="0.25">
      <c r="B49" s="968" t="s">
        <v>1142</v>
      </c>
      <c r="C49" s="1321">
        <f>'Unit costs'!K114</f>
        <v>703.79508540000006</v>
      </c>
      <c r="D49" s="1071">
        <f t="shared" si="12"/>
        <v>0</v>
      </c>
      <c r="E49" s="1071">
        <f t="shared" si="12"/>
        <v>0</v>
      </c>
      <c r="F49" s="1071">
        <f t="shared" si="12"/>
        <v>0</v>
      </c>
      <c r="G49" s="1071">
        <f t="shared" si="12"/>
        <v>0</v>
      </c>
      <c r="H49" s="1071">
        <f t="shared" si="12"/>
        <v>0</v>
      </c>
      <c r="I49" s="1073">
        <f t="shared" si="12"/>
        <v>0</v>
      </c>
      <c r="N49" s="260"/>
      <c r="O49" s="260"/>
      <c r="P49" s="260"/>
      <c r="Q49" s="260"/>
      <c r="R49" s="260"/>
      <c r="S49" s="260"/>
      <c r="T49" s="260"/>
      <c r="AD49" s="384"/>
      <c r="AE49" s="384"/>
      <c r="AF49" s="384"/>
      <c r="AG49" s="384"/>
      <c r="AH49" s="384"/>
    </row>
    <row r="50" spans="2:34" s="364" customFormat="1" x14ac:dyDescent="0.25">
      <c r="B50" s="967" t="s">
        <v>1236</v>
      </c>
      <c r="C50" s="1082"/>
      <c r="D50" s="1083">
        <f>SUM(D42:D49)</f>
        <v>0</v>
      </c>
      <c r="E50" s="1083">
        <f t="shared" ref="E50:I50" si="13">SUM(E42:E49)</f>
        <v>0</v>
      </c>
      <c r="F50" s="1083">
        <f t="shared" si="13"/>
        <v>0</v>
      </c>
      <c r="G50" s="1083">
        <f t="shared" si="13"/>
        <v>0</v>
      </c>
      <c r="H50" s="1083">
        <f t="shared" si="13"/>
        <v>0</v>
      </c>
      <c r="I50" s="1084">
        <f t="shared" si="13"/>
        <v>0</v>
      </c>
      <c r="N50" s="260"/>
      <c r="O50" s="260"/>
      <c r="P50" s="260"/>
      <c r="Q50" s="260"/>
      <c r="R50" s="260"/>
      <c r="S50" s="260"/>
      <c r="T50" s="260"/>
      <c r="AD50" s="384"/>
      <c r="AE50" s="384"/>
      <c r="AF50" s="384"/>
      <c r="AG50" s="384"/>
      <c r="AH50" s="384"/>
    </row>
    <row r="51" spans="2:34" s="364" customFormat="1" x14ac:dyDescent="0.25">
      <c r="B51" s="1074"/>
      <c r="C51" s="388"/>
      <c r="D51" s="507" t="s">
        <v>150</v>
      </c>
      <c r="E51" s="314">
        <f>E50-$D$50</f>
        <v>0</v>
      </c>
      <c r="F51" s="314">
        <f t="shared" ref="F51:I51" si="14">F50-$D$50</f>
        <v>0</v>
      </c>
      <c r="G51" s="314">
        <f t="shared" si="14"/>
        <v>0</v>
      </c>
      <c r="H51" s="314">
        <f t="shared" si="14"/>
        <v>0</v>
      </c>
      <c r="I51" s="1075">
        <f t="shared" si="14"/>
        <v>0</v>
      </c>
      <c r="N51" s="260"/>
      <c r="O51" s="260"/>
      <c r="P51" s="260"/>
      <c r="Q51" s="260"/>
      <c r="R51" s="260"/>
      <c r="S51" s="260"/>
      <c r="T51" s="260"/>
      <c r="AD51" s="384"/>
      <c r="AE51" s="384"/>
      <c r="AF51" s="384"/>
      <c r="AG51" s="384"/>
      <c r="AH51" s="384"/>
    </row>
    <row r="52" spans="2:34" s="364" customFormat="1" ht="15.75" thickBot="1" x14ac:dyDescent="0.3">
      <c r="B52" s="1076"/>
      <c r="C52" s="1077"/>
      <c r="D52" s="1078" t="s">
        <v>797</v>
      </c>
      <c r="E52" s="1079">
        <f>E51</f>
        <v>0</v>
      </c>
      <c r="F52" s="1080">
        <f>F51-E51</f>
        <v>0</v>
      </c>
      <c r="G52" s="1080">
        <f t="shared" ref="G52:I52" si="15">G51-F51</f>
        <v>0</v>
      </c>
      <c r="H52" s="1080">
        <f t="shared" si="15"/>
        <v>0</v>
      </c>
      <c r="I52" s="1081">
        <f t="shared" si="15"/>
        <v>0</v>
      </c>
      <c r="J52" s="260"/>
      <c r="K52" s="260"/>
      <c r="L52" s="260"/>
      <c r="M52" s="260"/>
      <c r="N52" s="260"/>
      <c r="O52" s="260"/>
      <c r="P52" s="260"/>
      <c r="Q52" s="260"/>
      <c r="R52" s="260"/>
      <c r="S52" s="260"/>
      <c r="T52" s="260"/>
      <c r="AD52" s="384"/>
      <c r="AE52" s="384"/>
      <c r="AF52" s="384"/>
      <c r="AG52" s="384"/>
      <c r="AH52" s="384"/>
    </row>
    <row r="54" spans="2:34" x14ac:dyDescent="0.25">
      <c r="J54" s="364"/>
      <c r="K54" s="364"/>
    </row>
    <row r="55" spans="2:34" x14ac:dyDescent="0.25">
      <c r="J55" s="364"/>
      <c r="K55" s="364"/>
    </row>
    <row r="56" spans="2:34" x14ac:dyDescent="0.25">
      <c r="J56" s="364"/>
      <c r="K56" s="364"/>
    </row>
  </sheetData>
  <sheetProtection algorithmName="SHA-512" hashValue="qrMu0IVqq/odzTpP4I+hZmTCB32/LEdCZM2GAQ6CrZyWrFcJSEIGPuVqI1n19G0sRceIXwlXesUzw+dTDhIjQQ==" saltValue="r1Ch1/3xFaOdlOtIfA8Egg==" spinCount="100000" sheet="1" objects="1" scenarios="1"/>
  <phoneticPr fontId="49"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69"/>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3" width="12.5703125" customWidth="1"/>
    <col min="4" max="4" width="18.42578125" customWidth="1"/>
    <col min="5" max="6" width="17.7109375" customWidth="1"/>
    <col min="7" max="7" width="17.28515625" customWidth="1"/>
    <col min="8" max="8" width="15.28515625" customWidth="1"/>
    <col min="9" max="9" width="15.140625" customWidth="1"/>
    <col min="10" max="10" width="1.85546875" customWidth="1"/>
    <col min="11" max="11" width="15.85546875" customWidth="1"/>
    <col min="12" max="12" width="12.42578125" customWidth="1"/>
    <col min="13" max="13" width="14.28515625" customWidth="1"/>
    <col min="14" max="14" width="13.140625" customWidth="1"/>
    <col min="15" max="15" width="12.5703125" customWidth="1"/>
    <col min="16" max="17" width="11.7109375" customWidth="1"/>
    <col min="18" max="18" width="11.42578125" customWidth="1"/>
    <col min="19" max="19" width="11.7109375" customWidth="1"/>
    <col min="20" max="25" width="10.85546875" customWidth="1"/>
    <col min="27" max="40" width="0" hidden="1" customWidth="1"/>
  </cols>
  <sheetData>
    <row r="1" spans="1:39" ht="76.5" customHeight="1" x14ac:dyDescent="0.25">
      <c r="B1" s="274" t="str">
        <f>'Unit costs'!B1</f>
        <v>Tumour profiling tests to guide adjuvant chemotherapy decisions in lymph node positive early breast cancer</v>
      </c>
      <c r="C1" s="130"/>
      <c r="D1" s="130"/>
      <c r="F1" s="130"/>
      <c r="G1" s="130"/>
      <c r="H1" s="130"/>
      <c r="I1" s="130"/>
      <c r="J1" s="130"/>
      <c r="K1" s="130"/>
      <c r="L1" s="130"/>
      <c r="M1" s="130"/>
      <c r="N1" s="130"/>
      <c r="O1" s="130"/>
      <c r="Q1" s="130"/>
      <c r="R1" s="130"/>
      <c r="S1" s="130"/>
      <c r="T1" s="130"/>
      <c r="U1" s="130"/>
      <c r="V1" s="130"/>
      <c r="W1" s="130"/>
      <c r="X1" s="130"/>
      <c r="Y1" s="130"/>
    </row>
    <row r="2" spans="1:39" ht="42.6" customHeight="1" x14ac:dyDescent="0.25">
      <c r="B2" s="330" t="s">
        <v>1222</v>
      </c>
      <c r="C2" s="130" t="s">
        <v>104</v>
      </c>
      <c r="D2" s="130" t="s">
        <v>104</v>
      </c>
      <c r="E2" s="727"/>
      <c r="F2" s="130" t="s">
        <v>104</v>
      </c>
      <c r="G2" s="130" t="s">
        <v>104</v>
      </c>
      <c r="H2" s="130" t="s">
        <v>104</v>
      </c>
      <c r="I2" s="130" t="s">
        <v>104</v>
      </c>
      <c r="J2" s="130"/>
      <c r="K2" s="130"/>
      <c r="L2" s="130"/>
      <c r="M2" s="130"/>
      <c r="N2" s="130"/>
      <c r="O2" s="130"/>
      <c r="P2" s="130"/>
      <c r="Q2" s="130"/>
      <c r="R2" s="130"/>
      <c r="S2" s="130"/>
      <c r="T2" s="130"/>
      <c r="U2" s="130"/>
      <c r="V2" s="130"/>
      <c r="W2" s="130"/>
      <c r="X2" s="130"/>
      <c r="Y2" s="130"/>
    </row>
    <row r="3" spans="1:39" ht="14.45" customHeight="1" x14ac:dyDescent="0.25">
      <c r="B3" s="257" t="s">
        <v>104</v>
      </c>
      <c r="C3" s="260" t="s">
        <v>104</v>
      </c>
      <c r="D3" s="260" t="s">
        <v>104</v>
      </c>
      <c r="F3" s="260" t="s">
        <v>104</v>
      </c>
      <c r="G3" s="260" t="s">
        <v>104</v>
      </c>
      <c r="H3" s="260" t="s">
        <v>104</v>
      </c>
      <c r="I3" s="260" t="s">
        <v>104</v>
      </c>
      <c r="J3" s="130"/>
      <c r="K3" s="130"/>
      <c r="L3" s="130"/>
      <c r="M3" s="130"/>
      <c r="N3" s="130"/>
      <c r="O3" s="130"/>
      <c r="P3" s="260"/>
      <c r="Q3" s="260"/>
      <c r="R3" s="260"/>
      <c r="S3" s="260"/>
      <c r="T3" s="260"/>
      <c r="U3" s="260"/>
      <c r="V3" s="260"/>
      <c r="W3" s="260"/>
      <c r="X3" s="260"/>
      <c r="Y3" s="260"/>
    </row>
    <row r="4" spans="1:39" ht="14.45" customHeight="1" x14ac:dyDescent="0.25">
      <c r="B4" t="s">
        <v>798</v>
      </c>
      <c r="C4" s="260"/>
      <c r="D4" s="260"/>
      <c r="F4" s="260"/>
      <c r="G4" s="260"/>
      <c r="H4" s="260"/>
      <c r="I4" s="260"/>
      <c r="J4" s="260"/>
      <c r="K4" s="260"/>
      <c r="L4" s="260"/>
      <c r="M4" s="260"/>
      <c r="N4" s="260"/>
      <c r="O4" s="260"/>
      <c r="P4" s="260"/>
      <c r="Q4" s="260"/>
      <c r="R4" s="260"/>
      <c r="S4" s="260"/>
      <c r="T4" s="260"/>
      <c r="U4" s="260"/>
      <c r="V4" s="260"/>
      <c r="W4" s="260"/>
      <c r="X4" s="260"/>
      <c r="Y4" s="260"/>
    </row>
    <row r="5" spans="1:39" ht="14.45" customHeight="1" x14ac:dyDescent="0.25">
      <c r="B5" s="4"/>
      <c r="F5" s="260"/>
      <c r="G5" s="260"/>
      <c r="H5" s="260"/>
      <c r="I5" s="260"/>
      <c r="J5" s="260"/>
      <c r="K5" s="260"/>
      <c r="L5" s="260"/>
      <c r="M5" s="260"/>
      <c r="N5" s="260"/>
      <c r="O5" s="260"/>
      <c r="P5" s="260"/>
      <c r="Q5" s="260"/>
      <c r="R5" s="260"/>
      <c r="S5" s="260"/>
      <c r="T5" s="260"/>
      <c r="U5" s="260"/>
      <c r="V5" s="260"/>
      <c r="W5" s="260"/>
      <c r="X5" s="260"/>
      <c r="Y5" s="260"/>
    </row>
    <row r="6" spans="1:39" ht="45" x14ac:dyDescent="0.25">
      <c r="B6" s="378" t="s">
        <v>145</v>
      </c>
      <c r="C6" s="328"/>
      <c r="D6" s="629" t="s">
        <v>792</v>
      </c>
      <c r="E6" s="376" t="s">
        <v>56</v>
      </c>
      <c r="F6" s="376" t="s">
        <v>57</v>
      </c>
      <c r="G6" s="290" t="s">
        <v>793</v>
      </c>
      <c r="H6" s="290" t="s">
        <v>794</v>
      </c>
      <c r="I6" s="376" t="s">
        <v>795</v>
      </c>
      <c r="K6" s="629" t="s">
        <v>792</v>
      </c>
      <c r="L6" s="376" t="s">
        <v>56</v>
      </c>
      <c r="M6" s="376" t="s">
        <v>57</v>
      </c>
      <c r="N6" s="290" t="s">
        <v>793</v>
      </c>
      <c r="O6" s="290" t="s">
        <v>794</v>
      </c>
      <c r="P6" s="376" t="s">
        <v>795</v>
      </c>
      <c r="Q6" s="260"/>
      <c r="R6" s="260"/>
      <c r="S6" s="260"/>
      <c r="T6" s="260"/>
      <c r="U6" s="260"/>
      <c r="V6" s="260"/>
      <c r="W6" s="260"/>
      <c r="X6" s="260"/>
      <c r="Y6" s="260"/>
      <c r="AI6" s="396"/>
      <c r="AJ6" s="396"/>
      <c r="AK6" s="396"/>
      <c r="AL6" s="396"/>
      <c r="AM6" s="396"/>
    </row>
    <row r="7" spans="1:39" x14ac:dyDescent="0.25">
      <c r="B7" s="343" t="s">
        <v>145</v>
      </c>
      <c r="C7" s="292"/>
      <c r="D7" s="544">
        <f>'Inputs and eligible population'!F46</f>
        <v>3325.6486634478779</v>
      </c>
      <c r="E7" s="309">
        <f>'Inputs and eligible population'!G$46</f>
        <v>3325.6486634478779</v>
      </c>
      <c r="F7" s="309">
        <f>'Inputs and eligible population'!H$46</f>
        <v>3325.6486634478779</v>
      </c>
      <c r="G7" s="309">
        <f>'Inputs and eligible population'!I$46</f>
        <v>3325.6486634478779</v>
      </c>
      <c r="H7" s="309">
        <f>'Inputs and eligible population'!J$46</f>
        <v>3325.6486634478779</v>
      </c>
      <c r="I7" s="309">
        <f>'Inputs and eligible population'!K$46</f>
        <v>3325.6486634478779</v>
      </c>
      <c r="O7" s="260"/>
      <c r="P7" s="260"/>
      <c r="Q7" s="260"/>
      <c r="R7" s="260"/>
      <c r="S7" s="260"/>
      <c r="T7" s="260"/>
      <c r="U7" s="260"/>
      <c r="V7" s="260"/>
      <c r="W7" s="260"/>
      <c r="X7" s="260"/>
      <c r="Y7" s="260"/>
      <c r="AI7" s="396"/>
      <c r="AJ7" s="396"/>
      <c r="AK7" s="396"/>
      <c r="AL7" s="396"/>
      <c r="AM7" s="396"/>
    </row>
    <row r="8" spans="1:39" x14ac:dyDescent="0.25">
      <c r="B8"/>
      <c r="O8" s="260"/>
      <c r="P8" s="260"/>
      <c r="Q8" s="260"/>
      <c r="R8" s="260"/>
      <c r="S8" s="260"/>
      <c r="T8" s="260"/>
      <c r="U8" s="260"/>
      <c r="V8" s="260"/>
      <c r="W8" s="260"/>
      <c r="X8" s="260"/>
      <c r="Y8" s="260"/>
      <c r="AI8" s="396"/>
      <c r="AJ8" s="396"/>
      <c r="AK8" s="396"/>
      <c r="AL8" s="396"/>
      <c r="AM8" s="396"/>
    </row>
    <row r="9" spans="1:39" x14ac:dyDescent="0.25">
      <c r="B9" s="390" t="s">
        <v>799</v>
      </c>
      <c r="C9" s="653"/>
      <c r="D9" s="653"/>
      <c r="E9" s="654"/>
      <c r="F9" s="653"/>
      <c r="G9" s="655"/>
      <c r="H9" s="656"/>
      <c r="I9" s="1013"/>
      <c r="J9" s="1012"/>
      <c r="K9" s="374" t="s">
        <v>149</v>
      </c>
      <c r="L9" s="374" t="s">
        <v>149</v>
      </c>
      <c r="M9" s="374" t="s">
        <v>149</v>
      </c>
      <c r="N9" s="374" t="s">
        <v>149</v>
      </c>
      <c r="O9" s="374" t="s">
        <v>149</v>
      </c>
      <c r="P9" s="374" t="s">
        <v>149</v>
      </c>
      <c r="Q9" s="872"/>
      <c r="R9" s="260"/>
      <c r="S9" s="260"/>
      <c r="T9" s="260"/>
      <c r="U9" s="260"/>
      <c r="V9" s="260"/>
      <c r="W9" s="260"/>
      <c r="X9" s="260"/>
      <c r="Y9" s="260"/>
      <c r="AI9" s="396"/>
      <c r="AJ9" s="396"/>
      <c r="AK9" s="396"/>
      <c r="AL9" s="396"/>
      <c r="AM9" s="396"/>
    </row>
    <row r="10" spans="1:39" x14ac:dyDescent="0.25">
      <c r="A10" s="692"/>
      <c r="B10" s="667" t="str">
        <f>B29</f>
        <v>First attendances</v>
      </c>
      <c r="C10" s="644"/>
      <c r="D10" s="626">
        <f t="shared" ref="D10:I10" si="0">D39</f>
        <v>0</v>
      </c>
      <c r="E10" s="626">
        <f t="shared" si="0"/>
        <v>0</v>
      </c>
      <c r="F10" s="626">
        <f t="shared" si="0"/>
        <v>0</v>
      </c>
      <c r="G10" s="626">
        <f t="shared" si="0"/>
        <v>0</v>
      </c>
      <c r="H10" s="626">
        <f t="shared" si="0"/>
        <v>0</v>
      </c>
      <c r="I10" s="626">
        <f t="shared" si="0"/>
        <v>0</v>
      </c>
      <c r="K10" s="1120"/>
      <c r="L10" s="1120"/>
      <c r="M10" s="1120"/>
      <c r="N10" s="1120"/>
      <c r="O10" s="1120"/>
      <c r="P10" s="1120"/>
      <c r="Q10" s="872"/>
      <c r="R10" s="260"/>
      <c r="S10" s="260"/>
      <c r="T10" s="260"/>
      <c r="U10" s="260"/>
      <c r="V10" s="260"/>
      <c r="W10" s="260"/>
      <c r="X10" s="260"/>
      <c r="Y10" s="260"/>
      <c r="AI10" s="396"/>
      <c r="AJ10" s="396"/>
      <c r="AK10" s="396"/>
      <c r="AL10" s="396"/>
      <c r="AM10" s="396"/>
    </row>
    <row r="11" spans="1:39" x14ac:dyDescent="0.25">
      <c r="A11" s="692"/>
      <c r="B11" s="667" t="str">
        <f>B42</f>
        <v>Follow up attendances</v>
      </c>
      <c r="C11" s="644"/>
      <c r="D11" s="626">
        <f t="shared" ref="D11:I11" si="1">D52</f>
        <v>0</v>
      </c>
      <c r="E11" s="626">
        <f t="shared" si="1"/>
        <v>0</v>
      </c>
      <c r="F11" s="626">
        <f t="shared" si="1"/>
        <v>0</v>
      </c>
      <c r="G11" s="626">
        <f t="shared" si="1"/>
        <v>0</v>
      </c>
      <c r="H11" s="626">
        <f t="shared" si="1"/>
        <v>0</v>
      </c>
      <c r="I11" s="626">
        <f t="shared" si="1"/>
        <v>0</v>
      </c>
      <c r="K11" s="1120"/>
      <c r="L11" s="1120"/>
      <c r="M11" s="1120"/>
      <c r="N11" s="1120"/>
      <c r="O11" s="1120"/>
      <c r="P11" s="1120"/>
      <c r="Q11" s="872"/>
      <c r="R11" s="260"/>
      <c r="S11" s="260"/>
      <c r="T11" s="260"/>
      <c r="U11" s="260"/>
      <c r="V11" s="260"/>
      <c r="W11" s="260"/>
      <c r="X11" s="260"/>
      <c r="Y11" s="260"/>
      <c r="AI11" s="396"/>
      <c r="AJ11" s="396"/>
      <c r="AK11" s="396"/>
      <c r="AL11" s="396"/>
      <c r="AM11" s="396"/>
    </row>
    <row r="12" spans="1:39" x14ac:dyDescent="0.25">
      <c r="A12" s="692"/>
      <c r="B12" s="1108" t="s">
        <v>1256</v>
      </c>
      <c r="C12" s="659"/>
      <c r="D12" s="627">
        <f t="shared" ref="D12:I12" si="2">D79</f>
        <v>0</v>
      </c>
      <c r="E12" s="627">
        <f t="shared" si="2"/>
        <v>0</v>
      </c>
      <c r="F12" s="627">
        <f t="shared" si="2"/>
        <v>0</v>
      </c>
      <c r="G12" s="627">
        <f t="shared" si="2"/>
        <v>0</v>
      </c>
      <c r="H12" s="627">
        <f t="shared" si="2"/>
        <v>0</v>
      </c>
      <c r="I12" s="627">
        <f t="shared" si="2"/>
        <v>0</v>
      </c>
      <c r="J12" s="692"/>
      <c r="K12" s="406">
        <f t="shared" ref="K12:P12" si="3">K79</f>
        <v>0</v>
      </c>
      <c r="L12" s="406">
        <f t="shared" si="3"/>
        <v>0</v>
      </c>
      <c r="M12" s="406">
        <f t="shared" si="3"/>
        <v>0</v>
      </c>
      <c r="N12" s="406">
        <f t="shared" si="3"/>
        <v>0</v>
      </c>
      <c r="O12" s="406">
        <f t="shared" si="3"/>
        <v>0</v>
      </c>
      <c r="P12" s="406">
        <f t="shared" si="3"/>
        <v>0</v>
      </c>
      <c r="Q12" s="260"/>
      <c r="R12" s="260"/>
      <c r="S12" s="260"/>
      <c r="T12" s="260"/>
      <c r="U12" s="260"/>
      <c r="V12" s="260"/>
      <c r="W12" s="260"/>
      <c r="X12" s="260"/>
      <c r="Y12" s="260"/>
      <c r="AI12" s="396"/>
      <c r="AJ12" s="396"/>
      <c r="AK12" s="396"/>
      <c r="AL12" s="396"/>
      <c r="AM12" s="396"/>
    </row>
    <row r="13" spans="1:39" x14ac:dyDescent="0.25">
      <c r="A13" s="692"/>
      <c r="B13" s="1109" t="str">
        <f>'Inputs and eligible population'!D112</f>
        <v>Preparation time before administration
(hours)</v>
      </c>
      <c r="C13" s="659"/>
      <c r="D13" s="627">
        <f t="shared" ref="D13:I13" si="4">D92</f>
        <v>0</v>
      </c>
      <c r="E13" s="627">
        <f t="shared" si="4"/>
        <v>0</v>
      </c>
      <c r="F13" s="627">
        <f t="shared" si="4"/>
        <v>0</v>
      </c>
      <c r="G13" s="627">
        <f t="shared" si="4"/>
        <v>0</v>
      </c>
      <c r="H13" s="627">
        <f t="shared" si="4"/>
        <v>0</v>
      </c>
      <c r="I13" s="627">
        <f t="shared" si="4"/>
        <v>0</v>
      </c>
      <c r="J13" s="692"/>
      <c r="K13" s="406">
        <f t="shared" ref="K13:P13" si="5">K92</f>
        <v>0</v>
      </c>
      <c r="L13" s="406">
        <f t="shared" si="5"/>
        <v>0</v>
      </c>
      <c r="M13" s="406">
        <f t="shared" si="5"/>
        <v>0</v>
      </c>
      <c r="N13" s="406">
        <f t="shared" si="5"/>
        <v>0</v>
      </c>
      <c r="O13" s="406">
        <f t="shared" si="5"/>
        <v>0</v>
      </c>
      <c r="P13" s="406">
        <f t="shared" si="5"/>
        <v>0</v>
      </c>
      <c r="Q13" s="260"/>
      <c r="R13" s="260"/>
      <c r="S13" s="260"/>
      <c r="T13" s="260"/>
      <c r="U13" s="260"/>
      <c r="V13" s="260"/>
      <c r="W13" s="260"/>
      <c r="X13" s="260"/>
      <c r="Y13" s="260"/>
      <c r="AI13" s="396"/>
      <c r="AJ13" s="396"/>
      <c r="AK13" s="396"/>
      <c r="AL13" s="396"/>
      <c r="AM13" s="396"/>
    </row>
    <row r="14" spans="1:39" x14ac:dyDescent="0.25">
      <c r="A14" s="692"/>
      <c r="B14" s="1108" t="s">
        <v>166</v>
      </c>
      <c r="C14" s="659"/>
      <c r="D14" s="627">
        <f t="shared" ref="D14:I14" si="6">D105</f>
        <v>0</v>
      </c>
      <c r="E14" s="627">
        <f t="shared" si="6"/>
        <v>0</v>
      </c>
      <c r="F14" s="627">
        <f t="shared" si="6"/>
        <v>0</v>
      </c>
      <c r="G14" s="627">
        <f t="shared" si="6"/>
        <v>0</v>
      </c>
      <c r="H14" s="627">
        <f t="shared" si="6"/>
        <v>0</v>
      </c>
      <c r="I14" s="627">
        <f t="shared" si="6"/>
        <v>0</v>
      </c>
      <c r="J14" s="692"/>
      <c r="K14" s="406">
        <f t="shared" ref="K14:P14" si="7">K105</f>
        <v>0</v>
      </c>
      <c r="L14" s="406">
        <f t="shared" si="7"/>
        <v>0</v>
      </c>
      <c r="M14" s="406">
        <f t="shared" si="7"/>
        <v>0</v>
      </c>
      <c r="N14" s="406">
        <f t="shared" si="7"/>
        <v>0</v>
      </c>
      <c r="O14" s="406">
        <f t="shared" si="7"/>
        <v>0</v>
      </c>
      <c r="P14" s="406">
        <f t="shared" si="7"/>
        <v>0</v>
      </c>
      <c r="Q14" s="260"/>
      <c r="R14" s="260"/>
      <c r="S14" s="260"/>
      <c r="T14" s="260"/>
      <c r="U14" s="260"/>
      <c r="V14" s="260"/>
      <c r="W14" s="260"/>
      <c r="X14" s="260"/>
      <c r="Y14" s="260"/>
      <c r="AI14" s="396"/>
      <c r="AJ14" s="396"/>
      <c r="AK14" s="396"/>
      <c r="AL14" s="396"/>
      <c r="AM14" s="396"/>
    </row>
    <row r="15" spans="1:39" ht="51.95" customHeight="1" x14ac:dyDescent="0.25">
      <c r="B15" s="1104" t="s">
        <v>1245</v>
      </c>
      <c r="C15" s="1105"/>
      <c r="D15" s="628">
        <f t="shared" ref="D15:I15" si="8">D119</f>
        <v>0</v>
      </c>
      <c r="E15" s="1113">
        <f t="shared" si="8"/>
        <v>0</v>
      </c>
      <c r="F15" s="1113">
        <f t="shared" si="8"/>
        <v>0</v>
      </c>
      <c r="G15" s="1113">
        <f t="shared" si="8"/>
        <v>0</v>
      </c>
      <c r="H15" s="1113">
        <f t="shared" si="8"/>
        <v>0</v>
      </c>
      <c r="I15" s="1113">
        <f t="shared" si="8"/>
        <v>0</v>
      </c>
      <c r="J15" s="1103"/>
      <c r="K15" s="1121"/>
      <c r="L15" s="1121"/>
      <c r="M15" s="1121"/>
      <c r="N15" s="1121"/>
      <c r="O15" s="1121"/>
      <c r="P15" s="1121"/>
      <c r="Q15" s="692"/>
    </row>
    <row r="16" spans="1:39" ht="45" customHeight="1" x14ac:dyDescent="0.25">
      <c r="B16" s="1104" t="s">
        <v>1246</v>
      </c>
      <c r="C16" s="1105"/>
      <c r="D16" s="628">
        <f t="shared" ref="D16:I16" si="9">D132</f>
        <v>0</v>
      </c>
      <c r="E16" s="1113">
        <f t="shared" si="9"/>
        <v>0</v>
      </c>
      <c r="F16" s="1113">
        <f t="shared" si="9"/>
        <v>0</v>
      </c>
      <c r="G16" s="1113">
        <f t="shared" si="9"/>
        <v>0</v>
      </c>
      <c r="H16" s="1113">
        <f t="shared" si="9"/>
        <v>0</v>
      </c>
      <c r="I16" s="1113">
        <f t="shared" si="9"/>
        <v>0</v>
      </c>
      <c r="J16" s="1103"/>
      <c r="K16" s="1121"/>
      <c r="L16" s="1121"/>
      <c r="M16" s="1121"/>
      <c r="N16" s="1121"/>
      <c r="O16" s="1121"/>
      <c r="P16" s="1121"/>
      <c r="Q16" s="692"/>
    </row>
    <row r="17" spans="1:39" ht="42" customHeight="1" x14ac:dyDescent="0.25">
      <c r="B17" s="1104" t="s">
        <v>1266</v>
      </c>
      <c r="C17" s="1105"/>
      <c r="D17" s="628">
        <f t="shared" ref="D17:I17" si="10">D145</f>
        <v>0</v>
      </c>
      <c r="E17" s="1113">
        <f t="shared" si="10"/>
        <v>0</v>
      </c>
      <c r="F17" s="1113">
        <f t="shared" si="10"/>
        <v>0</v>
      </c>
      <c r="G17" s="1113">
        <f t="shared" si="10"/>
        <v>0</v>
      </c>
      <c r="H17" s="1113">
        <f t="shared" si="10"/>
        <v>0</v>
      </c>
      <c r="I17" s="1113">
        <f t="shared" si="10"/>
        <v>0</v>
      </c>
      <c r="J17" s="1103"/>
      <c r="K17" s="406">
        <f t="shared" ref="K17:P17" si="11">K145</f>
        <v>0</v>
      </c>
      <c r="L17" s="406">
        <f t="shared" si="11"/>
        <v>0</v>
      </c>
      <c r="M17" s="406">
        <f t="shared" si="11"/>
        <v>0</v>
      </c>
      <c r="N17" s="406">
        <f t="shared" si="11"/>
        <v>0</v>
      </c>
      <c r="O17" s="406">
        <f t="shared" si="11"/>
        <v>0</v>
      </c>
      <c r="P17" s="406">
        <f t="shared" si="11"/>
        <v>0</v>
      </c>
      <c r="Q17" s="692"/>
    </row>
    <row r="18" spans="1:39" ht="50.45" customHeight="1" x14ac:dyDescent="0.25">
      <c r="B18" s="1104" t="s">
        <v>1265</v>
      </c>
      <c r="C18" s="1105"/>
      <c r="D18" s="628">
        <f t="shared" ref="D18:I18" si="12">D158</f>
        <v>0</v>
      </c>
      <c r="E18" s="1113">
        <f t="shared" si="12"/>
        <v>0</v>
      </c>
      <c r="F18" s="1113">
        <f t="shared" si="12"/>
        <v>0</v>
      </c>
      <c r="G18" s="1113">
        <f t="shared" si="12"/>
        <v>0</v>
      </c>
      <c r="H18" s="1113">
        <f t="shared" si="12"/>
        <v>0</v>
      </c>
      <c r="I18" s="1113">
        <f t="shared" si="12"/>
        <v>0</v>
      </c>
      <c r="J18" s="1103"/>
      <c r="K18" s="406">
        <f t="shared" ref="K18:P18" si="13">K158</f>
        <v>0</v>
      </c>
      <c r="L18" s="406">
        <f t="shared" si="13"/>
        <v>0</v>
      </c>
      <c r="M18" s="406">
        <f t="shared" si="13"/>
        <v>0</v>
      </c>
      <c r="N18" s="406">
        <f t="shared" si="13"/>
        <v>0</v>
      </c>
      <c r="O18" s="406">
        <f t="shared" si="13"/>
        <v>0</v>
      </c>
      <c r="P18" s="406">
        <f t="shared" si="13"/>
        <v>0</v>
      </c>
      <c r="Q18" s="692"/>
    </row>
    <row r="19" spans="1:39" x14ac:dyDescent="0.25">
      <c r="A19" s="692"/>
      <c r="B19" s="1104" t="s">
        <v>1267</v>
      </c>
      <c r="C19" s="1102"/>
      <c r="D19" s="628">
        <f t="shared" ref="D19:I19" si="14">D171</f>
        <v>0</v>
      </c>
      <c r="E19" s="628">
        <f t="shared" si="14"/>
        <v>0</v>
      </c>
      <c r="F19" s="628">
        <f t="shared" si="14"/>
        <v>0</v>
      </c>
      <c r="G19" s="628">
        <f t="shared" si="14"/>
        <v>0</v>
      </c>
      <c r="H19" s="628">
        <f t="shared" si="14"/>
        <v>0</v>
      </c>
      <c r="I19" s="628">
        <f t="shared" si="14"/>
        <v>0</v>
      </c>
      <c r="K19" s="406">
        <f t="shared" ref="K19:P19" si="15">K171</f>
        <v>0</v>
      </c>
      <c r="L19" s="406">
        <f t="shared" si="15"/>
        <v>0</v>
      </c>
      <c r="M19" s="406">
        <f t="shared" si="15"/>
        <v>0</v>
      </c>
      <c r="N19" s="406">
        <f t="shared" si="15"/>
        <v>0</v>
      </c>
      <c r="O19" s="406">
        <f t="shared" si="15"/>
        <v>0</v>
      </c>
      <c r="P19" s="406">
        <f t="shared" si="15"/>
        <v>0</v>
      </c>
      <c r="Q19" s="260"/>
      <c r="R19" s="260"/>
      <c r="S19" s="260"/>
      <c r="T19" s="260"/>
      <c r="U19" s="260"/>
      <c r="V19" s="260"/>
      <c r="W19" s="260"/>
      <c r="X19" s="260"/>
      <c r="Y19" s="260"/>
      <c r="AI19" s="396"/>
      <c r="AJ19" s="396"/>
      <c r="AK19" s="396"/>
      <c r="AL19" s="396"/>
      <c r="AM19" s="396"/>
    </row>
    <row r="20" spans="1:39" x14ac:dyDescent="0.25">
      <c r="A20" s="692"/>
      <c r="B20" s="658" t="s">
        <v>85</v>
      </c>
      <c r="C20" s="660"/>
      <c r="D20" s="634">
        <f t="shared" ref="D20:I20" si="16">D185</f>
        <v>0</v>
      </c>
      <c r="E20" s="634">
        <f t="shared" si="16"/>
        <v>0</v>
      </c>
      <c r="F20" s="634">
        <f t="shared" si="16"/>
        <v>0</v>
      </c>
      <c r="G20" s="634">
        <f t="shared" si="16"/>
        <v>0</v>
      </c>
      <c r="H20" s="634">
        <f t="shared" si="16"/>
        <v>0</v>
      </c>
      <c r="I20" s="634">
        <f t="shared" si="16"/>
        <v>0</v>
      </c>
      <c r="K20" s="406">
        <f>K208</f>
        <v>0</v>
      </c>
      <c r="L20" s="406">
        <f t="shared" ref="L20:P20" si="17">L208</f>
        <v>0</v>
      </c>
      <c r="M20" s="406">
        <f t="shared" si="17"/>
        <v>0</v>
      </c>
      <c r="N20" s="406">
        <f t="shared" si="17"/>
        <v>0</v>
      </c>
      <c r="O20" s="406">
        <f t="shared" si="17"/>
        <v>0</v>
      </c>
      <c r="P20" s="406">
        <f t="shared" si="17"/>
        <v>0</v>
      </c>
      <c r="Q20" s="260"/>
      <c r="R20" s="260"/>
      <c r="S20" s="260"/>
      <c r="T20" s="260"/>
      <c r="U20" s="260"/>
      <c r="V20" s="260"/>
      <c r="W20" s="260"/>
      <c r="X20" s="260"/>
      <c r="Y20" s="260"/>
      <c r="AI20" s="396"/>
      <c r="AJ20" s="396"/>
      <c r="AK20" s="396"/>
      <c r="AL20" s="396"/>
      <c r="AM20" s="396"/>
    </row>
    <row r="21" spans="1:39" x14ac:dyDescent="0.25">
      <c r="A21" s="692"/>
      <c r="B21" s="1125" t="s">
        <v>1205</v>
      </c>
      <c r="C21" s="661"/>
      <c r="D21" s="635">
        <f t="shared" ref="D21:I21" si="18">D222</f>
        <v>0</v>
      </c>
      <c r="E21" s="635">
        <f t="shared" si="18"/>
        <v>0</v>
      </c>
      <c r="F21" s="635">
        <f t="shared" si="18"/>
        <v>0</v>
      </c>
      <c r="G21" s="635">
        <f t="shared" si="18"/>
        <v>0</v>
      </c>
      <c r="H21" s="635">
        <f t="shared" si="18"/>
        <v>0</v>
      </c>
      <c r="I21" s="635">
        <f t="shared" si="18"/>
        <v>0</v>
      </c>
      <c r="K21" s="406">
        <f t="shared" ref="K21:P21" si="19">K222</f>
        <v>0</v>
      </c>
      <c r="L21" s="406">
        <f t="shared" si="19"/>
        <v>0</v>
      </c>
      <c r="M21" s="406">
        <f t="shared" si="19"/>
        <v>0</v>
      </c>
      <c r="N21" s="406">
        <f t="shared" si="19"/>
        <v>0</v>
      </c>
      <c r="O21" s="406">
        <f t="shared" si="19"/>
        <v>0</v>
      </c>
      <c r="P21" s="406">
        <f t="shared" si="19"/>
        <v>0</v>
      </c>
      <c r="Q21" s="260"/>
      <c r="R21" s="260"/>
      <c r="S21" s="260"/>
      <c r="T21" s="260"/>
      <c r="U21" s="260"/>
      <c r="V21" s="260"/>
      <c r="W21" s="260"/>
      <c r="X21" s="260"/>
      <c r="Y21" s="260"/>
      <c r="AI21" s="396"/>
      <c r="AJ21" s="396"/>
      <c r="AK21" s="396"/>
      <c r="AL21" s="396"/>
      <c r="AM21" s="396"/>
    </row>
    <row r="22" spans="1:39" x14ac:dyDescent="0.25">
      <c r="A22" s="692"/>
      <c r="B22" s="1125" t="s">
        <v>1200</v>
      </c>
      <c r="C22" s="661"/>
      <c r="D22" s="635">
        <f t="shared" ref="D22:I22" si="20">D235</f>
        <v>0</v>
      </c>
      <c r="E22" s="635">
        <f t="shared" si="20"/>
        <v>0</v>
      </c>
      <c r="F22" s="635">
        <f t="shared" si="20"/>
        <v>0</v>
      </c>
      <c r="G22" s="635">
        <f t="shared" si="20"/>
        <v>0</v>
      </c>
      <c r="H22" s="635">
        <f t="shared" si="20"/>
        <v>0</v>
      </c>
      <c r="I22" s="635">
        <f t="shared" si="20"/>
        <v>0</v>
      </c>
      <c r="K22" s="406">
        <f t="shared" ref="K22:P22" si="21">K235</f>
        <v>0</v>
      </c>
      <c r="L22" s="406">
        <f t="shared" si="21"/>
        <v>0</v>
      </c>
      <c r="M22" s="406">
        <f t="shared" si="21"/>
        <v>0</v>
      </c>
      <c r="N22" s="406">
        <f t="shared" si="21"/>
        <v>0</v>
      </c>
      <c r="O22" s="406">
        <f t="shared" si="21"/>
        <v>0</v>
      </c>
      <c r="P22" s="406">
        <f t="shared" si="21"/>
        <v>0</v>
      </c>
      <c r="Q22" s="260"/>
      <c r="R22" s="260"/>
      <c r="S22" s="260"/>
      <c r="T22" s="260"/>
      <c r="U22" s="260"/>
      <c r="V22" s="260"/>
      <c r="W22" s="260"/>
      <c r="X22" s="260"/>
      <c r="Y22" s="260"/>
      <c r="AI22" s="396"/>
      <c r="AJ22" s="396"/>
      <c r="AK22" s="396"/>
      <c r="AL22" s="396"/>
      <c r="AM22" s="396"/>
    </row>
    <row r="23" spans="1:39" x14ac:dyDescent="0.25">
      <c r="A23" s="692"/>
      <c r="B23" s="1126" t="s">
        <v>1207</v>
      </c>
      <c r="C23" s="661"/>
      <c r="D23" s="635">
        <f t="shared" ref="D23:I23" si="22">D248</f>
        <v>0</v>
      </c>
      <c r="E23" s="635">
        <f t="shared" si="22"/>
        <v>0</v>
      </c>
      <c r="F23" s="635">
        <f t="shared" si="22"/>
        <v>0</v>
      </c>
      <c r="G23" s="635">
        <f t="shared" si="22"/>
        <v>0</v>
      </c>
      <c r="H23" s="635">
        <f t="shared" si="22"/>
        <v>0</v>
      </c>
      <c r="I23" s="635">
        <f t="shared" si="22"/>
        <v>0</v>
      </c>
      <c r="K23" s="406">
        <f t="shared" ref="K23:P23" si="23">K248</f>
        <v>0</v>
      </c>
      <c r="L23" s="406">
        <f t="shared" si="23"/>
        <v>0</v>
      </c>
      <c r="M23" s="406">
        <f t="shared" si="23"/>
        <v>0</v>
      </c>
      <c r="N23" s="406">
        <f t="shared" si="23"/>
        <v>0</v>
      </c>
      <c r="O23" s="406">
        <f t="shared" si="23"/>
        <v>0</v>
      </c>
      <c r="P23" s="406">
        <f t="shared" si="23"/>
        <v>0</v>
      </c>
      <c r="Q23" s="260"/>
      <c r="R23" s="260"/>
      <c r="S23" s="260"/>
      <c r="T23" s="260"/>
      <c r="U23" s="260"/>
      <c r="V23" s="260"/>
      <c r="W23" s="260"/>
      <c r="X23" s="260"/>
      <c r="Y23" s="260"/>
      <c r="AI23" s="396"/>
      <c r="AJ23" s="396"/>
      <c r="AK23" s="396"/>
      <c r="AL23" s="396"/>
      <c r="AM23" s="396"/>
    </row>
    <row r="24" spans="1:39" x14ac:dyDescent="0.25">
      <c r="B24" s="368"/>
      <c r="D24" s="396"/>
      <c r="F24" s="260"/>
      <c r="G24" s="260"/>
      <c r="H24" s="260"/>
      <c r="I24" s="260"/>
      <c r="J24" s="260"/>
      <c r="K24" s="407">
        <f t="shared" ref="K24:P24" si="24">SUM(K10:K23)</f>
        <v>0</v>
      </c>
      <c r="L24" s="407">
        <f t="shared" si="24"/>
        <v>0</v>
      </c>
      <c r="M24" s="407">
        <f t="shared" si="24"/>
        <v>0</v>
      </c>
      <c r="N24" s="407">
        <f t="shared" si="24"/>
        <v>0</v>
      </c>
      <c r="O24" s="407">
        <f t="shared" si="24"/>
        <v>0</v>
      </c>
      <c r="P24" s="407">
        <f t="shared" si="24"/>
        <v>0</v>
      </c>
      <c r="Q24" s="260"/>
      <c r="R24" s="260"/>
      <c r="S24" s="260"/>
      <c r="T24" s="260"/>
      <c r="U24" s="260"/>
      <c r="V24" s="260"/>
      <c r="W24" s="260"/>
      <c r="X24" s="260"/>
      <c r="Y24" s="260"/>
    </row>
    <row r="25" spans="1:39" x14ac:dyDescent="0.25">
      <c r="B25" s="368"/>
      <c r="D25" s="396"/>
      <c r="F25" s="260"/>
      <c r="G25" s="260"/>
      <c r="H25" s="260"/>
      <c r="I25" s="260"/>
      <c r="J25" s="260"/>
      <c r="K25" s="1122"/>
      <c r="L25" s="1122"/>
      <c r="M25" s="1122"/>
      <c r="N25" s="1122"/>
      <c r="O25" s="1122"/>
      <c r="P25" s="1122"/>
      <c r="Q25" s="260"/>
      <c r="R25" s="260"/>
      <c r="S25" s="260"/>
      <c r="T25" s="260"/>
      <c r="U25" s="260"/>
      <c r="V25" s="260"/>
      <c r="W25" s="260"/>
      <c r="X25" s="260"/>
      <c r="Y25" s="260"/>
    </row>
    <row r="26" spans="1:39" x14ac:dyDescent="0.25">
      <c r="B26" s="538" t="s">
        <v>800</v>
      </c>
      <c r="C26" s="539"/>
      <c r="D26" s="539"/>
      <c r="E26" s="540"/>
      <c r="F26" s="539"/>
      <c r="G26" s="541"/>
      <c r="H26" s="542"/>
      <c r="I26" s="542"/>
      <c r="J26" s="542"/>
      <c r="K26" s="327"/>
      <c r="L26" s="327"/>
      <c r="M26" s="327"/>
      <c r="N26" s="327"/>
      <c r="O26" s="625"/>
      <c r="P26" s="625"/>
      <c r="Q26" s="260"/>
      <c r="R26" s="260"/>
      <c r="S26" s="260"/>
      <c r="T26" s="260"/>
      <c r="U26" s="260"/>
      <c r="V26" s="260"/>
      <c r="W26" s="260"/>
      <c r="X26" s="260"/>
      <c r="Y26" s="260"/>
      <c r="AI26" s="396"/>
      <c r="AJ26" s="396"/>
      <c r="AK26" s="396"/>
      <c r="AL26" s="396"/>
      <c r="AM26" s="396"/>
    </row>
    <row r="27" spans="1:39" x14ac:dyDescent="0.25">
      <c r="A27" s="412"/>
      <c r="B27" s="443"/>
      <c r="C27" s="417"/>
      <c r="D27" s="418"/>
      <c r="E27" s="419"/>
      <c r="F27" s="412"/>
      <c r="G27" s="412"/>
      <c r="H27" s="332"/>
      <c r="I27" s="332"/>
      <c r="J27" s="332"/>
      <c r="K27" s="332"/>
      <c r="L27" s="332"/>
      <c r="M27" s="332"/>
      <c r="N27" s="332"/>
      <c r="O27" s="332"/>
      <c r="P27" s="332"/>
      <c r="Q27" s="260"/>
      <c r="R27" s="260"/>
      <c r="S27" s="260"/>
      <c r="T27" s="260"/>
      <c r="U27" s="260"/>
      <c r="V27" s="260"/>
      <c r="W27" s="260"/>
      <c r="X27" s="260"/>
      <c r="Y27" s="260"/>
      <c r="AI27" s="396"/>
      <c r="AJ27" s="396"/>
      <c r="AK27" s="396"/>
      <c r="AL27" s="396"/>
      <c r="AM27" s="396"/>
    </row>
    <row r="28" spans="1:39" x14ac:dyDescent="0.25">
      <c r="A28" s="412"/>
      <c r="B28" s="442" t="s">
        <v>801</v>
      </c>
      <c r="C28" s="413"/>
      <c r="D28" s="413"/>
      <c r="E28" s="414"/>
      <c r="F28" s="415"/>
      <c r="G28" s="416"/>
      <c r="H28" s="416"/>
      <c r="I28" s="644"/>
      <c r="J28" s="645"/>
      <c r="K28" s="412"/>
      <c r="L28" s="412"/>
      <c r="M28" s="412"/>
      <c r="N28" s="412"/>
      <c r="O28" s="412"/>
      <c r="P28" s="412"/>
      <c r="Q28" s="260"/>
      <c r="R28" s="260"/>
      <c r="U28" s="260"/>
    </row>
    <row r="29" spans="1:39" x14ac:dyDescent="0.25">
      <c r="A29" s="420"/>
      <c r="B29" s="555" t="s">
        <v>161</v>
      </c>
      <c r="C29" s="556"/>
      <c r="D29" s="556"/>
      <c r="E29" s="556"/>
      <c r="F29" s="556"/>
      <c r="G29" s="556"/>
      <c r="H29" s="556"/>
      <c r="I29" s="331"/>
      <c r="J29" s="332"/>
      <c r="K29" s="332"/>
      <c r="L29" s="332"/>
      <c r="M29" s="332"/>
      <c r="N29" s="332"/>
      <c r="O29" s="332"/>
      <c r="P29" s="332"/>
      <c r="Q29" s="260"/>
      <c r="R29" s="260"/>
      <c r="S29" s="260"/>
      <c r="T29" s="260"/>
      <c r="U29" s="260"/>
      <c r="V29" s="260"/>
      <c r="W29" s="260"/>
      <c r="X29" s="260"/>
      <c r="Y29" s="260"/>
      <c r="AI29" s="396"/>
      <c r="AJ29" s="396"/>
      <c r="AK29" s="396"/>
      <c r="AL29" s="396"/>
      <c r="AM29" s="396"/>
    </row>
    <row r="30" spans="1:39" ht="45" x14ac:dyDescent="0.25">
      <c r="A30" s="420"/>
      <c r="B30" s="441" t="s">
        <v>111</v>
      </c>
      <c r="C30" s="291" t="s">
        <v>802</v>
      </c>
      <c r="D30" s="629" t="s">
        <v>792</v>
      </c>
      <c r="E30" s="376" t="s">
        <v>56</v>
      </c>
      <c r="F30" s="376" t="s">
        <v>57</v>
      </c>
      <c r="G30" s="290" t="s">
        <v>793</v>
      </c>
      <c r="H30" s="290" t="s">
        <v>794</v>
      </c>
      <c r="I30" s="376" t="s">
        <v>795</v>
      </c>
      <c r="J30" s="639"/>
      <c r="K30" s="332"/>
      <c r="L30" s="332"/>
      <c r="M30" s="332"/>
      <c r="N30" s="332"/>
      <c r="O30" s="332"/>
      <c r="P30" s="332"/>
      <c r="Q30" s="872"/>
      <c r="R30" s="260"/>
      <c r="S30" s="260"/>
      <c r="T30" s="260"/>
      <c r="U30" s="260"/>
      <c r="V30" s="260"/>
      <c r="W30" s="260"/>
      <c r="X30" s="260"/>
      <c r="Y30" s="260"/>
      <c r="AI30" s="396"/>
      <c r="AJ30" s="396"/>
      <c r="AK30" s="396"/>
      <c r="AL30" s="396"/>
      <c r="AM30" s="396"/>
    </row>
    <row r="31" spans="1:39" x14ac:dyDescent="0.25">
      <c r="A31" s="420"/>
      <c r="B31" s="496" t="s">
        <v>1135</v>
      </c>
      <c r="C31" s="578">
        <f>'Inputs and eligible population'!F114</f>
        <v>1</v>
      </c>
      <c r="D31" s="131">
        <f>$C31*'Financial impact (cash)'!D30</f>
        <v>0</v>
      </c>
      <c r="E31" s="131">
        <f>$C31*'Financial impact (cash)'!E30</f>
        <v>0</v>
      </c>
      <c r="F31" s="131">
        <f>$C31*'Financial impact (cash)'!F30</f>
        <v>0</v>
      </c>
      <c r="G31" s="131">
        <f>$C31*'Financial impact (cash)'!G30</f>
        <v>0</v>
      </c>
      <c r="H31" s="131">
        <f>$C31*'Financial impact (cash)'!H30</f>
        <v>0</v>
      </c>
      <c r="I31" s="131">
        <f>$C31*'Financial impact (cash)'!I30</f>
        <v>0</v>
      </c>
      <c r="J31" s="639"/>
      <c r="K31" s="332"/>
      <c r="L31" s="332"/>
      <c r="M31" s="332"/>
      <c r="N31" s="332"/>
      <c r="O31" s="332"/>
      <c r="P31" s="332"/>
      <c r="Q31" s="692"/>
      <c r="R31" s="260"/>
      <c r="S31" s="260"/>
      <c r="T31" s="260"/>
      <c r="U31" s="260"/>
      <c r="V31" s="260"/>
      <c r="W31" s="260"/>
      <c r="X31" s="260"/>
      <c r="Y31" s="260"/>
      <c r="AI31" s="396"/>
      <c r="AJ31" s="396"/>
      <c r="AK31" s="396"/>
      <c r="AL31" s="396"/>
      <c r="AM31" s="396"/>
    </row>
    <row r="32" spans="1:39" x14ac:dyDescent="0.25">
      <c r="A32" s="420"/>
      <c r="B32" s="496" t="s">
        <v>1136</v>
      </c>
      <c r="C32" s="578">
        <f>'Inputs and eligible population'!G114</f>
        <v>1</v>
      </c>
      <c r="D32" s="131">
        <f>$C32*'Financial impact (cash)'!D31</f>
        <v>0</v>
      </c>
      <c r="E32" s="131">
        <f>$C32*'Financial impact (cash)'!E31</f>
        <v>0</v>
      </c>
      <c r="F32" s="131">
        <f>$C32*'Financial impact (cash)'!F31</f>
        <v>0</v>
      </c>
      <c r="G32" s="131">
        <f>$C32*'Financial impact (cash)'!G31</f>
        <v>0</v>
      </c>
      <c r="H32" s="131">
        <f>$C32*'Financial impact (cash)'!H31</f>
        <v>0</v>
      </c>
      <c r="I32" s="131">
        <f>$C32*'Financial impact (cash)'!I31</f>
        <v>0</v>
      </c>
      <c r="J32" s="639"/>
      <c r="K32" s="332"/>
      <c r="L32" s="332"/>
      <c r="M32" s="332"/>
      <c r="N32" s="332"/>
      <c r="O32" s="332"/>
      <c r="P32" s="332"/>
      <c r="Q32" s="692"/>
      <c r="R32" s="260"/>
      <c r="S32" s="260"/>
      <c r="T32" s="260"/>
      <c r="U32" s="260"/>
      <c r="V32" s="260"/>
      <c r="W32" s="260"/>
      <c r="X32" s="260"/>
      <c r="Y32" s="260"/>
      <c r="AI32" s="396"/>
      <c r="AJ32" s="396"/>
      <c r="AK32" s="396"/>
      <c r="AL32" s="396"/>
      <c r="AM32" s="396"/>
    </row>
    <row r="33" spans="1:39" x14ac:dyDescent="0.25">
      <c r="A33" s="420"/>
      <c r="B33" s="496" t="s">
        <v>1137</v>
      </c>
      <c r="C33" s="578">
        <f>'Inputs and eligible population'!H114</f>
        <v>1</v>
      </c>
      <c r="D33" s="131">
        <f>$C33*'Financial impact (cash)'!D32</f>
        <v>0</v>
      </c>
      <c r="E33" s="131">
        <f>$C33*'Financial impact (cash)'!E32</f>
        <v>0</v>
      </c>
      <c r="F33" s="131">
        <f>$C33*'Financial impact (cash)'!F32</f>
        <v>0</v>
      </c>
      <c r="G33" s="131">
        <f>$C33*'Financial impact (cash)'!G32</f>
        <v>0</v>
      </c>
      <c r="H33" s="131">
        <f>$C33*'Financial impact (cash)'!H32</f>
        <v>0</v>
      </c>
      <c r="I33" s="131">
        <f>$C33*'Financial impact (cash)'!I32</f>
        <v>0</v>
      </c>
      <c r="J33" s="639"/>
      <c r="K33" s="332"/>
      <c r="L33" s="332"/>
      <c r="M33" s="332"/>
      <c r="N33" s="332"/>
      <c r="O33" s="332"/>
      <c r="P33" s="332"/>
      <c r="Q33" s="692"/>
      <c r="R33" s="260"/>
      <c r="S33" s="260"/>
      <c r="T33" s="260"/>
      <c r="U33" s="260"/>
      <c r="V33" s="260"/>
      <c r="W33" s="260"/>
      <c r="X33" s="260"/>
      <c r="Y33" s="260"/>
      <c r="AI33" s="396"/>
      <c r="AJ33" s="396"/>
      <c r="AK33" s="396"/>
      <c r="AL33" s="396"/>
      <c r="AM33" s="396"/>
    </row>
    <row r="34" spans="1:39" x14ac:dyDescent="0.25">
      <c r="A34" s="420"/>
      <c r="B34" s="496" t="s">
        <v>1138</v>
      </c>
      <c r="C34" s="578">
        <f>'Inputs and eligible population'!I114</f>
        <v>1</v>
      </c>
      <c r="D34" s="131">
        <f>$C34*'Financial impact (cash)'!D33</f>
        <v>0</v>
      </c>
      <c r="E34" s="131">
        <f>$C34*'Financial impact (cash)'!E33</f>
        <v>0</v>
      </c>
      <c r="F34" s="131">
        <f>$C34*'Financial impact (cash)'!F33</f>
        <v>0</v>
      </c>
      <c r="G34" s="131">
        <f>$C34*'Financial impact (cash)'!G33</f>
        <v>0</v>
      </c>
      <c r="H34" s="131">
        <f>$C34*'Financial impact (cash)'!H33</f>
        <v>0</v>
      </c>
      <c r="I34" s="131">
        <f>$C34*'Financial impact (cash)'!I33</f>
        <v>0</v>
      </c>
      <c r="J34" s="639"/>
      <c r="K34" s="332"/>
      <c r="L34" s="332"/>
      <c r="M34" s="332"/>
      <c r="N34" s="332"/>
      <c r="O34" s="332"/>
      <c r="P34" s="332"/>
      <c r="Q34" s="692"/>
      <c r="R34" s="260"/>
      <c r="S34" s="260"/>
      <c r="T34" s="260"/>
      <c r="U34" s="260"/>
      <c r="V34" s="260"/>
      <c r="W34" s="260"/>
      <c r="X34" s="260"/>
      <c r="Y34" s="260"/>
      <c r="AI34" s="396"/>
      <c r="AJ34" s="396"/>
      <c r="AK34" s="396"/>
      <c r="AL34" s="396"/>
      <c r="AM34" s="396"/>
    </row>
    <row r="35" spans="1:39" x14ac:dyDescent="0.25">
      <c r="A35" s="420"/>
      <c r="B35" s="496" t="s">
        <v>1139</v>
      </c>
      <c r="C35" s="578">
        <f>'Inputs and eligible population'!J114</f>
        <v>1</v>
      </c>
      <c r="D35" s="131">
        <f>$C35*'Financial impact (cash)'!D34</f>
        <v>0</v>
      </c>
      <c r="E35" s="131">
        <f>$C35*'Financial impact (cash)'!E34</f>
        <v>0</v>
      </c>
      <c r="F35" s="131">
        <f>$C35*'Financial impact (cash)'!F34</f>
        <v>0</v>
      </c>
      <c r="G35" s="131">
        <f>$C35*'Financial impact (cash)'!G34</f>
        <v>0</v>
      </c>
      <c r="H35" s="131">
        <f>$C35*'Financial impact (cash)'!H34</f>
        <v>0</v>
      </c>
      <c r="I35" s="131">
        <f>$C35*'Financial impact (cash)'!I34</f>
        <v>0</v>
      </c>
      <c r="J35" s="639"/>
      <c r="K35" s="332"/>
      <c r="L35" s="332"/>
      <c r="M35" s="332"/>
      <c r="N35" s="332"/>
      <c r="O35" s="332"/>
      <c r="P35" s="332"/>
      <c r="Q35" s="692"/>
      <c r="R35" s="260"/>
      <c r="S35" s="260"/>
      <c r="T35" s="260"/>
      <c r="U35" s="260"/>
      <c r="V35" s="260"/>
      <c r="W35" s="260"/>
      <c r="X35" s="260"/>
      <c r="Y35" s="260"/>
      <c r="AI35" s="396"/>
      <c r="AJ35" s="396"/>
      <c r="AK35" s="396"/>
      <c r="AL35" s="396"/>
      <c r="AM35" s="396"/>
    </row>
    <row r="36" spans="1:39" x14ac:dyDescent="0.25">
      <c r="A36" s="420"/>
      <c r="B36" s="496" t="s">
        <v>1140</v>
      </c>
      <c r="C36" s="578">
        <f>'Inputs and eligible population'!K114</f>
        <v>1</v>
      </c>
      <c r="D36" s="131">
        <f>$C36*'Financial impact (cash)'!D35</f>
        <v>0</v>
      </c>
      <c r="E36" s="131">
        <f>$C36*'Financial impact (cash)'!E35</f>
        <v>0</v>
      </c>
      <c r="F36" s="131">
        <f>$C36*'Financial impact (cash)'!F35</f>
        <v>0</v>
      </c>
      <c r="G36" s="131">
        <f>$C36*'Financial impact (cash)'!G35</f>
        <v>0</v>
      </c>
      <c r="H36" s="131">
        <f>$C36*'Financial impact (cash)'!H35</f>
        <v>0</v>
      </c>
      <c r="I36" s="131">
        <f>$C36*'Financial impact (cash)'!I35</f>
        <v>0</v>
      </c>
      <c r="J36" s="639"/>
      <c r="K36" s="332"/>
      <c r="L36" s="332"/>
      <c r="M36" s="332"/>
      <c r="N36" s="332"/>
      <c r="O36" s="332"/>
      <c r="P36" s="332"/>
      <c r="Q36" s="692"/>
      <c r="R36" s="260"/>
      <c r="S36" s="260"/>
      <c r="T36" s="260"/>
      <c r="U36" s="260"/>
      <c r="V36" s="260"/>
      <c r="W36" s="260"/>
      <c r="X36" s="260"/>
      <c r="Y36" s="260"/>
      <c r="AI36" s="396"/>
      <c r="AJ36" s="396"/>
      <c r="AK36" s="396"/>
      <c r="AL36" s="396"/>
      <c r="AM36" s="396"/>
    </row>
    <row r="37" spans="1:39" x14ac:dyDescent="0.25">
      <c r="A37" s="420"/>
      <c r="B37" s="496" t="s">
        <v>1141</v>
      </c>
      <c r="C37" s="578">
        <f>'Inputs and eligible population'!L114</f>
        <v>1</v>
      </c>
      <c r="D37" s="131">
        <f>$C37*'Financial impact (cash)'!D36</f>
        <v>0</v>
      </c>
      <c r="E37" s="131">
        <f>$C37*'Financial impact (cash)'!E36</f>
        <v>0</v>
      </c>
      <c r="F37" s="131">
        <f>$C37*'Financial impact (cash)'!F36</f>
        <v>0</v>
      </c>
      <c r="G37" s="131">
        <f>$C37*'Financial impact (cash)'!G36</f>
        <v>0</v>
      </c>
      <c r="H37" s="131">
        <f>$C37*'Financial impact (cash)'!H36</f>
        <v>0</v>
      </c>
      <c r="I37" s="131">
        <f>$C37*'Financial impact (cash)'!I36</f>
        <v>0</v>
      </c>
      <c r="J37" s="639"/>
      <c r="K37" s="332"/>
      <c r="L37" s="332"/>
      <c r="M37" s="332"/>
      <c r="N37" s="332"/>
      <c r="O37" s="332"/>
      <c r="P37" s="332"/>
      <c r="Q37" s="692"/>
      <c r="R37" s="260"/>
      <c r="S37" s="260"/>
      <c r="T37" s="260"/>
      <c r="U37" s="260"/>
      <c r="V37" s="260"/>
      <c r="W37" s="260"/>
      <c r="X37" s="260"/>
      <c r="Y37" s="260"/>
      <c r="AI37" s="396"/>
      <c r="AJ37" s="396"/>
      <c r="AK37" s="396"/>
      <c r="AL37" s="396"/>
      <c r="AM37" s="396"/>
    </row>
    <row r="38" spans="1:39" x14ac:dyDescent="0.25">
      <c r="A38" s="420"/>
      <c r="B38" s="496" t="s">
        <v>1142</v>
      </c>
      <c r="C38" s="1072">
        <f>'Inputs and eligible population'!M114</f>
        <v>1</v>
      </c>
      <c r="D38" s="131">
        <f>$C38*'Financial impact (cash)'!D37</f>
        <v>0</v>
      </c>
      <c r="E38" s="131">
        <f>$C38*'Financial impact (cash)'!E37</f>
        <v>0</v>
      </c>
      <c r="F38" s="131">
        <f>$C38*'Financial impact (cash)'!F37</f>
        <v>0</v>
      </c>
      <c r="G38" s="131">
        <f>$C38*'Financial impact (cash)'!G37</f>
        <v>0</v>
      </c>
      <c r="H38" s="131">
        <f>$C38*'Financial impact (cash)'!H37</f>
        <v>0</v>
      </c>
      <c r="I38" s="131">
        <f>$C38*'Financial impact (cash)'!I37</f>
        <v>0</v>
      </c>
      <c r="J38" s="639"/>
      <c r="K38" s="332"/>
      <c r="L38" s="332"/>
      <c r="M38" s="332"/>
      <c r="N38" s="332"/>
      <c r="O38" s="332"/>
      <c r="P38" s="332"/>
      <c r="Q38" s="692"/>
      <c r="R38" s="260"/>
      <c r="S38" s="260"/>
      <c r="T38" s="260"/>
      <c r="U38" s="260"/>
      <c r="V38" s="260"/>
      <c r="W38" s="260"/>
      <c r="X38" s="260"/>
      <c r="Y38" s="260"/>
      <c r="AI38" s="396"/>
      <c r="AJ38" s="396"/>
      <c r="AK38" s="396"/>
      <c r="AL38" s="396"/>
      <c r="AM38" s="396"/>
    </row>
    <row r="39" spans="1:39" x14ac:dyDescent="0.25">
      <c r="A39" s="420"/>
      <c r="B39" s="1110" t="s">
        <v>1255</v>
      </c>
      <c r="C39" s="1111"/>
      <c r="D39" s="309">
        <f t="shared" ref="D39:I39" si="25">SUM(D31:D38)</f>
        <v>0</v>
      </c>
      <c r="E39" s="309">
        <f t="shared" si="25"/>
        <v>0</v>
      </c>
      <c r="F39" s="309">
        <f t="shared" si="25"/>
        <v>0</v>
      </c>
      <c r="G39" s="309">
        <f t="shared" si="25"/>
        <v>0</v>
      </c>
      <c r="H39" s="309">
        <f t="shared" si="25"/>
        <v>0</v>
      </c>
      <c r="I39" s="309">
        <f t="shared" si="25"/>
        <v>0</v>
      </c>
      <c r="J39" s="639"/>
      <c r="K39" s="332"/>
      <c r="L39" s="332"/>
      <c r="M39" s="332"/>
      <c r="N39" s="332"/>
      <c r="O39" s="332"/>
      <c r="P39" s="332"/>
      <c r="Q39" s="692"/>
      <c r="R39" s="260"/>
      <c r="S39" s="260"/>
      <c r="T39" s="260"/>
      <c r="U39" s="260"/>
      <c r="V39" s="260"/>
      <c r="W39" s="260"/>
      <c r="X39" s="260"/>
      <c r="Y39" s="260"/>
      <c r="AI39" s="396"/>
      <c r="AJ39" s="396"/>
      <c r="AK39" s="396"/>
      <c r="AL39" s="396"/>
      <c r="AM39" s="396"/>
    </row>
    <row r="40" spans="1:39" x14ac:dyDescent="0.25">
      <c r="A40" s="420"/>
      <c r="B40" s="377"/>
      <c r="C40" s="377"/>
      <c r="D40" s="395" t="s">
        <v>803</v>
      </c>
      <c r="E40" s="313">
        <f>E39-$D$39</f>
        <v>0</v>
      </c>
      <c r="F40" s="313">
        <f>F39-$D$39</f>
        <v>0</v>
      </c>
      <c r="G40" s="313">
        <f>G39-$D$39</f>
        <v>0</v>
      </c>
      <c r="H40" s="313">
        <f>H39-$D$39</f>
        <v>0</v>
      </c>
      <c r="I40" s="313">
        <f>I39-$D$39</f>
        <v>0</v>
      </c>
      <c r="J40" s="639"/>
      <c r="K40" s="332"/>
      <c r="L40" s="332"/>
      <c r="M40" s="332"/>
      <c r="N40" s="332"/>
      <c r="O40" s="332"/>
      <c r="P40" s="332"/>
      <c r="Q40" s="692"/>
      <c r="R40" s="260"/>
      <c r="S40" s="260"/>
      <c r="T40" s="260"/>
      <c r="U40" s="260"/>
      <c r="V40" s="260"/>
      <c r="W40" s="260"/>
      <c r="X40" s="260"/>
      <c r="Y40" s="260"/>
      <c r="AI40" s="396"/>
      <c r="AJ40" s="396"/>
      <c r="AK40" s="396"/>
      <c r="AL40" s="396"/>
      <c r="AM40" s="396"/>
    </row>
    <row r="41" spans="1:39" x14ac:dyDescent="0.25">
      <c r="A41" s="412"/>
      <c r="B41" s="443"/>
      <c r="C41" s="417"/>
      <c r="D41" s="418"/>
      <c r="E41" s="419"/>
      <c r="F41" s="412"/>
      <c r="G41" s="412"/>
      <c r="H41" s="412"/>
      <c r="I41" s="416"/>
      <c r="J41" s="332"/>
      <c r="K41" s="332"/>
      <c r="L41" s="332"/>
      <c r="M41" s="332"/>
      <c r="N41" s="332"/>
      <c r="O41" s="332"/>
      <c r="P41" s="332"/>
      <c r="Q41" s="692"/>
      <c r="R41" s="260"/>
      <c r="S41" s="260"/>
      <c r="T41" s="260"/>
      <c r="U41" s="260"/>
      <c r="V41" s="260"/>
      <c r="W41" s="260"/>
      <c r="X41" s="260"/>
      <c r="Y41" s="260"/>
      <c r="AI41" s="396"/>
      <c r="AJ41" s="396"/>
      <c r="AK41" s="396"/>
      <c r="AL41" s="396"/>
      <c r="AM41" s="396"/>
    </row>
    <row r="42" spans="1:39" x14ac:dyDescent="0.25">
      <c r="A42" s="412"/>
      <c r="B42" s="751" t="s">
        <v>162</v>
      </c>
      <c r="C42" s="556"/>
      <c r="D42" s="556"/>
      <c r="E42" s="556"/>
      <c r="F42" s="556"/>
      <c r="G42" s="556"/>
      <c r="H42" s="556"/>
      <c r="I42" s="331"/>
      <c r="J42" s="332"/>
      <c r="K42" s="332"/>
      <c r="L42" s="332"/>
      <c r="M42" s="332"/>
      <c r="N42" s="332"/>
      <c r="O42" s="332"/>
      <c r="P42" s="332"/>
      <c r="Q42" s="692"/>
      <c r="R42" s="260"/>
      <c r="S42" s="260"/>
      <c r="T42" s="260"/>
      <c r="U42" s="260"/>
      <c r="V42" s="260"/>
      <c r="W42" s="260"/>
      <c r="X42" s="260"/>
      <c r="Y42" s="260"/>
      <c r="AI42" s="396"/>
      <c r="AJ42" s="396"/>
      <c r="AK42" s="396"/>
      <c r="AL42" s="396"/>
      <c r="AM42" s="396"/>
    </row>
    <row r="43" spans="1:39" ht="45" x14ac:dyDescent="0.25">
      <c r="A43" s="412"/>
      <c r="B43" s="393" t="s">
        <v>111</v>
      </c>
      <c r="C43" s="291" t="s">
        <v>802</v>
      </c>
      <c r="D43" s="629" t="s">
        <v>792</v>
      </c>
      <c r="E43" s="376" t="s">
        <v>56</v>
      </c>
      <c r="F43" s="376" t="s">
        <v>57</v>
      </c>
      <c r="G43" s="290" t="s">
        <v>793</v>
      </c>
      <c r="H43" s="290" t="s">
        <v>794</v>
      </c>
      <c r="I43" s="376" t="s">
        <v>795</v>
      </c>
      <c r="J43" s="332"/>
      <c r="K43" s="332"/>
      <c r="L43" s="332"/>
      <c r="M43" s="332"/>
      <c r="N43" s="332"/>
      <c r="O43" s="332"/>
      <c r="P43" s="332"/>
      <c r="Q43" s="692"/>
      <c r="R43" s="260"/>
      <c r="S43" s="260"/>
      <c r="T43" s="260"/>
      <c r="U43" s="260"/>
      <c r="V43" s="260"/>
      <c r="W43" s="260"/>
      <c r="X43" s="260"/>
      <c r="Y43" s="260"/>
      <c r="AI43" s="396"/>
      <c r="AJ43" s="396"/>
      <c r="AK43" s="396"/>
      <c r="AL43" s="396"/>
      <c r="AM43" s="396"/>
    </row>
    <row r="44" spans="1:39" x14ac:dyDescent="0.25">
      <c r="A44" s="412"/>
      <c r="B44" s="496" t="s">
        <v>1135</v>
      </c>
      <c r="C44" s="276">
        <f>'Inputs and eligible population'!F115</f>
        <v>5</v>
      </c>
      <c r="D44" s="131">
        <f>'Capacity (local prices) '!$C44*'Financial impact (cash)'!D30</f>
        <v>0</v>
      </c>
      <c r="E44" s="131">
        <f>'Capacity (local prices) '!$C44*'Financial impact (cash)'!E30</f>
        <v>0</v>
      </c>
      <c r="F44" s="131">
        <f>'Capacity (local prices) '!$C44*'Financial impact (cash)'!F30</f>
        <v>0</v>
      </c>
      <c r="G44" s="131">
        <f>'Capacity (local prices) '!$C44*'Financial impact (cash)'!G30</f>
        <v>0</v>
      </c>
      <c r="H44" s="131">
        <f>'Capacity (local prices) '!$C44*'Financial impact (cash)'!H30</f>
        <v>0</v>
      </c>
      <c r="I44" s="131">
        <f>'Capacity (local prices) '!$C44*'Financial impact (cash)'!I30</f>
        <v>0</v>
      </c>
      <c r="J44" s="332"/>
      <c r="K44" s="332"/>
      <c r="L44" s="332"/>
      <c r="M44" s="332"/>
      <c r="N44" s="332"/>
      <c r="O44" s="332"/>
      <c r="P44" s="332"/>
      <c r="Q44" s="692"/>
      <c r="R44" s="260"/>
      <c r="S44" s="260"/>
      <c r="T44" s="260"/>
      <c r="U44" s="260"/>
      <c r="V44" s="260"/>
      <c r="W44" s="260"/>
      <c r="X44" s="260"/>
      <c r="Y44" s="260"/>
      <c r="AI44" s="396"/>
      <c r="AJ44" s="396"/>
      <c r="AK44" s="396"/>
      <c r="AL44" s="396"/>
      <c r="AM44" s="396"/>
    </row>
    <row r="45" spans="1:39" x14ac:dyDescent="0.25">
      <c r="A45" s="412"/>
      <c r="B45" s="496" t="s">
        <v>1136</v>
      </c>
      <c r="C45" s="276">
        <f>'Inputs and eligible population'!G115</f>
        <v>3</v>
      </c>
      <c r="D45" s="131">
        <f>'Capacity (local prices) '!$C45*'Financial impact (cash)'!D31</f>
        <v>0</v>
      </c>
      <c r="E45" s="131">
        <f>'Capacity (local prices) '!$C45*'Financial impact (cash)'!E31</f>
        <v>0</v>
      </c>
      <c r="F45" s="131">
        <f>'Capacity (local prices) '!$C45*'Financial impact (cash)'!F31</f>
        <v>0</v>
      </c>
      <c r="G45" s="131">
        <f>'Capacity (local prices) '!$C45*'Financial impact (cash)'!G31</f>
        <v>0</v>
      </c>
      <c r="H45" s="131">
        <f>'Capacity (local prices) '!$C45*'Financial impact (cash)'!H31</f>
        <v>0</v>
      </c>
      <c r="I45" s="131">
        <f>'Capacity (local prices) '!$C45*'Financial impact (cash)'!I31</f>
        <v>0</v>
      </c>
      <c r="J45" s="332"/>
      <c r="K45" s="332"/>
      <c r="L45" s="332"/>
      <c r="M45" s="332"/>
      <c r="N45" s="332"/>
      <c r="O45" s="332"/>
      <c r="P45" s="332"/>
      <c r="Q45" s="692"/>
      <c r="R45" s="260"/>
      <c r="S45" s="260"/>
      <c r="T45" s="260"/>
      <c r="U45" s="260"/>
      <c r="V45" s="260"/>
      <c r="W45" s="260"/>
      <c r="X45" s="260"/>
      <c r="Y45" s="260"/>
      <c r="AI45" s="396"/>
      <c r="AJ45" s="396"/>
      <c r="AK45" s="396"/>
      <c r="AL45" s="396"/>
      <c r="AM45" s="396"/>
    </row>
    <row r="46" spans="1:39" x14ac:dyDescent="0.25">
      <c r="A46" s="412"/>
      <c r="B46" s="496" t="s">
        <v>1137</v>
      </c>
      <c r="C46" s="276">
        <f>'Inputs and eligible population'!H115</f>
        <v>7</v>
      </c>
      <c r="D46" s="131">
        <f>'Capacity (local prices) '!$C46*'Financial impact (cash)'!D32</f>
        <v>0</v>
      </c>
      <c r="E46" s="131">
        <f>'Capacity (local prices) '!$C46*'Financial impact (cash)'!E32</f>
        <v>0</v>
      </c>
      <c r="F46" s="131">
        <f>'Capacity (local prices) '!$C46*'Financial impact (cash)'!F32</f>
        <v>0</v>
      </c>
      <c r="G46" s="131">
        <f>'Capacity (local prices) '!$C46*'Financial impact (cash)'!G32</f>
        <v>0</v>
      </c>
      <c r="H46" s="131">
        <f>'Capacity (local prices) '!$C46*'Financial impact (cash)'!H32</f>
        <v>0</v>
      </c>
      <c r="I46" s="131">
        <f>'Capacity (local prices) '!$C46*'Financial impact (cash)'!I32</f>
        <v>0</v>
      </c>
      <c r="J46" s="332"/>
      <c r="K46" s="332"/>
      <c r="L46" s="332"/>
      <c r="M46" s="332"/>
      <c r="N46" s="332"/>
      <c r="O46" s="332"/>
      <c r="P46" s="332"/>
      <c r="Q46" s="692"/>
      <c r="R46" s="260"/>
      <c r="S46" s="260"/>
      <c r="T46" s="260"/>
      <c r="U46" s="260"/>
      <c r="V46" s="260"/>
      <c r="W46" s="260"/>
      <c r="X46" s="260"/>
      <c r="Y46" s="260"/>
      <c r="AI46" s="396"/>
      <c r="AJ46" s="396"/>
      <c r="AK46" s="396"/>
      <c r="AL46" s="396"/>
      <c r="AM46" s="396"/>
    </row>
    <row r="47" spans="1:39" x14ac:dyDescent="0.25">
      <c r="A47" s="412"/>
      <c r="B47" s="496" t="s">
        <v>1138</v>
      </c>
      <c r="C47" s="276">
        <f>'Inputs and eligible population'!I115</f>
        <v>5</v>
      </c>
      <c r="D47" s="131">
        <f>'Capacity (local prices) '!$C47*'Financial impact (cash)'!D33</f>
        <v>0</v>
      </c>
      <c r="E47" s="131">
        <f>'Capacity (local prices) '!$C47*'Financial impact (cash)'!E33</f>
        <v>0</v>
      </c>
      <c r="F47" s="131">
        <f>'Capacity (local prices) '!$C47*'Financial impact (cash)'!F33</f>
        <v>0</v>
      </c>
      <c r="G47" s="131">
        <f>'Capacity (local prices) '!$C47*'Financial impact (cash)'!G33</f>
        <v>0</v>
      </c>
      <c r="H47" s="131">
        <f>'Capacity (local prices) '!$C47*'Financial impact (cash)'!H33</f>
        <v>0</v>
      </c>
      <c r="I47" s="131">
        <f>'Capacity (local prices) '!$C47*'Financial impact (cash)'!I33</f>
        <v>0</v>
      </c>
      <c r="J47" s="332"/>
      <c r="K47" s="332"/>
      <c r="L47" s="332"/>
      <c r="M47" s="332"/>
      <c r="N47" s="332"/>
      <c r="O47" s="332"/>
      <c r="P47" s="332"/>
      <c r="Q47" s="692"/>
      <c r="R47" s="260"/>
      <c r="S47" s="260"/>
      <c r="T47" s="260"/>
      <c r="U47" s="260"/>
      <c r="V47" s="260"/>
      <c r="W47" s="260"/>
      <c r="X47" s="260"/>
      <c r="Y47" s="260"/>
      <c r="AI47" s="396"/>
      <c r="AJ47" s="396"/>
      <c r="AK47" s="396"/>
      <c r="AL47" s="396"/>
      <c r="AM47" s="396"/>
    </row>
    <row r="48" spans="1:39" x14ac:dyDescent="0.25">
      <c r="A48" s="412"/>
      <c r="B48" s="496" t="s">
        <v>1139</v>
      </c>
      <c r="C48" s="276">
        <f>'Inputs and eligible population'!J115</f>
        <v>5</v>
      </c>
      <c r="D48" s="131">
        <f>'Capacity (local prices) '!$C48*'Financial impact (cash)'!D34</f>
        <v>0</v>
      </c>
      <c r="E48" s="131">
        <f>'Capacity (local prices) '!$C48*'Financial impact (cash)'!E34</f>
        <v>0</v>
      </c>
      <c r="F48" s="131">
        <f>'Capacity (local prices) '!$C48*'Financial impact (cash)'!F34</f>
        <v>0</v>
      </c>
      <c r="G48" s="131">
        <f>'Capacity (local prices) '!$C48*'Financial impact (cash)'!G34</f>
        <v>0</v>
      </c>
      <c r="H48" s="131">
        <f>'Capacity (local prices) '!$C48*'Financial impact (cash)'!H34</f>
        <v>0</v>
      </c>
      <c r="I48" s="131">
        <f>'Capacity (local prices) '!$C48*'Financial impact (cash)'!I34</f>
        <v>0</v>
      </c>
      <c r="J48" s="332"/>
      <c r="K48" s="332"/>
      <c r="L48" s="332"/>
      <c r="M48" s="332"/>
      <c r="N48" s="332"/>
      <c r="O48" s="332"/>
      <c r="P48" s="332"/>
      <c r="Q48" s="692"/>
      <c r="R48" s="260"/>
      <c r="S48" s="260"/>
      <c r="T48" s="260"/>
      <c r="U48" s="260"/>
      <c r="V48" s="260"/>
      <c r="W48" s="260"/>
      <c r="X48" s="260"/>
      <c r="Y48" s="260"/>
      <c r="AI48" s="396"/>
      <c r="AJ48" s="396"/>
      <c r="AK48" s="396"/>
      <c r="AL48" s="396"/>
      <c r="AM48" s="396"/>
    </row>
    <row r="49" spans="1:39" x14ac:dyDescent="0.25">
      <c r="A49" s="412"/>
      <c r="B49" s="496" t="s">
        <v>1140</v>
      </c>
      <c r="C49" s="276">
        <f>'Inputs and eligible population'!K115</f>
        <v>3</v>
      </c>
      <c r="D49" s="131">
        <f>'Capacity (local prices) '!$C49*'Financial impact (cash)'!D35</f>
        <v>0</v>
      </c>
      <c r="E49" s="131">
        <f>'Capacity (local prices) '!$C49*'Financial impact (cash)'!E35</f>
        <v>0</v>
      </c>
      <c r="F49" s="131">
        <f>'Capacity (local prices) '!$C49*'Financial impact (cash)'!F35</f>
        <v>0</v>
      </c>
      <c r="G49" s="131">
        <f>'Capacity (local prices) '!$C49*'Financial impact (cash)'!G35</f>
        <v>0</v>
      </c>
      <c r="H49" s="131">
        <f>'Capacity (local prices) '!$C49*'Financial impact (cash)'!H35</f>
        <v>0</v>
      </c>
      <c r="I49" s="131">
        <f>'Capacity (local prices) '!$C49*'Financial impact (cash)'!I35</f>
        <v>0</v>
      </c>
      <c r="J49" s="332"/>
      <c r="K49" s="332"/>
      <c r="L49" s="332"/>
      <c r="M49" s="332"/>
      <c r="N49" s="332"/>
      <c r="O49" s="332"/>
      <c r="P49" s="332"/>
      <c r="Q49" s="692"/>
      <c r="R49" s="260"/>
      <c r="S49" s="260"/>
      <c r="T49" s="260"/>
      <c r="U49" s="260"/>
      <c r="V49" s="260"/>
      <c r="W49" s="260"/>
      <c r="X49" s="260"/>
      <c r="Y49" s="260"/>
      <c r="AI49" s="396"/>
      <c r="AJ49" s="396"/>
      <c r="AK49" s="396"/>
      <c r="AL49" s="396"/>
      <c r="AM49" s="396"/>
    </row>
    <row r="50" spans="1:39" x14ac:dyDescent="0.25">
      <c r="A50" s="412"/>
      <c r="B50" s="496" t="s">
        <v>1141</v>
      </c>
      <c r="C50" s="276">
        <f>'Inputs and eligible population'!L115</f>
        <v>11</v>
      </c>
      <c r="D50" s="131">
        <f>'Capacity (local prices) '!$C50*'Financial impact (cash)'!D36</f>
        <v>0</v>
      </c>
      <c r="E50" s="131">
        <f>'Capacity (local prices) '!$C50*'Financial impact (cash)'!E36</f>
        <v>0</v>
      </c>
      <c r="F50" s="131">
        <f>'Capacity (local prices) '!$C50*'Financial impact (cash)'!F36</f>
        <v>0</v>
      </c>
      <c r="G50" s="131">
        <f>'Capacity (local prices) '!$C50*'Financial impact (cash)'!G36</f>
        <v>0</v>
      </c>
      <c r="H50" s="131">
        <f>'Capacity (local prices) '!$C50*'Financial impact (cash)'!H36</f>
        <v>0</v>
      </c>
      <c r="I50" s="131">
        <f>'Capacity (local prices) '!$C50*'Financial impact (cash)'!I36</f>
        <v>0</v>
      </c>
      <c r="J50" s="332"/>
      <c r="K50" s="332"/>
      <c r="L50" s="332"/>
      <c r="M50" s="332"/>
      <c r="N50" s="332"/>
      <c r="O50" s="332"/>
      <c r="P50" s="332"/>
      <c r="Q50" s="692"/>
      <c r="R50" s="260"/>
      <c r="S50" s="260"/>
      <c r="T50" s="260"/>
      <c r="U50" s="260"/>
      <c r="V50" s="260"/>
      <c r="W50" s="260"/>
      <c r="X50" s="260"/>
      <c r="Y50" s="260"/>
      <c r="AI50" s="396"/>
      <c r="AJ50" s="396"/>
      <c r="AK50" s="396"/>
      <c r="AL50" s="396"/>
      <c r="AM50" s="396"/>
    </row>
    <row r="51" spans="1:39" x14ac:dyDescent="0.25">
      <c r="A51" s="412"/>
      <c r="B51" s="496" t="s">
        <v>1142</v>
      </c>
      <c r="C51" s="276">
        <f>'Inputs and eligible population'!M115</f>
        <v>3</v>
      </c>
      <c r="D51" s="131">
        <f>'Capacity (local prices) '!$C51*'Financial impact (cash)'!D37</f>
        <v>0</v>
      </c>
      <c r="E51" s="131">
        <f>'Capacity (local prices) '!$C51*'Financial impact (cash)'!E37</f>
        <v>0</v>
      </c>
      <c r="F51" s="131">
        <f>'Capacity (local prices) '!$C51*'Financial impact (cash)'!F37</f>
        <v>0</v>
      </c>
      <c r="G51" s="131">
        <f>'Capacity (local prices) '!$C51*'Financial impact (cash)'!G37</f>
        <v>0</v>
      </c>
      <c r="H51" s="131">
        <f>'Capacity (local prices) '!$C51*'Financial impact (cash)'!H37</f>
        <v>0</v>
      </c>
      <c r="I51" s="131">
        <f>'Capacity (local prices) '!$C51*'Financial impact (cash)'!I37</f>
        <v>0</v>
      </c>
      <c r="J51" s="332"/>
      <c r="K51" s="332"/>
      <c r="L51" s="332"/>
      <c r="M51" s="332"/>
      <c r="N51" s="332"/>
      <c r="O51" s="332"/>
      <c r="P51" s="332"/>
      <c r="Q51" s="692"/>
      <c r="R51" s="260"/>
      <c r="S51" s="260"/>
      <c r="T51" s="260"/>
      <c r="U51" s="260"/>
      <c r="V51" s="260"/>
      <c r="W51" s="260"/>
      <c r="X51" s="260"/>
      <c r="Y51" s="260"/>
      <c r="AI51" s="396"/>
      <c r="AJ51" s="396"/>
      <c r="AK51" s="396"/>
      <c r="AL51" s="396"/>
      <c r="AM51" s="396"/>
    </row>
    <row r="52" spans="1:39" x14ac:dyDescent="0.25">
      <c r="A52" s="420"/>
      <c r="B52" s="750" t="s">
        <v>1254</v>
      </c>
      <c r="C52" s="394"/>
      <c r="D52" s="313">
        <f>SUM(D44:D51)</f>
        <v>0</v>
      </c>
      <c r="E52" s="313">
        <f t="shared" ref="E52" si="26">SUM(E44:E51)</f>
        <v>0</v>
      </c>
      <c r="F52" s="313">
        <f t="shared" ref="F52" si="27">SUM(F44:F51)</f>
        <v>0</v>
      </c>
      <c r="G52" s="313">
        <f t="shared" ref="G52" si="28">SUM(G44:G51)</f>
        <v>0</v>
      </c>
      <c r="H52" s="313">
        <f t="shared" ref="H52" si="29">SUM(H44:H51)</f>
        <v>0</v>
      </c>
      <c r="I52" s="313">
        <f t="shared" ref="I52" si="30">SUM(I44:I51)</f>
        <v>0</v>
      </c>
      <c r="J52" s="639"/>
      <c r="K52" s="332"/>
      <c r="L52" s="332"/>
      <c r="M52" s="332"/>
      <c r="N52" s="332"/>
      <c r="O52" s="332"/>
      <c r="P52" s="332"/>
      <c r="Q52" s="692"/>
      <c r="R52" s="260"/>
      <c r="S52" s="260"/>
      <c r="T52" s="260"/>
      <c r="U52" s="260"/>
      <c r="V52" s="260"/>
      <c r="W52" s="260"/>
      <c r="X52" s="260"/>
      <c r="Y52" s="260"/>
      <c r="AI52" s="396"/>
      <c r="AJ52" s="396"/>
      <c r="AK52" s="396"/>
      <c r="AL52" s="396"/>
      <c r="AM52" s="396"/>
    </row>
    <row r="53" spans="1:39" x14ac:dyDescent="0.25">
      <c r="A53" s="420"/>
      <c r="B53" s="377"/>
      <c r="C53" s="377"/>
      <c r="D53" s="395" t="s">
        <v>803</v>
      </c>
      <c r="E53" s="313">
        <f>E52-$D$52</f>
        <v>0</v>
      </c>
      <c r="F53" s="313">
        <f t="shared" ref="F53:I53" si="31">F52-$D$52</f>
        <v>0</v>
      </c>
      <c r="G53" s="313">
        <f t="shared" si="31"/>
        <v>0</v>
      </c>
      <c r="H53" s="313">
        <f t="shared" si="31"/>
        <v>0</v>
      </c>
      <c r="I53" s="313">
        <f t="shared" si="31"/>
        <v>0</v>
      </c>
      <c r="J53" s="639"/>
      <c r="K53" s="332"/>
      <c r="L53" s="332"/>
      <c r="M53" s="332"/>
      <c r="N53" s="332"/>
      <c r="O53" s="332"/>
      <c r="P53" s="332"/>
      <c r="Q53" s="872"/>
      <c r="R53" s="260"/>
      <c r="S53" s="260"/>
      <c r="T53" s="260"/>
      <c r="U53" s="260"/>
      <c r="V53" s="260"/>
      <c r="W53" s="260"/>
      <c r="X53" s="260"/>
      <c r="Y53" s="260"/>
      <c r="AI53" s="396"/>
      <c r="AJ53" s="396"/>
      <c r="AK53" s="396"/>
      <c r="AL53" s="396"/>
      <c r="AM53" s="396"/>
    </row>
    <row r="54" spans="1:39" x14ac:dyDescent="0.25">
      <c r="A54" s="412"/>
      <c r="B54" s="443"/>
      <c r="C54" s="417"/>
      <c r="D54" s="418"/>
      <c r="E54" s="419"/>
      <c r="F54" s="412"/>
      <c r="G54" s="412"/>
      <c r="H54" s="412"/>
      <c r="I54" s="412"/>
      <c r="J54" s="332"/>
      <c r="K54" s="332"/>
      <c r="L54" s="332"/>
      <c r="M54" s="332"/>
      <c r="N54" s="332"/>
      <c r="O54" s="332"/>
      <c r="P54" s="332"/>
      <c r="Q54" s="260"/>
      <c r="R54" s="260"/>
      <c r="S54" s="260"/>
      <c r="T54" s="260"/>
      <c r="U54" s="260"/>
      <c r="V54" s="260"/>
      <c r="W54" s="260"/>
      <c r="X54" s="260"/>
      <c r="Y54" s="260"/>
      <c r="AI54" s="396"/>
      <c r="AJ54" s="396"/>
      <c r="AK54" s="396"/>
      <c r="AL54" s="396"/>
      <c r="AM54" s="396"/>
    </row>
    <row r="55" spans="1:39" x14ac:dyDescent="0.25">
      <c r="A55" s="420"/>
      <c r="B55" s="555" t="s">
        <v>159</v>
      </c>
      <c r="C55" s="556"/>
      <c r="D55" s="556"/>
      <c r="E55" s="556"/>
      <c r="F55" s="556"/>
      <c r="G55" s="556"/>
      <c r="H55" s="556"/>
      <c r="I55" s="556"/>
      <c r="J55" s="639"/>
      <c r="K55" s="332"/>
      <c r="L55" s="332"/>
      <c r="M55" s="332"/>
      <c r="N55" s="332"/>
      <c r="O55" s="332"/>
      <c r="P55" s="332"/>
      <c r="Q55" s="260"/>
      <c r="R55" s="260"/>
      <c r="S55" s="260"/>
      <c r="T55" s="260"/>
      <c r="U55" s="260"/>
      <c r="V55" s="260"/>
      <c r="W55" s="260"/>
      <c r="X55" s="260"/>
      <c r="Y55" s="260"/>
      <c r="AI55" s="396"/>
      <c r="AJ55" s="396"/>
      <c r="AK55" s="396"/>
      <c r="AL55" s="396"/>
      <c r="AM55" s="396"/>
    </row>
    <row r="56" spans="1:39" ht="30" x14ac:dyDescent="0.25">
      <c r="A56" s="420"/>
      <c r="B56" s="441" t="s">
        <v>111</v>
      </c>
      <c r="C56" s="291" t="s">
        <v>804</v>
      </c>
      <c r="D56" s="629" t="s">
        <v>792</v>
      </c>
      <c r="E56" s="376" t="s">
        <v>56</v>
      </c>
      <c r="F56" s="376" t="s">
        <v>57</v>
      </c>
      <c r="G56" s="290" t="s">
        <v>793</v>
      </c>
      <c r="H56" s="290" t="s">
        <v>794</v>
      </c>
      <c r="I56" s="376" t="s">
        <v>795</v>
      </c>
      <c r="J56" s="639"/>
      <c r="K56" s="332"/>
      <c r="L56" s="332"/>
      <c r="M56" s="332"/>
      <c r="N56" s="332"/>
      <c r="O56" s="332"/>
      <c r="P56" s="332"/>
      <c r="U56" s="260"/>
      <c r="AI56" s="396"/>
      <c r="AJ56" s="396"/>
      <c r="AK56" s="396"/>
      <c r="AL56" s="396"/>
      <c r="AM56" s="396"/>
    </row>
    <row r="57" spans="1:39" x14ac:dyDescent="0.25">
      <c r="A57" s="420"/>
      <c r="B57" s="496" t="s">
        <v>1135</v>
      </c>
      <c r="C57" s="411">
        <f>'Inputs and eligible population'!F110</f>
        <v>6</v>
      </c>
      <c r="D57" s="131">
        <f>$C57*'Financial impact (cash)'!D30</f>
        <v>0</v>
      </c>
      <c r="E57" s="131">
        <f>$C57*'Financial impact (cash)'!E30</f>
        <v>0</v>
      </c>
      <c r="F57" s="131">
        <f>$C57*'Financial impact (cash)'!F30</f>
        <v>0</v>
      </c>
      <c r="G57" s="131">
        <f>$C57*'Financial impact (cash)'!G30</f>
        <v>0</v>
      </c>
      <c r="H57" s="131">
        <f>$C57*'Financial impact (cash)'!H30</f>
        <v>0</v>
      </c>
      <c r="I57" s="131">
        <f>$C57*'Financial impact (cash)'!I30</f>
        <v>0</v>
      </c>
      <c r="J57" s="639"/>
      <c r="K57" s="332"/>
      <c r="L57" s="332"/>
      <c r="M57" s="332"/>
      <c r="N57" s="332"/>
      <c r="O57" s="332"/>
      <c r="P57" s="332"/>
      <c r="U57" s="260"/>
      <c r="AI57" s="396"/>
      <c r="AJ57" s="396"/>
      <c r="AK57" s="396"/>
      <c r="AL57" s="396"/>
      <c r="AM57" s="396"/>
    </row>
    <row r="58" spans="1:39" x14ac:dyDescent="0.25">
      <c r="A58" s="420"/>
      <c r="B58" s="496" t="s">
        <v>1136</v>
      </c>
      <c r="C58" s="411">
        <f>'Inputs and eligible population'!G110</f>
        <v>4</v>
      </c>
      <c r="D58" s="131">
        <f>$C58*'Financial impact (cash)'!D31</f>
        <v>0</v>
      </c>
      <c r="E58" s="131">
        <f>$C58*'Financial impact (cash)'!E31</f>
        <v>0</v>
      </c>
      <c r="F58" s="131">
        <f>$C58*'Financial impact (cash)'!F31</f>
        <v>0</v>
      </c>
      <c r="G58" s="131">
        <f>$C58*'Financial impact (cash)'!G31</f>
        <v>0</v>
      </c>
      <c r="H58" s="131">
        <f>$C58*'Financial impact (cash)'!H31</f>
        <v>0</v>
      </c>
      <c r="I58" s="131">
        <f>$C58*'Financial impact (cash)'!I31</f>
        <v>0</v>
      </c>
      <c r="J58" s="639"/>
      <c r="K58" s="332"/>
      <c r="L58" s="332"/>
      <c r="M58" s="332"/>
      <c r="N58" s="332"/>
      <c r="O58" s="332"/>
      <c r="P58" s="332"/>
      <c r="U58" s="260"/>
      <c r="AI58" s="396"/>
      <c r="AJ58" s="396"/>
      <c r="AK58" s="396"/>
      <c r="AL58" s="396"/>
      <c r="AM58" s="396"/>
    </row>
    <row r="59" spans="1:39" x14ac:dyDescent="0.25">
      <c r="A59" s="420"/>
      <c r="B59" s="496" t="s">
        <v>1137</v>
      </c>
      <c r="C59" s="411">
        <f>'Inputs and eligible population'!H110</f>
        <v>8</v>
      </c>
      <c r="D59" s="131">
        <f>$C59*'Financial impact (cash)'!D32</f>
        <v>0</v>
      </c>
      <c r="E59" s="131">
        <f>$C59*'Financial impact (cash)'!E32</f>
        <v>0</v>
      </c>
      <c r="F59" s="131">
        <f>$C59*'Financial impact (cash)'!F32</f>
        <v>0</v>
      </c>
      <c r="G59" s="131">
        <f>$C59*'Financial impact (cash)'!G32</f>
        <v>0</v>
      </c>
      <c r="H59" s="131">
        <f>$C59*'Financial impact (cash)'!H32</f>
        <v>0</v>
      </c>
      <c r="I59" s="131">
        <f>$C59*'Financial impact (cash)'!I32</f>
        <v>0</v>
      </c>
      <c r="J59" s="639"/>
      <c r="K59" s="332"/>
      <c r="L59" s="332"/>
      <c r="M59" s="332"/>
      <c r="N59" s="332"/>
      <c r="O59" s="332"/>
      <c r="P59" s="332"/>
      <c r="U59" s="260"/>
      <c r="AI59" s="396"/>
      <c r="AJ59" s="396"/>
      <c r="AK59" s="396"/>
      <c r="AL59" s="396"/>
      <c r="AM59" s="396"/>
    </row>
    <row r="60" spans="1:39" x14ac:dyDescent="0.25">
      <c r="A60" s="420"/>
      <c r="B60" s="496" t="s">
        <v>1138</v>
      </c>
      <c r="C60" s="411">
        <f>'Inputs and eligible population'!I110</f>
        <v>6</v>
      </c>
      <c r="D60" s="131">
        <f>$C60*'Financial impact (cash)'!D33</f>
        <v>0</v>
      </c>
      <c r="E60" s="131">
        <f>$C60*'Financial impact (cash)'!E33</f>
        <v>0</v>
      </c>
      <c r="F60" s="131">
        <f>$C60*'Financial impact (cash)'!F33</f>
        <v>0</v>
      </c>
      <c r="G60" s="131">
        <f>$C60*'Financial impact (cash)'!G33</f>
        <v>0</v>
      </c>
      <c r="H60" s="131">
        <f>$C60*'Financial impact (cash)'!H33</f>
        <v>0</v>
      </c>
      <c r="I60" s="131">
        <f>$C60*'Financial impact (cash)'!I33</f>
        <v>0</v>
      </c>
      <c r="J60" s="639"/>
      <c r="K60" s="332"/>
      <c r="L60" s="332"/>
      <c r="M60" s="332"/>
      <c r="N60" s="332"/>
      <c r="O60" s="332"/>
      <c r="P60" s="332"/>
      <c r="U60" s="260"/>
      <c r="AI60" s="396"/>
      <c r="AJ60" s="396"/>
      <c r="AK60" s="396"/>
      <c r="AL60" s="396"/>
      <c r="AM60" s="396"/>
    </row>
    <row r="61" spans="1:39" x14ac:dyDescent="0.25">
      <c r="A61" s="420"/>
      <c r="B61" s="496" t="s">
        <v>1139</v>
      </c>
      <c r="C61" s="411">
        <f>'Inputs and eligible population'!J110</f>
        <v>6</v>
      </c>
      <c r="D61" s="131">
        <f>$C61*'Financial impact (cash)'!D34</f>
        <v>0</v>
      </c>
      <c r="E61" s="131">
        <f>$C61*'Financial impact (cash)'!E34</f>
        <v>0</v>
      </c>
      <c r="F61" s="131">
        <f>$C61*'Financial impact (cash)'!F34</f>
        <v>0</v>
      </c>
      <c r="G61" s="131">
        <f>$C61*'Financial impact (cash)'!G34</f>
        <v>0</v>
      </c>
      <c r="H61" s="131">
        <f>$C61*'Financial impact (cash)'!H34</f>
        <v>0</v>
      </c>
      <c r="I61" s="131">
        <f>$C61*'Financial impact (cash)'!I34</f>
        <v>0</v>
      </c>
      <c r="J61" s="639"/>
      <c r="K61" s="332"/>
      <c r="L61" s="332"/>
      <c r="M61" s="332"/>
      <c r="N61" s="332"/>
      <c r="O61" s="332"/>
      <c r="P61" s="332"/>
      <c r="U61" s="260"/>
      <c r="AI61" s="396"/>
      <c r="AJ61" s="396"/>
      <c r="AK61" s="396"/>
      <c r="AL61" s="396"/>
      <c r="AM61" s="396"/>
    </row>
    <row r="62" spans="1:39" x14ac:dyDescent="0.25">
      <c r="A62" s="420"/>
      <c r="B62" s="496" t="s">
        <v>1140</v>
      </c>
      <c r="C62" s="411">
        <f>'Inputs and eligible population'!K110</f>
        <v>8</v>
      </c>
      <c r="D62" s="131">
        <f>$C62*'Financial impact (cash)'!D35</f>
        <v>0</v>
      </c>
      <c r="E62" s="131">
        <f>$C62*'Financial impact (cash)'!E35</f>
        <v>0</v>
      </c>
      <c r="F62" s="131">
        <f>$C62*'Financial impact (cash)'!F35</f>
        <v>0</v>
      </c>
      <c r="G62" s="131">
        <f>$C62*'Financial impact (cash)'!G35</f>
        <v>0</v>
      </c>
      <c r="H62" s="131">
        <f>$C62*'Financial impact (cash)'!H35</f>
        <v>0</v>
      </c>
      <c r="I62" s="131">
        <f>$C62*'Financial impact (cash)'!I35</f>
        <v>0</v>
      </c>
      <c r="J62" s="639"/>
      <c r="K62" s="332"/>
      <c r="L62" s="332"/>
      <c r="M62" s="332"/>
      <c r="N62" s="332"/>
      <c r="O62" s="332"/>
      <c r="P62" s="332"/>
      <c r="U62" s="260"/>
      <c r="AI62" s="396"/>
      <c r="AJ62" s="396"/>
      <c r="AK62" s="396"/>
      <c r="AL62" s="396"/>
      <c r="AM62" s="396"/>
    </row>
    <row r="63" spans="1:39" x14ac:dyDescent="0.25">
      <c r="A63" s="420"/>
      <c r="B63" s="496" t="s">
        <v>1141</v>
      </c>
      <c r="C63" s="411">
        <f>'Inputs and eligible population'!L110</f>
        <v>12</v>
      </c>
      <c r="D63" s="131">
        <f>$C63*'Financial impact (cash)'!D36</f>
        <v>0</v>
      </c>
      <c r="E63" s="131">
        <f>$C63*'Financial impact (cash)'!E36</f>
        <v>0</v>
      </c>
      <c r="F63" s="131">
        <f>$C63*'Financial impact (cash)'!F36</f>
        <v>0</v>
      </c>
      <c r="G63" s="131">
        <f>$C63*'Financial impact (cash)'!G36</f>
        <v>0</v>
      </c>
      <c r="H63" s="131">
        <f>$C63*'Financial impact (cash)'!H36</f>
        <v>0</v>
      </c>
      <c r="I63" s="131">
        <f>$C63*'Financial impact (cash)'!I36</f>
        <v>0</v>
      </c>
      <c r="J63" s="639"/>
      <c r="K63" s="332"/>
      <c r="L63" s="332"/>
      <c r="M63" s="332"/>
      <c r="N63" s="332"/>
      <c r="O63" s="332"/>
      <c r="P63" s="332"/>
      <c r="U63" s="260"/>
      <c r="AI63" s="396"/>
      <c r="AJ63" s="396"/>
      <c r="AK63" s="396"/>
      <c r="AL63" s="396"/>
      <c r="AM63" s="396"/>
    </row>
    <row r="64" spans="1:39" x14ac:dyDescent="0.25">
      <c r="A64" s="420"/>
      <c r="B64" s="496" t="s">
        <v>1142</v>
      </c>
      <c r="C64" s="411">
        <f>'Inputs and eligible population'!M110</f>
        <v>4</v>
      </c>
      <c r="D64" s="131">
        <f>$C64*'Financial impact (cash)'!D37</f>
        <v>0</v>
      </c>
      <c r="E64" s="131">
        <f>$C64*'Financial impact (cash)'!E37</f>
        <v>0</v>
      </c>
      <c r="F64" s="131">
        <f>$C64*'Financial impact (cash)'!F37</f>
        <v>0</v>
      </c>
      <c r="G64" s="131">
        <f>$C64*'Financial impact (cash)'!G37</f>
        <v>0</v>
      </c>
      <c r="H64" s="131">
        <f>$C64*'Financial impact (cash)'!H37</f>
        <v>0</v>
      </c>
      <c r="I64" s="131">
        <f>$C64*'Financial impact (cash)'!I37</f>
        <v>0</v>
      </c>
      <c r="J64" s="639"/>
      <c r="K64" s="332"/>
      <c r="L64" s="332"/>
      <c r="M64" s="332"/>
      <c r="N64" s="332"/>
      <c r="O64" s="332"/>
      <c r="P64" s="332"/>
      <c r="U64" s="260"/>
      <c r="AI64" s="396"/>
      <c r="AJ64" s="396"/>
      <c r="AK64" s="396"/>
      <c r="AL64" s="396"/>
      <c r="AM64" s="396"/>
    </row>
    <row r="65" spans="1:39" x14ac:dyDescent="0.25">
      <c r="A65" s="420"/>
      <c r="B65" s="444"/>
      <c r="C65" s="444"/>
      <c r="D65" s="313">
        <f t="shared" ref="D65:I65" si="32">SUM(D57:D64)</f>
        <v>0</v>
      </c>
      <c r="E65" s="313">
        <f t="shared" si="32"/>
        <v>0</v>
      </c>
      <c r="F65" s="313">
        <f t="shared" si="32"/>
        <v>0</v>
      </c>
      <c r="G65" s="313">
        <f t="shared" si="32"/>
        <v>0</v>
      </c>
      <c r="H65" s="313">
        <f t="shared" si="32"/>
        <v>0</v>
      </c>
      <c r="I65" s="313">
        <f t="shared" si="32"/>
        <v>0</v>
      </c>
      <c r="J65" s="412"/>
      <c r="K65" s="412"/>
      <c r="L65" s="412"/>
      <c r="M65" s="412"/>
      <c r="N65" s="412"/>
      <c r="O65" s="412"/>
      <c r="P65" s="412"/>
      <c r="U65" s="260"/>
      <c r="AI65" s="396"/>
      <c r="AJ65" s="396"/>
      <c r="AK65" s="396"/>
      <c r="AL65" s="396"/>
      <c r="AM65" s="396"/>
    </row>
    <row r="66" spans="1:39" x14ac:dyDescent="0.25">
      <c r="A66" s="420"/>
      <c r="B66" s="377"/>
      <c r="C66" s="377"/>
      <c r="D66" s="395" t="s">
        <v>805</v>
      </c>
      <c r="E66" s="313">
        <f>E65-$D$65</f>
        <v>0</v>
      </c>
      <c r="F66" s="313">
        <f>F65-$D$65</f>
        <v>0</v>
      </c>
      <c r="G66" s="313">
        <f>G65-$D$65</f>
        <v>0</v>
      </c>
      <c r="H66" s="313">
        <f>H65-$D$65</f>
        <v>0</v>
      </c>
      <c r="I66" s="313">
        <f>I65-$D$65</f>
        <v>0</v>
      </c>
      <c r="J66" s="412"/>
      <c r="K66" s="412"/>
      <c r="L66" s="412"/>
      <c r="M66" s="412"/>
      <c r="N66" s="412"/>
      <c r="O66" s="412"/>
      <c r="P66" s="412"/>
      <c r="R66" s="260"/>
      <c r="S66" s="260"/>
      <c r="T66" s="260"/>
      <c r="U66" s="260"/>
      <c r="V66" s="260"/>
      <c r="W66" s="260"/>
      <c r="X66" s="260"/>
      <c r="Y66" s="260"/>
      <c r="AI66" s="396"/>
      <c r="AJ66" s="396"/>
      <c r="AK66" s="396"/>
      <c r="AL66" s="396"/>
      <c r="AM66" s="396"/>
    </row>
    <row r="67" spans="1:39" x14ac:dyDescent="0.25">
      <c r="A67" s="412"/>
      <c r="B67" s="443"/>
      <c r="C67" s="418"/>
      <c r="D67" s="418"/>
      <c r="E67" s="419"/>
      <c r="F67" s="412"/>
      <c r="G67" s="412"/>
      <c r="H67" s="332"/>
      <c r="I67" s="332"/>
      <c r="J67" s="332"/>
      <c r="K67" s="332"/>
      <c r="L67" s="332"/>
      <c r="M67" s="332"/>
      <c r="N67" s="332"/>
      <c r="O67" s="332"/>
      <c r="P67" s="332"/>
      <c r="R67" s="260"/>
      <c r="S67" s="260"/>
      <c r="T67" s="260"/>
      <c r="U67" s="260"/>
      <c r="V67" s="260"/>
      <c r="W67" s="260"/>
      <c r="X67" s="260"/>
      <c r="Y67" s="260"/>
      <c r="AI67" s="396"/>
      <c r="AJ67" s="396"/>
      <c r="AK67" s="396"/>
      <c r="AL67" s="396"/>
      <c r="AM67" s="396"/>
    </row>
    <row r="68" spans="1:39" x14ac:dyDescent="0.25">
      <c r="A68" s="397"/>
      <c r="B68" s="445" t="s">
        <v>806</v>
      </c>
      <c r="C68" s="421"/>
      <c r="D68" s="421"/>
      <c r="E68" s="422"/>
      <c r="F68" s="423"/>
      <c r="G68" s="424"/>
      <c r="H68" s="424"/>
      <c r="I68" s="424"/>
      <c r="J68" s="646"/>
      <c r="K68" s="397"/>
      <c r="L68" s="397"/>
      <c r="M68" s="397"/>
      <c r="N68" s="397"/>
      <c r="O68" s="397"/>
      <c r="P68" s="334"/>
      <c r="U68" s="260"/>
    </row>
    <row r="69" spans="1:39" x14ac:dyDescent="0.25">
      <c r="A69" s="397"/>
      <c r="B69" s="557" t="s">
        <v>1264</v>
      </c>
      <c r="C69" s="558"/>
      <c r="D69" s="558"/>
      <c r="E69" s="558"/>
      <c r="F69" s="558"/>
      <c r="G69" s="558"/>
      <c r="H69" s="558"/>
      <c r="I69" s="333"/>
      <c r="J69" s="641"/>
      <c r="K69" s="640"/>
      <c r="L69" s="640"/>
      <c r="M69" s="640"/>
      <c r="N69" s="640"/>
      <c r="O69" s="640"/>
      <c r="P69" s="640"/>
      <c r="U69" s="260"/>
    </row>
    <row r="70" spans="1:39" ht="74.45" customHeight="1" x14ac:dyDescent="0.25">
      <c r="A70" s="397"/>
      <c r="B70" s="393" t="s">
        <v>111</v>
      </c>
      <c r="C70" s="291" t="s">
        <v>1241</v>
      </c>
      <c r="D70" s="629" t="s">
        <v>792</v>
      </c>
      <c r="E70" s="376" t="s">
        <v>56</v>
      </c>
      <c r="F70" s="376" t="s">
        <v>57</v>
      </c>
      <c r="G70" s="290" t="s">
        <v>793</v>
      </c>
      <c r="H70" s="290" t="s">
        <v>794</v>
      </c>
      <c r="I70" s="376" t="s">
        <v>795</v>
      </c>
      <c r="J70" s="397"/>
      <c r="K70" s="629" t="s">
        <v>1248</v>
      </c>
      <c r="L70" s="630" t="s">
        <v>1249</v>
      </c>
      <c r="M70" s="630" t="s">
        <v>1250</v>
      </c>
      <c r="N70" s="631" t="s">
        <v>1251</v>
      </c>
      <c r="O70" s="631" t="s">
        <v>1252</v>
      </c>
      <c r="P70" s="630" t="s">
        <v>1253</v>
      </c>
      <c r="U70" s="260"/>
    </row>
    <row r="71" spans="1:39" x14ac:dyDescent="0.25">
      <c r="A71" s="397"/>
      <c r="B71" s="496" t="s">
        <v>1135</v>
      </c>
      <c r="C71" s="1095">
        <f>'Inputs and eligible population'!F111</f>
        <v>0.83333333333333337</v>
      </c>
      <c r="D71" s="131">
        <f t="shared" ref="D71:I78" si="33">$C71*D57</f>
        <v>0</v>
      </c>
      <c r="E71" s="131">
        <f t="shared" si="33"/>
        <v>0</v>
      </c>
      <c r="F71" s="131">
        <f t="shared" si="33"/>
        <v>0</v>
      </c>
      <c r="G71" s="131">
        <f t="shared" si="33"/>
        <v>0</v>
      </c>
      <c r="H71" s="131">
        <f t="shared" si="33"/>
        <v>0</v>
      </c>
      <c r="I71" s="131">
        <f t="shared" si="33"/>
        <v>0</v>
      </c>
      <c r="J71" s="397"/>
      <c r="K71" s="406">
        <f>(D71*'Inputs and eligible population'!$Q$111)/1000</f>
        <v>0</v>
      </c>
      <c r="L71" s="406">
        <f>(E71*'Inputs and eligible population'!$Q$111)/1000</f>
        <v>0</v>
      </c>
      <c r="M71" s="406">
        <f>(F71*'Inputs and eligible population'!$Q$111)/1000</f>
        <v>0</v>
      </c>
      <c r="N71" s="406">
        <f>(G71*'Inputs and eligible population'!$Q$111)/1000</f>
        <v>0</v>
      </c>
      <c r="O71" s="406">
        <f>(H71*'Inputs and eligible population'!$Q$111)/1000</f>
        <v>0</v>
      </c>
      <c r="P71" s="406">
        <f>(I71*'Inputs and eligible population'!$Q$111)/1000</f>
        <v>0</v>
      </c>
      <c r="R71" s="260"/>
      <c r="S71" s="260"/>
      <c r="T71" s="260"/>
      <c r="U71" s="260"/>
      <c r="V71" s="260"/>
      <c r="W71" s="260"/>
      <c r="X71" s="260"/>
      <c r="Y71" s="260"/>
      <c r="AI71" s="396"/>
      <c r="AJ71" s="396"/>
      <c r="AK71" s="396"/>
      <c r="AL71" s="396"/>
      <c r="AM71" s="396"/>
    </row>
    <row r="72" spans="1:39" x14ac:dyDescent="0.25">
      <c r="A72" s="397"/>
      <c r="B72" s="496" t="s">
        <v>1136</v>
      </c>
      <c r="C72" s="1095">
        <f>'Inputs and eligible population'!G111</f>
        <v>1.0825</v>
      </c>
      <c r="D72" s="131">
        <f t="shared" si="33"/>
        <v>0</v>
      </c>
      <c r="E72" s="131">
        <f t="shared" si="33"/>
        <v>0</v>
      </c>
      <c r="F72" s="131">
        <f t="shared" si="33"/>
        <v>0</v>
      </c>
      <c r="G72" s="131">
        <f t="shared" si="33"/>
        <v>0</v>
      </c>
      <c r="H72" s="131">
        <f t="shared" si="33"/>
        <v>0</v>
      </c>
      <c r="I72" s="131">
        <f t="shared" si="33"/>
        <v>0</v>
      </c>
      <c r="J72" s="397"/>
      <c r="K72" s="406">
        <f>(D72*'Inputs and eligible population'!$Q$111)/1000</f>
        <v>0</v>
      </c>
      <c r="L72" s="406">
        <f>(E72*'Inputs and eligible population'!$Q$111)/1000</f>
        <v>0</v>
      </c>
      <c r="M72" s="406">
        <f>(F72*'Inputs and eligible population'!$Q$111)/1000</f>
        <v>0</v>
      </c>
      <c r="N72" s="406">
        <f>(G72*'Inputs and eligible population'!$Q$111)/1000</f>
        <v>0</v>
      </c>
      <c r="O72" s="406">
        <f>(H72*'Inputs and eligible population'!$Q$111)/1000</f>
        <v>0</v>
      </c>
      <c r="P72" s="406">
        <f>(I72*'Inputs and eligible population'!$Q$111)/1000</f>
        <v>0</v>
      </c>
      <c r="R72" s="260"/>
      <c r="S72" s="260"/>
      <c r="T72" s="260"/>
      <c r="U72" s="260"/>
      <c r="V72" s="260"/>
      <c r="W72" s="260"/>
      <c r="X72" s="260"/>
      <c r="Y72" s="260"/>
      <c r="AI72" s="396"/>
      <c r="AJ72" s="396"/>
      <c r="AK72" s="396"/>
      <c r="AL72" s="396"/>
      <c r="AM72" s="396"/>
    </row>
    <row r="73" spans="1:39" x14ac:dyDescent="0.25">
      <c r="A73" s="397"/>
      <c r="B73" s="496" t="s">
        <v>1137</v>
      </c>
      <c r="C73" s="1095">
        <f>'Inputs and eligible population'!H111</f>
        <v>0.33374999999999999</v>
      </c>
      <c r="D73" s="131">
        <f t="shared" si="33"/>
        <v>0</v>
      </c>
      <c r="E73" s="131">
        <f t="shared" si="33"/>
        <v>0</v>
      </c>
      <c r="F73" s="131">
        <f t="shared" si="33"/>
        <v>0</v>
      </c>
      <c r="G73" s="131">
        <f t="shared" si="33"/>
        <v>0</v>
      </c>
      <c r="H73" s="131">
        <f t="shared" si="33"/>
        <v>0</v>
      </c>
      <c r="I73" s="131">
        <f t="shared" si="33"/>
        <v>0</v>
      </c>
      <c r="J73" s="397"/>
      <c r="K73" s="406">
        <f>(D73*'Inputs and eligible population'!$Q$111)/1000</f>
        <v>0</v>
      </c>
      <c r="L73" s="406">
        <f>(E73*'Inputs and eligible population'!$Q$111)/1000</f>
        <v>0</v>
      </c>
      <c r="M73" s="406">
        <f>(F73*'Inputs and eligible population'!$Q$111)/1000</f>
        <v>0</v>
      </c>
      <c r="N73" s="406">
        <f>(G73*'Inputs and eligible population'!$Q$111)/1000</f>
        <v>0</v>
      </c>
      <c r="O73" s="406">
        <f>(H73*'Inputs and eligible population'!$Q$111)/1000</f>
        <v>0</v>
      </c>
      <c r="P73" s="406">
        <f>(I73*'Inputs and eligible population'!$Q$111)/1000</f>
        <v>0</v>
      </c>
      <c r="R73" s="260"/>
      <c r="S73" s="260"/>
      <c r="T73" s="260"/>
      <c r="U73" s="260"/>
      <c r="V73" s="260"/>
      <c r="W73" s="260"/>
      <c r="X73" s="260"/>
      <c r="Y73" s="260"/>
      <c r="AI73" s="396"/>
      <c r="AJ73" s="396"/>
      <c r="AK73" s="396"/>
      <c r="AL73" s="396"/>
      <c r="AM73" s="396"/>
    </row>
    <row r="74" spans="1:39" x14ac:dyDescent="0.25">
      <c r="A74" s="397"/>
      <c r="B74" s="496" t="s">
        <v>1138</v>
      </c>
      <c r="C74" s="1095">
        <f>'Inputs and eligible population'!I111</f>
        <v>2</v>
      </c>
      <c r="D74" s="131">
        <f t="shared" si="33"/>
        <v>0</v>
      </c>
      <c r="E74" s="131">
        <f t="shared" si="33"/>
        <v>0</v>
      </c>
      <c r="F74" s="131">
        <f t="shared" si="33"/>
        <v>0</v>
      </c>
      <c r="G74" s="131">
        <f t="shared" si="33"/>
        <v>0</v>
      </c>
      <c r="H74" s="131">
        <f t="shared" si="33"/>
        <v>0</v>
      </c>
      <c r="I74" s="131">
        <f t="shared" si="33"/>
        <v>0</v>
      </c>
      <c r="J74" s="397"/>
      <c r="K74" s="406">
        <f>(D74*'Inputs and eligible population'!$Q$111)/1000</f>
        <v>0</v>
      </c>
      <c r="L74" s="406">
        <f>(E74*'Inputs and eligible population'!$Q$111)/1000</f>
        <v>0</v>
      </c>
      <c r="M74" s="406">
        <f>(F74*'Inputs and eligible population'!$Q$111)/1000</f>
        <v>0</v>
      </c>
      <c r="N74" s="406">
        <f>(G74*'Inputs and eligible population'!$Q$111)/1000</f>
        <v>0</v>
      </c>
      <c r="O74" s="406">
        <f>(H74*'Inputs and eligible population'!$Q$111)/1000</f>
        <v>0</v>
      </c>
      <c r="P74" s="406">
        <f>(I74*'Inputs and eligible population'!$Q$111)/1000</f>
        <v>0</v>
      </c>
      <c r="R74" s="260"/>
      <c r="S74" s="260"/>
      <c r="T74" s="260"/>
      <c r="U74" s="260"/>
      <c r="V74" s="260"/>
      <c r="W74" s="260"/>
      <c r="X74" s="260"/>
      <c r="Y74" s="260"/>
      <c r="AI74" s="396"/>
      <c r="AJ74" s="396"/>
      <c r="AK74" s="396"/>
      <c r="AL74" s="396"/>
      <c r="AM74" s="396"/>
    </row>
    <row r="75" spans="1:39" x14ac:dyDescent="0.25">
      <c r="A75" s="397"/>
      <c r="B75" s="496" t="s">
        <v>1139</v>
      </c>
      <c r="C75" s="1095">
        <f>'Inputs and eligible population'!J111</f>
        <v>1.1666666666666667</v>
      </c>
      <c r="D75" s="131">
        <f t="shared" si="33"/>
        <v>0</v>
      </c>
      <c r="E75" s="131">
        <f t="shared" si="33"/>
        <v>0</v>
      </c>
      <c r="F75" s="131">
        <f t="shared" si="33"/>
        <v>0</v>
      </c>
      <c r="G75" s="131">
        <f t="shared" si="33"/>
        <v>0</v>
      </c>
      <c r="H75" s="131">
        <f t="shared" si="33"/>
        <v>0</v>
      </c>
      <c r="I75" s="131">
        <f t="shared" si="33"/>
        <v>0</v>
      </c>
      <c r="J75" s="397"/>
      <c r="K75" s="406">
        <f>(D75*'Inputs and eligible population'!$Q$111)/1000</f>
        <v>0</v>
      </c>
      <c r="L75" s="406">
        <f>(E75*'Inputs and eligible population'!$Q$111)/1000</f>
        <v>0</v>
      </c>
      <c r="M75" s="406">
        <f>(F75*'Inputs and eligible population'!$Q$111)/1000</f>
        <v>0</v>
      </c>
      <c r="N75" s="406">
        <f>(G75*'Inputs and eligible population'!$Q$111)/1000</f>
        <v>0</v>
      </c>
      <c r="O75" s="406">
        <f>(H75*'Inputs and eligible population'!$Q$111)/1000</f>
        <v>0</v>
      </c>
      <c r="P75" s="406">
        <f>(I75*'Inputs and eligible population'!$Q$111)/1000</f>
        <v>0</v>
      </c>
      <c r="R75" s="260"/>
      <c r="S75" s="260"/>
      <c r="T75" s="260"/>
      <c r="U75" s="260"/>
      <c r="V75" s="260"/>
      <c r="W75" s="260"/>
      <c r="X75" s="260"/>
      <c r="Y75" s="260"/>
      <c r="AI75" s="396"/>
      <c r="AJ75" s="396"/>
      <c r="AK75" s="396"/>
      <c r="AL75" s="396"/>
      <c r="AM75" s="396"/>
    </row>
    <row r="76" spans="1:39" x14ac:dyDescent="0.25">
      <c r="A76" s="397"/>
      <c r="B76" s="496" t="s">
        <v>1140</v>
      </c>
      <c r="C76" s="1095">
        <f>'Inputs and eligible population'!K111</f>
        <v>0.58374999999999999</v>
      </c>
      <c r="D76" s="131">
        <f t="shared" si="33"/>
        <v>0</v>
      </c>
      <c r="E76" s="131">
        <f t="shared" si="33"/>
        <v>0</v>
      </c>
      <c r="F76" s="131">
        <f t="shared" si="33"/>
        <v>0</v>
      </c>
      <c r="G76" s="131">
        <f t="shared" si="33"/>
        <v>0</v>
      </c>
      <c r="H76" s="131">
        <f t="shared" si="33"/>
        <v>0</v>
      </c>
      <c r="I76" s="131">
        <f t="shared" si="33"/>
        <v>0</v>
      </c>
      <c r="J76" s="397"/>
      <c r="K76" s="406">
        <f>(D76*'Inputs and eligible population'!$Q$111)/1000</f>
        <v>0</v>
      </c>
      <c r="L76" s="406">
        <f>(E76*'Inputs and eligible population'!$Q$111)/1000</f>
        <v>0</v>
      </c>
      <c r="M76" s="406">
        <f>(F76*'Inputs and eligible population'!$Q$111)/1000</f>
        <v>0</v>
      </c>
      <c r="N76" s="406">
        <f>(G76*'Inputs and eligible population'!$Q$111)/1000</f>
        <v>0</v>
      </c>
      <c r="O76" s="406">
        <f>(H76*'Inputs and eligible population'!$Q$111)/1000</f>
        <v>0</v>
      </c>
      <c r="P76" s="406">
        <f>(I76*'Inputs and eligible population'!$Q$111)/1000</f>
        <v>0</v>
      </c>
      <c r="R76" s="260"/>
      <c r="S76" s="260"/>
      <c r="T76" s="260"/>
      <c r="U76" s="260"/>
      <c r="V76" s="260"/>
      <c r="W76" s="260"/>
      <c r="X76" s="260"/>
      <c r="Y76" s="260"/>
      <c r="AI76" s="396"/>
      <c r="AJ76" s="396"/>
      <c r="AK76" s="396"/>
      <c r="AL76" s="396"/>
      <c r="AM76" s="396"/>
    </row>
    <row r="77" spans="1:39" x14ac:dyDescent="0.25">
      <c r="A77" s="397"/>
      <c r="B77" s="496" t="s">
        <v>1141</v>
      </c>
      <c r="C77" s="1095">
        <f>'Inputs and eligible population'!L111</f>
        <v>1</v>
      </c>
      <c r="D77" s="131">
        <f t="shared" si="33"/>
        <v>0</v>
      </c>
      <c r="E77" s="131">
        <f t="shared" si="33"/>
        <v>0</v>
      </c>
      <c r="F77" s="131">
        <f t="shared" si="33"/>
        <v>0</v>
      </c>
      <c r="G77" s="131">
        <f t="shared" si="33"/>
        <v>0</v>
      </c>
      <c r="H77" s="131">
        <f t="shared" si="33"/>
        <v>0</v>
      </c>
      <c r="I77" s="131">
        <f t="shared" si="33"/>
        <v>0</v>
      </c>
      <c r="J77" s="397"/>
      <c r="K77" s="406">
        <f>(D77*'Inputs and eligible population'!$Q$111)/1000</f>
        <v>0</v>
      </c>
      <c r="L77" s="406">
        <f>(E77*'Inputs and eligible population'!$Q$111)/1000</f>
        <v>0</v>
      </c>
      <c r="M77" s="406">
        <f>(F77*'Inputs and eligible population'!$Q$111)/1000</f>
        <v>0</v>
      </c>
      <c r="N77" s="406">
        <f>(G77*'Inputs and eligible population'!$Q$111)/1000</f>
        <v>0</v>
      </c>
      <c r="O77" s="406">
        <f>(H77*'Inputs and eligible population'!$Q$111)/1000</f>
        <v>0</v>
      </c>
      <c r="P77" s="406">
        <f>(I77*'Inputs and eligible population'!$Q$111)/1000</f>
        <v>0</v>
      </c>
      <c r="R77" s="260"/>
      <c r="S77" s="260"/>
      <c r="T77" s="260"/>
      <c r="U77" s="260"/>
      <c r="V77" s="260"/>
      <c r="W77" s="260"/>
      <c r="X77" s="260"/>
      <c r="Y77" s="260"/>
      <c r="AI77" s="396"/>
      <c r="AJ77" s="396"/>
      <c r="AK77" s="396"/>
      <c r="AL77" s="396"/>
      <c r="AM77" s="396"/>
    </row>
    <row r="78" spans="1:39" x14ac:dyDescent="0.25">
      <c r="A78" s="397"/>
      <c r="B78" s="496" t="s">
        <v>1142</v>
      </c>
      <c r="C78" s="1095">
        <f>'Inputs and eligible population'!M111</f>
        <v>3.1675</v>
      </c>
      <c r="D78" s="131">
        <f t="shared" si="33"/>
        <v>0</v>
      </c>
      <c r="E78" s="131">
        <f t="shared" si="33"/>
        <v>0</v>
      </c>
      <c r="F78" s="131">
        <f t="shared" si="33"/>
        <v>0</v>
      </c>
      <c r="G78" s="131">
        <f t="shared" si="33"/>
        <v>0</v>
      </c>
      <c r="H78" s="131">
        <f t="shared" si="33"/>
        <v>0</v>
      </c>
      <c r="I78" s="131">
        <f t="shared" si="33"/>
        <v>0</v>
      </c>
      <c r="J78" s="397"/>
      <c r="K78" s="406">
        <f>(D78*'Inputs and eligible population'!$Q$111)/1000</f>
        <v>0</v>
      </c>
      <c r="L78" s="406">
        <f>(E78*'Inputs and eligible population'!$Q$111)/1000</f>
        <v>0</v>
      </c>
      <c r="M78" s="406">
        <f>(F78*'Inputs and eligible population'!$Q$111)/1000</f>
        <v>0</v>
      </c>
      <c r="N78" s="406">
        <f>(G78*'Inputs and eligible population'!$Q$111)/1000</f>
        <v>0</v>
      </c>
      <c r="O78" s="406">
        <f>(H78*'Inputs and eligible population'!$Q$111)/1000</f>
        <v>0</v>
      </c>
      <c r="P78" s="406">
        <f>(I78*'Inputs and eligible population'!$Q$111)/1000</f>
        <v>0</v>
      </c>
      <c r="R78" s="260"/>
      <c r="S78" s="260"/>
      <c r="T78" s="260"/>
      <c r="U78" s="260"/>
      <c r="V78" s="260"/>
      <c r="W78" s="260"/>
      <c r="X78" s="260"/>
      <c r="Y78" s="260"/>
      <c r="AI78" s="396"/>
      <c r="AJ78" s="396"/>
      <c r="AK78" s="396"/>
      <c r="AL78" s="396"/>
      <c r="AM78" s="396"/>
    </row>
    <row r="79" spans="1:39" x14ac:dyDescent="0.25">
      <c r="A79" s="397"/>
      <c r="B79" s="394" t="s">
        <v>807</v>
      </c>
      <c r="C79" s="444"/>
      <c r="D79" s="313">
        <f>SUM(D71:D78)</f>
        <v>0</v>
      </c>
      <c r="E79" s="313">
        <f t="shared" ref="E79:I79" si="34">SUM(E71:E78)</f>
        <v>0</v>
      </c>
      <c r="F79" s="313">
        <f t="shared" si="34"/>
        <v>0</v>
      </c>
      <c r="G79" s="313">
        <f t="shared" si="34"/>
        <v>0</v>
      </c>
      <c r="H79" s="313">
        <f t="shared" si="34"/>
        <v>0</v>
      </c>
      <c r="I79" s="313">
        <f t="shared" si="34"/>
        <v>0</v>
      </c>
      <c r="J79" s="397"/>
      <c r="K79" s="314">
        <f>SUM(K71:K78)</f>
        <v>0</v>
      </c>
      <c r="L79" s="314">
        <f t="shared" ref="L79:P79" si="35">SUM(L71:L78)</f>
        <v>0</v>
      </c>
      <c r="M79" s="314">
        <f t="shared" si="35"/>
        <v>0</v>
      </c>
      <c r="N79" s="314">
        <f t="shared" si="35"/>
        <v>0</v>
      </c>
      <c r="O79" s="314">
        <f t="shared" si="35"/>
        <v>0</v>
      </c>
      <c r="P79" s="314">
        <f t="shared" si="35"/>
        <v>0</v>
      </c>
      <c r="R79" s="260"/>
      <c r="S79" s="260"/>
      <c r="T79" s="260"/>
      <c r="U79" s="260"/>
      <c r="V79" s="260"/>
      <c r="W79" s="260"/>
      <c r="X79" s="260"/>
      <c r="Y79" s="260"/>
      <c r="AI79" s="396"/>
      <c r="AJ79" s="396"/>
      <c r="AK79" s="396"/>
      <c r="AL79" s="396"/>
      <c r="AM79" s="396"/>
    </row>
    <row r="80" spans="1:39" x14ac:dyDescent="0.25">
      <c r="A80" s="397"/>
      <c r="B80" s="425"/>
      <c r="C80" s="377"/>
      <c r="D80" s="395" t="s">
        <v>808</v>
      </c>
      <c r="E80" s="313">
        <f>E79-$D$79</f>
        <v>0</v>
      </c>
      <c r="F80" s="313">
        <f>F79-$D$79</f>
        <v>0</v>
      </c>
      <c r="G80" s="313">
        <f>G79-$D$79</f>
        <v>0</v>
      </c>
      <c r="H80" s="313">
        <f>H79-$D$79</f>
        <v>0</v>
      </c>
      <c r="I80" s="313">
        <f>I79-$D$79</f>
        <v>0</v>
      </c>
      <c r="J80" s="397"/>
      <c r="K80" s="632"/>
      <c r="L80" s="314">
        <f>L79-$K$79</f>
        <v>0</v>
      </c>
      <c r="M80" s="314">
        <f t="shared" ref="M80:P80" si="36">M79-$K$79</f>
        <v>0</v>
      </c>
      <c r="N80" s="314">
        <f t="shared" si="36"/>
        <v>0</v>
      </c>
      <c r="O80" s="314">
        <f t="shared" si="36"/>
        <v>0</v>
      </c>
      <c r="P80" s="314">
        <f t="shared" si="36"/>
        <v>0</v>
      </c>
      <c r="R80" s="260"/>
      <c r="S80" s="260"/>
      <c r="T80" s="260"/>
      <c r="U80" s="260"/>
      <c r="V80" s="260"/>
      <c r="W80" s="260"/>
      <c r="X80" s="260"/>
      <c r="Y80" s="260"/>
      <c r="AI80" s="396"/>
      <c r="AJ80" s="396"/>
      <c r="AK80" s="396"/>
      <c r="AL80" s="396"/>
      <c r="AM80" s="396"/>
    </row>
    <row r="81" spans="1:39" x14ac:dyDescent="0.25">
      <c r="A81" s="397"/>
      <c r="B81" s="446"/>
      <c r="C81" s="334"/>
      <c r="D81" s="334"/>
      <c r="E81" s="334"/>
      <c r="F81" s="334"/>
      <c r="G81" s="334"/>
      <c r="H81" s="334"/>
      <c r="I81" s="334"/>
      <c r="J81" s="334"/>
      <c r="K81" s="334"/>
      <c r="L81" s="334"/>
      <c r="M81" s="334"/>
      <c r="N81" s="334"/>
      <c r="O81" s="334"/>
      <c r="P81" s="334"/>
      <c r="R81" s="260"/>
      <c r="S81" s="260"/>
      <c r="T81" s="260"/>
      <c r="U81" s="260"/>
      <c r="V81" s="260"/>
      <c r="W81" s="260"/>
      <c r="X81" s="260"/>
      <c r="Y81" s="260"/>
      <c r="AI81" s="396"/>
      <c r="AJ81" s="396"/>
      <c r="AK81" s="396"/>
      <c r="AL81" s="396"/>
      <c r="AM81" s="396"/>
    </row>
    <row r="82" spans="1:39" x14ac:dyDescent="0.25">
      <c r="A82" s="397"/>
      <c r="B82" s="559" t="s">
        <v>809</v>
      </c>
      <c r="C82" s="558"/>
      <c r="D82" s="558"/>
      <c r="E82" s="558"/>
      <c r="F82" s="558"/>
      <c r="G82" s="558"/>
      <c r="H82" s="558"/>
      <c r="I82" s="333"/>
      <c r="J82" s="641"/>
      <c r="K82" s="640"/>
      <c r="L82" s="640"/>
      <c r="M82" s="640"/>
      <c r="N82" s="640"/>
      <c r="O82" s="640"/>
      <c r="P82" s="640"/>
      <c r="R82" s="260"/>
      <c r="S82" s="260"/>
      <c r="T82" s="260"/>
      <c r="U82" s="260"/>
      <c r="V82" s="260"/>
      <c r="W82" s="260"/>
      <c r="X82" s="260"/>
      <c r="Y82" s="260"/>
      <c r="AI82" s="396"/>
      <c r="AJ82" s="396"/>
      <c r="AK82" s="396"/>
      <c r="AL82" s="396"/>
      <c r="AM82" s="396"/>
    </row>
    <row r="83" spans="1:39" ht="75" x14ac:dyDescent="0.25">
      <c r="A83" s="397"/>
      <c r="B83" s="393" t="s">
        <v>111</v>
      </c>
      <c r="C83" s="291" t="s">
        <v>1247</v>
      </c>
      <c r="D83" s="629" t="s">
        <v>792</v>
      </c>
      <c r="E83" s="376" t="s">
        <v>56</v>
      </c>
      <c r="F83" s="376" t="s">
        <v>57</v>
      </c>
      <c r="G83" s="290" t="s">
        <v>793</v>
      </c>
      <c r="H83" s="290" t="s">
        <v>794</v>
      </c>
      <c r="I83" s="376" t="s">
        <v>795</v>
      </c>
      <c r="J83" s="397"/>
      <c r="K83" s="629" t="s">
        <v>1248</v>
      </c>
      <c r="L83" s="1114" t="s">
        <v>1249</v>
      </c>
      <c r="M83" s="1114" t="s">
        <v>1250</v>
      </c>
      <c r="N83" s="631" t="s">
        <v>1251</v>
      </c>
      <c r="O83" s="631" t="s">
        <v>1252</v>
      </c>
      <c r="P83" s="1114" t="s">
        <v>1253</v>
      </c>
      <c r="R83" s="260"/>
      <c r="S83" s="260"/>
      <c r="T83" s="260"/>
      <c r="U83" s="260"/>
      <c r="V83" s="260"/>
      <c r="W83" s="260"/>
      <c r="X83" s="260"/>
      <c r="Y83" s="260"/>
      <c r="AI83" s="396"/>
      <c r="AJ83" s="396"/>
      <c r="AK83" s="396"/>
      <c r="AL83" s="396"/>
      <c r="AM83" s="396"/>
    </row>
    <row r="84" spans="1:39" x14ac:dyDescent="0.25">
      <c r="A84" s="397"/>
      <c r="B84" s="496" t="s">
        <v>1135</v>
      </c>
      <c r="C84" s="1106">
        <f>'Inputs and eligible population'!F112</f>
        <v>0</v>
      </c>
      <c r="D84" s="1181">
        <f t="shared" ref="D84:I91" si="37">$C84*D57</f>
        <v>0</v>
      </c>
      <c r="E84" s="1180">
        <f t="shared" si="37"/>
        <v>0</v>
      </c>
      <c r="F84" s="1180">
        <f t="shared" si="37"/>
        <v>0</v>
      </c>
      <c r="G84" s="1180">
        <f t="shared" si="37"/>
        <v>0</v>
      </c>
      <c r="H84" s="1180">
        <f t="shared" si="37"/>
        <v>0</v>
      </c>
      <c r="I84" s="1180">
        <f t="shared" si="37"/>
        <v>0</v>
      </c>
      <c r="J84" s="397"/>
      <c r="K84" s="406">
        <f>(D84*'Inputs and eligible population'!$Q$112)/1000</f>
        <v>0</v>
      </c>
      <c r="L84" s="406">
        <f>(E84*'Inputs and eligible population'!$Q$112)/1000</f>
        <v>0</v>
      </c>
      <c r="M84" s="406">
        <f>(F84*'Inputs and eligible population'!$Q$112)/1000</f>
        <v>0</v>
      </c>
      <c r="N84" s="406">
        <f>(G84*'Inputs and eligible population'!$Q$112)/1000</f>
        <v>0</v>
      </c>
      <c r="O84" s="406">
        <f>(H84*'Inputs and eligible population'!$Q$112)/1000</f>
        <v>0</v>
      </c>
      <c r="P84" s="406">
        <f>(I84*'Inputs and eligible population'!$Q$112)/1000</f>
        <v>0</v>
      </c>
      <c r="R84" s="260"/>
      <c r="S84" s="260"/>
      <c r="T84" s="260"/>
      <c r="U84" s="260"/>
      <c r="V84" s="260"/>
      <c r="W84" s="260"/>
      <c r="X84" s="260"/>
      <c r="Y84" s="260"/>
      <c r="AI84" s="396"/>
      <c r="AJ84" s="396"/>
      <c r="AK84" s="396"/>
      <c r="AL84" s="396"/>
      <c r="AM84" s="396"/>
    </row>
    <row r="85" spans="1:39" x14ac:dyDescent="0.25">
      <c r="A85" s="397"/>
      <c r="B85" s="496" t="s">
        <v>1136</v>
      </c>
      <c r="C85" s="1106">
        <f>'Inputs and eligible population'!G112</f>
        <v>0</v>
      </c>
      <c r="D85" s="1180">
        <f t="shared" si="37"/>
        <v>0</v>
      </c>
      <c r="E85" s="1180">
        <f t="shared" si="37"/>
        <v>0</v>
      </c>
      <c r="F85" s="1180">
        <f t="shared" si="37"/>
        <v>0</v>
      </c>
      <c r="G85" s="1180">
        <f t="shared" si="37"/>
        <v>0</v>
      </c>
      <c r="H85" s="1180">
        <f t="shared" si="37"/>
        <v>0</v>
      </c>
      <c r="I85" s="1180">
        <f t="shared" si="37"/>
        <v>0</v>
      </c>
      <c r="J85" s="397"/>
      <c r="K85" s="406">
        <f>(D85*'Inputs and eligible population'!$Q$112)/1000</f>
        <v>0</v>
      </c>
      <c r="L85" s="406">
        <f>(E85*'Inputs and eligible population'!$Q$112)/1000</f>
        <v>0</v>
      </c>
      <c r="M85" s="406">
        <f>(F85*'Inputs and eligible population'!$Q$112)/1000</f>
        <v>0</v>
      </c>
      <c r="N85" s="406">
        <f>(G85*'Inputs and eligible population'!$Q$112)/1000</f>
        <v>0</v>
      </c>
      <c r="O85" s="406">
        <f>(H85*'Inputs and eligible population'!$Q$112)/1000</f>
        <v>0</v>
      </c>
      <c r="P85" s="406">
        <f>(I85*'Inputs and eligible population'!$Q$112)/1000</f>
        <v>0</v>
      </c>
      <c r="R85" s="260"/>
      <c r="S85" s="260"/>
      <c r="T85" s="260"/>
      <c r="U85" s="260"/>
      <c r="V85" s="260"/>
      <c r="W85" s="260"/>
      <c r="X85" s="260"/>
      <c r="Y85" s="260"/>
      <c r="AI85" s="396"/>
      <c r="AJ85" s="396"/>
      <c r="AK85" s="396"/>
      <c r="AL85" s="396"/>
      <c r="AM85" s="396"/>
    </row>
    <row r="86" spans="1:39" x14ac:dyDescent="0.25">
      <c r="A86" s="397"/>
      <c r="B86" s="496" t="s">
        <v>1137</v>
      </c>
      <c r="C86" s="1106">
        <f>'Inputs and eligible population'!H112</f>
        <v>0</v>
      </c>
      <c r="D86" s="1180">
        <f t="shared" si="37"/>
        <v>0</v>
      </c>
      <c r="E86" s="1180">
        <f t="shared" si="37"/>
        <v>0</v>
      </c>
      <c r="F86" s="1180">
        <f t="shared" si="37"/>
        <v>0</v>
      </c>
      <c r="G86" s="1180">
        <f t="shared" si="37"/>
        <v>0</v>
      </c>
      <c r="H86" s="1180">
        <f t="shared" si="37"/>
        <v>0</v>
      </c>
      <c r="I86" s="1180">
        <f t="shared" si="37"/>
        <v>0</v>
      </c>
      <c r="J86" s="397"/>
      <c r="K86" s="406">
        <f>(D86*'Inputs and eligible population'!$Q$112)/1000</f>
        <v>0</v>
      </c>
      <c r="L86" s="406">
        <f>(E86*'Inputs and eligible population'!$Q$112)/1000</f>
        <v>0</v>
      </c>
      <c r="M86" s="406">
        <f>(F86*'Inputs and eligible population'!$Q$112)/1000</f>
        <v>0</v>
      </c>
      <c r="N86" s="406">
        <f>(G86*'Inputs and eligible population'!$Q$112)/1000</f>
        <v>0</v>
      </c>
      <c r="O86" s="406">
        <f>(H86*'Inputs and eligible population'!$Q$112)/1000</f>
        <v>0</v>
      </c>
      <c r="P86" s="406">
        <f>(I86*'Inputs and eligible population'!$Q$112)/1000</f>
        <v>0</v>
      </c>
      <c r="R86" s="260"/>
      <c r="S86" s="260"/>
      <c r="T86" s="260"/>
      <c r="U86" s="260"/>
      <c r="V86" s="260"/>
      <c r="W86" s="260"/>
      <c r="X86" s="260"/>
      <c r="Y86" s="260"/>
      <c r="AI86" s="396"/>
      <c r="AJ86" s="396"/>
      <c r="AK86" s="396"/>
      <c r="AL86" s="396"/>
      <c r="AM86" s="396"/>
    </row>
    <row r="87" spans="1:39" x14ac:dyDescent="0.25">
      <c r="A87" s="397"/>
      <c r="B87" s="496" t="s">
        <v>1138</v>
      </c>
      <c r="C87" s="1106">
        <f>'Inputs and eligible population'!I112</f>
        <v>0</v>
      </c>
      <c r="D87" s="1180">
        <f t="shared" si="37"/>
        <v>0</v>
      </c>
      <c r="E87" s="1180">
        <f t="shared" si="37"/>
        <v>0</v>
      </c>
      <c r="F87" s="1180">
        <f t="shared" si="37"/>
        <v>0</v>
      </c>
      <c r="G87" s="1180">
        <f t="shared" si="37"/>
        <v>0</v>
      </c>
      <c r="H87" s="1180">
        <f t="shared" si="37"/>
        <v>0</v>
      </c>
      <c r="I87" s="1180">
        <f t="shared" si="37"/>
        <v>0</v>
      </c>
      <c r="J87" s="397"/>
      <c r="K87" s="406">
        <f>(D87*'Inputs and eligible population'!$Q$112)/1000</f>
        <v>0</v>
      </c>
      <c r="L87" s="406">
        <f>(E87*'Inputs and eligible population'!$Q$112)/1000</f>
        <v>0</v>
      </c>
      <c r="M87" s="406">
        <f>(F87*'Inputs and eligible population'!$Q$112)/1000</f>
        <v>0</v>
      </c>
      <c r="N87" s="406">
        <f>(G87*'Inputs and eligible population'!$Q$112)/1000</f>
        <v>0</v>
      </c>
      <c r="O87" s="406">
        <f>(H87*'Inputs and eligible population'!$Q$112)/1000</f>
        <v>0</v>
      </c>
      <c r="P87" s="406">
        <f>(I87*'Inputs and eligible population'!$Q$112)/1000</f>
        <v>0</v>
      </c>
      <c r="R87" s="260"/>
      <c r="S87" s="260"/>
      <c r="T87" s="260"/>
      <c r="U87" s="260"/>
      <c r="V87" s="260"/>
      <c r="W87" s="260"/>
      <c r="X87" s="260"/>
      <c r="Y87" s="260"/>
      <c r="AI87" s="396"/>
      <c r="AJ87" s="396"/>
      <c r="AK87" s="396"/>
      <c r="AL87" s="396"/>
      <c r="AM87" s="396"/>
    </row>
    <row r="88" spans="1:39" x14ac:dyDescent="0.25">
      <c r="A88" s="397"/>
      <c r="B88" s="496" t="s">
        <v>1139</v>
      </c>
      <c r="C88" s="1106">
        <f>'Inputs and eligible population'!J112</f>
        <v>0</v>
      </c>
      <c r="D88" s="1180">
        <f t="shared" si="37"/>
        <v>0</v>
      </c>
      <c r="E88" s="1180">
        <f t="shared" si="37"/>
        <v>0</v>
      </c>
      <c r="F88" s="1180">
        <f t="shared" si="37"/>
        <v>0</v>
      </c>
      <c r="G88" s="1180">
        <f t="shared" si="37"/>
        <v>0</v>
      </c>
      <c r="H88" s="1180">
        <f t="shared" si="37"/>
        <v>0</v>
      </c>
      <c r="I88" s="1180">
        <f t="shared" si="37"/>
        <v>0</v>
      </c>
      <c r="J88" s="397"/>
      <c r="K88" s="406">
        <f>(D88*'Inputs and eligible population'!$Q$112)/1000</f>
        <v>0</v>
      </c>
      <c r="L88" s="406">
        <f>(E88*'Inputs and eligible population'!$Q$112)/1000</f>
        <v>0</v>
      </c>
      <c r="M88" s="406">
        <f>(F88*'Inputs and eligible population'!$Q$112)/1000</f>
        <v>0</v>
      </c>
      <c r="N88" s="406">
        <f>(G88*'Inputs and eligible population'!$Q$112)/1000</f>
        <v>0</v>
      </c>
      <c r="O88" s="406">
        <f>(H88*'Inputs and eligible population'!$Q$112)/1000</f>
        <v>0</v>
      </c>
      <c r="P88" s="406">
        <f>(I88*'Inputs and eligible population'!$Q$112)/1000</f>
        <v>0</v>
      </c>
      <c r="R88" s="260"/>
      <c r="S88" s="260"/>
      <c r="T88" s="260"/>
      <c r="U88" s="260"/>
      <c r="V88" s="260"/>
      <c r="W88" s="260"/>
      <c r="X88" s="260"/>
      <c r="Y88" s="260"/>
      <c r="AI88" s="396"/>
      <c r="AJ88" s="396"/>
      <c r="AK88" s="396"/>
      <c r="AL88" s="396"/>
      <c r="AM88" s="396"/>
    </row>
    <row r="89" spans="1:39" x14ac:dyDescent="0.25">
      <c r="A89" s="397"/>
      <c r="B89" s="496" t="s">
        <v>1140</v>
      </c>
      <c r="C89" s="1107">
        <f>'Inputs and eligible population'!K112</f>
        <v>0</v>
      </c>
      <c r="D89" s="1180">
        <f t="shared" si="37"/>
        <v>0</v>
      </c>
      <c r="E89" s="1180">
        <f t="shared" si="37"/>
        <v>0</v>
      </c>
      <c r="F89" s="1180">
        <f t="shared" si="37"/>
        <v>0</v>
      </c>
      <c r="G89" s="1180">
        <f t="shared" si="37"/>
        <v>0</v>
      </c>
      <c r="H89" s="1180">
        <f t="shared" si="37"/>
        <v>0</v>
      </c>
      <c r="I89" s="1180">
        <f t="shared" si="37"/>
        <v>0</v>
      </c>
      <c r="J89" s="397"/>
      <c r="K89" s="406">
        <f>(D89*'Inputs and eligible population'!$Q$112)/1000</f>
        <v>0</v>
      </c>
      <c r="L89" s="406">
        <f>(E89*'Inputs and eligible population'!$Q$112)/1000</f>
        <v>0</v>
      </c>
      <c r="M89" s="406">
        <f>(F89*'Inputs and eligible population'!$Q$112)/1000</f>
        <v>0</v>
      </c>
      <c r="N89" s="406">
        <f>(G89*'Inputs and eligible population'!$Q$112)/1000</f>
        <v>0</v>
      </c>
      <c r="O89" s="406">
        <f>(H89*'Inputs and eligible population'!$Q$112)/1000</f>
        <v>0</v>
      </c>
      <c r="P89" s="406">
        <f>(I89*'Inputs and eligible population'!$Q$112)/1000</f>
        <v>0</v>
      </c>
      <c r="R89" s="260"/>
      <c r="S89" s="260"/>
      <c r="T89" s="260"/>
      <c r="U89" s="260"/>
      <c r="V89" s="260"/>
      <c r="W89" s="260"/>
      <c r="X89" s="260"/>
      <c r="Y89" s="260"/>
      <c r="AI89" s="396"/>
      <c r="AJ89" s="396"/>
      <c r="AK89" s="396"/>
      <c r="AL89" s="396"/>
      <c r="AM89" s="396"/>
    </row>
    <row r="90" spans="1:39" x14ac:dyDescent="0.25">
      <c r="A90" s="397"/>
      <c r="B90" s="496" t="s">
        <v>1141</v>
      </c>
      <c r="C90" s="1107">
        <f>'Inputs and eligible population'!L112</f>
        <v>0</v>
      </c>
      <c r="D90" s="1180">
        <f t="shared" si="37"/>
        <v>0</v>
      </c>
      <c r="E90" s="1180">
        <f t="shared" si="37"/>
        <v>0</v>
      </c>
      <c r="F90" s="1180">
        <f t="shared" si="37"/>
        <v>0</v>
      </c>
      <c r="G90" s="1180">
        <f t="shared" si="37"/>
        <v>0</v>
      </c>
      <c r="H90" s="1180">
        <f t="shared" si="37"/>
        <v>0</v>
      </c>
      <c r="I90" s="1180">
        <f t="shared" si="37"/>
        <v>0</v>
      </c>
      <c r="J90" s="397"/>
      <c r="K90" s="406">
        <f>(D90*'Inputs and eligible population'!$Q$112)/1000</f>
        <v>0</v>
      </c>
      <c r="L90" s="406">
        <f>(E90*'Inputs and eligible population'!$Q$112)/1000</f>
        <v>0</v>
      </c>
      <c r="M90" s="406">
        <f>(F90*'Inputs and eligible population'!$Q$112)/1000</f>
        <v>0</v>
      </c>
      <c r="N90" s="406">
        <f>(G90*'Inputs and eligible population'!$Q$112)/1000</f>
        <v>0</v>
      </c>
      <c r="O90" s="406">
        <f>(H90*'Inputs and eligible population'!$Q$112)/1000</f>
        <v>0</v>
      </c>
      <c r="P90" s="406">
        <f>(I90*'Inputs and eligible population'!$Q$112)/1000</f>
        <v>0</v>
      </c>
      <c r="R90" s="260"/>
      <c r="S90" s="260"/>
      <c r="T90" s="260"/>
      <c r="U90" s="260"/>
      <c r="V90" s="260"/>
      <c r="W90" s="260"/>
      <c r="X90" s="260"/>
      <c r="Y90" s="260"/>
      <c r="AI90" s="396"/>
      <c r="AJ90" s="396"/>
      <c r="AK90" s="396"/>
      <c r="AL90" s="396"/>
      <c r="AM90" s="396"/>
    </row>
    <row r="91" spans="1:39" x14ac:dyDescent="0.25">
      <c r="A91" s="397"/>
      <c r="B91" s="496" t="s">
        <v>1142</v>
      </c>
      <c r="C91" s="1107">
        <f>'Inputs and eligible population'!M112</f>
        <v>0</v>
      </c>
      <c r="D91" s="1180">
        <f t="shared" si="37"/>
        <v>0</v>
      </c>
      <c r="E91" s="1180">
        <f t="shared" si="37"/>
        <v>0</v>
      </c>
      <c r="F91" s="1180">
        <f t="shared" si="37"/>
        <v>0</v>
      </c>
      <c r="G91" s="1180">
        <f t="shared" si="37"/>
        <v>0</v>
      </c>
      <c r="H91" s="1180">
        <f t="shared" si="37"/>
        <v>0</v>
      </c>
      <c r="I91" s="1180">
        <f t="shared" si="37"/>
        <v>0</v>
      </c>
      <c r="J91" s="397"/>
      <c r="K91" s="406">
        <f>(D91*'Inputs and eligible population'!$Q$112)/1000</f>
        <v>0</v>
      </c>
      <c r="L91" s="406">
        <f>(E91*'Inputs and eligible population'!$Q$112)/1000</f>
        <v>0</v>
      </c>
      <c r="M91" s="406">
        <f>(F91*'Inputs and eligible population'!$Q$112)/1000</f>
        <v>0</v>
      </c>
      <c r="N91" s="406">
        <f>(G91*'Inputs and eligible population'!$Q$112)/1000</f>
        <v>0</v>
      </c>
      <c r="O91" s="406">
        <f>(H91*'Inputs and eligible population'!$Q$112)/1000</f>
        <v>0</v>
      </c>
      <c r="P91" s="406">
        <f>(I91*'Inputs and eligible population'!$Q$112)/1000</f>
        <v>0</v>
      </c>
      <c r="R91" s="260"/>
      <c r="S91" s="260"/>
      <c r="T91" s="260"/>
      <c r="U91" s="260"/>
      <c r="V91" s="260"/>
      <c r="W91" s="260"/>
      <c r="X91" s="260"/>
      <c r="Y91" s="260"/>
      <c r="AI91" s="396"/>
      <c r="AJ91" s="396"/>
      <c r="AK91" s="396"/>
      <c r="AL91" s="396"/>
      <c r="AM91" s="396"/>
    </row>
    <row r="92" spans="1:39" x14ac:dyDescent="0.25">
      <c r="A92" s="397"/>
      <c r="B92" s="394" t="s">
        <v>807</v>
      </c>
      <c r="C92" s="444"/>
      <c r="D92" s="313">
        <f t="shared" ref="D92:I92" si="38">SUM(D84:D91)</f>
        <v>0</v>
      </c>
      <c r="E92" s="313">
        <f t="shared" si="38"/>
        <v>0</v>
      </c>
      <c r="F92" s="313">
        <f t="shared" si="38"/>
        <v>0</v>
      </c>
      <c r="G92" s="313">
        <f t="shared" si="38"/>
        <v>0</v>
      </c>
      <c r="H92" s="313">
        <f t="shared" si="38"/>
        <v>0</v>
      </c>
      <c r="I92" s="313">
        <f t="shared" si="38"/>
        <v>0</v>
      </c>
      <c r="J92" s="397"/>
      <c r="K92" s="314">
        <f t="shared" ref="K92:P92" si="39">SUM(K84:K91)</f>
        <v>0</v>
      </c>
      <c r="L92" s="314">
        <f t="shared" si="39"/>
        <v>0</v>
      </c>
      <c r="M92" s="314">
        <f t="shared" si="39"/>
        <v>0</v>
      </c>
      <c r="N92" s="314">
        <f t="shared" si="39"/>
        <v>0</v>
      </c>
      <c r="O92" s="314">
        <f t="shared" si="39"/>
        <v>0</v>
      </c>
      <c r="P92" s="314">
        <f t="shared" si="39"/>
        <v>0</v>
      </c>
      <c r="R92" s="260"/>
      <c r="S92" s="260"/>
      <c r="T92" s="260"/>
      <c r="U92" s="260"/>
      <c r="V92" s="260"/>
      <c r="W92" s="260"/>
      <c r="X92" s="260"/>
      <c r="Y92" s="260"/>
      <c r="AI92" s="396"/>
      <c r="AJ92" s="396"/>
      <c r="AK92" s="396"/>
      <c r="AL92" s="396"/>
      <c r="AM92" s="396"/>
    </row>
    <row r="93" spans="1:39" x14ac:dyDescent="0.25">
      <c r="A93" s="397"/>
      <c r="B93" s="394"/>
      <c r="C93" s="394"/>
      <c r="D93" s="395" t="s">
        <v>810</v>
      </c>
      <c r="E93" s="313">
        <f>E92-$D$92</f>
        <v>0</v>
      </c>
      <c r="F93" s="313">
        <f>F92-$D$92</f>
        <v>0</v>
      </c>
      <c r="G93" s="313">
        <f>G92-$D$92</f>
        <v>0</v>
      </c>
      <c r="H93" s="313">
        <f>H92-$D$92</f>
        <v>0</v>
      </c>
      <c r="I93" s="313">
        <f>I92-$D$92</f>
        <v>0</v>
      </c>
      <c r="J93" s="397"/>
      <c r="K93" s="632"/>
      <c r="L93" s="314">
        <f>L92-$K$79</f>
        <v>0</v>
      </c>
      <c r="M93" s="314">
        <f>M92-$K$79</f>
        <v>0</v>
      </c>
      <c r="N93" s="314">
        <f>N92-$K$79</f>
        <v>0</v>
      </c>
      <c r="O93" s="314">
        <f>O92-$K$79</f>
        <v>0</v>
      </c>
      <c r="P93" s="314">
        <f>P92-$K$79</f>
        <v>0</v>
      </c>
      <c r="R93" s="260"/>
      <c r="S93" s="260"/>
      <c r="T93" s="260"/>
      <c r="U93" s="260"/>
      <c r="V93" s="260"/>
      <c r="W93" s="260"/>
      <c r="X93" s="260"/>
      <c r="Y93" s="260"/>
      <c r="AI93" s="396"/>
      <c r="AJ93" s="396"/>
      <c r="AK93" s="396"/>
      <c r="AL93" s="396"/>
      <c r="AM93" s="396"/>
    </row>
    <row r="94" spans="1:39" x14ac:dyDescent="0.25">
      <c r="A94" s="397"/>
      <c r="B94" s="446"/>
      <c r="C94" s="334"/>
      <c r="D94" s="334"/>
      <c r="E94" s="334"/>
      <c r="F94" s="334"/>
      <c r="G94" s="334"/>
      <c r="H94" s="334"/>
      <c r="I94" s="334"/>
      <c r="J94" s="334"/>
      <c r="K94" s="334"/>
      <c r="L94" s="334"/>
      <c r="M94" s="334"/>
      <c r="N94" s="334"/>
      <c r="O94" s="334"/>
      <c r="P94" s="334"/>
      <c r="R94" s="260"/>
      <c r="S94" s="260"/>
      <c r="T94" s="260"/>
      <c r="U94" s="260"/>
      <c r="V94" s="260"/>
      <c r="W94" s="260"/>
      <c r="X94" s="260"/>
      <c r="Y94" s="260"/>
      <c r="AI94" s="396"/>
      <c r="AJ94" s="396"/>
      <c r="AK94" s="396"/>
      <c r="AL94" s="396"/>
      <c r="AM94" s="396"/>
    </row>
    <row r="95" spans="1:39" x14ac:dyDescent="0.25">
      <c r="A95" s="397"/>
      <c r="B95" s="559" t="s">
        <v>166</v>
      </c>
      <c r="C95" s="558"/>
      <c r="D95" s="558"/>
      <c r="E95" s="558"/>
      <c r="F95" s="558"/>
      <c r="G95" s="558"/>
      <c r="H95" s="558"/>
      <c r="I95" s="333"/>
      <c r="J95" s="641"/>
      <c r="K95" s="640"/>
      <c r="L95" s="640"/>
      <c r="M95" s="640"/>
      <c r="N95" s="640"/>
      <c r="O95" s="640"/>
      <c r="P95" s="640"/>
      <c r="U95" s="260"/>
      <c r="AI95" s="396"/>
      <c r="AJ95" s="396"/>
      <c r="AK95" s="396"/>
      <c r="AL95" s="396"/>
      <c r="AM95" s="396"/>
    </row>
    <row r="96" spans="1:39" ht="60" x14ac:dyDescent="0.25">
      <c r="A96" s="397"/>
      <c r="B96" s="393" t="s">
        <v>111</v>
      </c>
      <c r="C96" s="291" t="s">
        <v>166</v>
      </c>
      <c r="D96" s="629" t="s">
        <v>792</v>
      </c>
      <c r="E96" s="376" t="s">
        <v>56</v>
      </c>
      <c r="F96" s="376" t="s">
        <v>57</v>
      </c>
      <c r="G96" s="290" t="s">
        <v>793</v>
      </c>
      <c r="H96" s="290" t="s">
        <v>794</v>
      </c>
      <c r="I96" s="376" t="s">
        <v>795</v>
      </c>
      <c r="J96" s="397"/>
      <c r="K96" s="629" t="s">
        <v>1248</v>
      </c>
      <c r="L96" s="1114" t="s">
        <v>1249</v>
      </c>
      <c r="M96" s="1114" t="s">
        <v>1250</v>
      </c>
      <c r="N96" s="631" t="s">
        <v>1251</v>
      </c>
      <c r="O96" s="631" t="s">
        <v>1252</v>
      </c>
      <c r="P96" s="1114" t="s">
        <v>1253</v>
      </c>
      <c r="U96" s="260"/>
      <c r="AI96" s="396"/>
      <c r="AJ96" s="396"/>
      <c r="AK96" s="396"/>
      <c r="AL96" s="396"/>
      <c r="AM96" s="396"/>
    </row>
    <row r="97" spans="1:39" x14ac:dyDescent="0.25">
      <c r="A97" s="397"/>
      <c r="B97" s="496" t="s">
        <v>1135</v>
      </c>
      <c r="C97" s="1095">
        <f>'Inputs and eligible population'!F113</f>
        <v>0</v>
      </c>
      <c r="D97" s="131">
        <f t="shared" ref="D97:I104" si="40">$C97*D57</f>
        <v>0</v>
      </c>
      <c r="E97" s="131">
        <f t="shared" si="40"/>
        <v>0</v>
      </c>
      <c r="F97" s="131">
        <f t="shared" si="40"/>
        <v>0</v>
      </c>
      <c r="G97" s="131">
        <f t="shared" si="40"/>
        <v>0</v>
      </c>
      <c r="H97" s="131">
        <f t="shared" si="40"/>
        <v>0</v>
      </c>
      <c r="I97" s="131">
        <f t="shared" si="40"/>
        <v>0</v>
      </c>
      <c r="J97" s="397"/>
      <c r="K97" s="406">
        <f>(D97*'Inputs and eligible population'!$Q$113)/1000</f>
        <v>0</v>
      </c>
      <c r="L97" s="406">
        <f>(E97*'Inputs and eligible population'!$Q$113)/1000</f>
        <v>0</v>
      </c>
      <c r="M97" s="406">
        <f>(F97*'Inputs and eligible population'!$Q$113)/1000</f>
        <v>0</v>
      </c>
      <c r="N97" s="406">
        <f>(G97*'Inputs and eligible population'!$Q$113)/1000</f>
        <v>0</v>
      </c>
      <c r="O97" s="406">
        <f>(H97*'Inputs and eligible population'!$Q$113)/1000</f>
        <v>0</v>
      </c>
      <c r="P97" s="406">
        <f>(I97*'Inputs and eligible population'!$Q$113)/1000</f>
        <v>0</v>
      </c>
      <c r="U97" s="260"/>
      <c r="AI97" s="396"/>
      <c r="AJ97" s="396"/>
      <c r="AK97" s="396"/>
      <c r="AL97" s="396"/>
      <c r="AM97" s="396"/>
    </row>
    <row r="98" spans="1:39" x14ac:dyDescent="0.25">
      <c r="A98" s="397"/>
      <c r="B98" s="496" t="s">
        <v>1136</v>
      </c>
      <c r="C98" s="1095">
        <f>'Inputs and eligible population'!G113</f>
        <v>0</v>
      </c>
      <c r="D98" s="131">
        <f t="shared" si="40"/>
        <v>0</v>
      </c>
      <c r="E98" s="131">
        <f t="shared" si="40"/>
        <v>0</v>
      </c>
      <c r="F98" s="131">
        <f t="shared" si="40"/>
        <v>0</v>
      </c>
      <c r="G98" s="131">
        <f t="shared" si="40"/>
        <v>0</v>
      </c>
      <c r="H98" s="131">
        <f t="shared" si="40"/>
        <v>0</v>
      </c>
      <c r="I98" s="131">
        <f t="shared" si="40"/>
        <v>0</v>
      </c>
      <c r="J98" s="397"/>
      <c r="K98" s="406">
        <f>(D98*'Inputs and eligible population'!$Q$113)/1000</f>
        <v>0</v>
      </c>
      <c r="L98" s="406">
        <f>(E98*'Inputs and eligible population'!$Q$113)/1000</f>
        <v>0</v>
      </c>
      <c r="M98" s="406">
        <f>(F98*'Inputs and eligible population'!$Q$113)/1000</f>
        <v>0</v>
      </c>
      <c r="N98" s="406">
        <f>(G98*'Inputs and eligible population'!$Q$113)/1000</f>
        <v>0</v>
      </c>
      <c r="O98" s="406">
        <f>(H98*'Inputs and eligible population'!$Q$113)/1000</f>
        <v>0</v>
      </c>
      <c r="P98" s="406">
        <f>(I98*'Inputs and eligible population'!$Q$113)/1000</f>
        <v>0</v>
      </c>
      <c r="U98" s="260"/>
      <c r="AI98" s="396"/>
      <c r="AJ98" s="396"/>
      <c r="AK98" s="396"/>
      <c r="AL98" s="396"/>
      <c r="AM98" s="396"/>
    </row>
    <row r="99" spans="1:39" x14ac:dyDescent="0.25">
      <c r="A99" s="397"/>
      <c r="B99" s="496" t="s">
        <v>1137</v>
      </c>
      <c r="C99" s="1095">
        <f>'Inputs and eligible population'!H113</f>
        <v>0</v>
      </c>
      <c r="D99" s="131">
        <f t="shared" si="40"/>
        <v>0</v>
      </c>
      <c r="E99" s="131">
        <f t="shared" si="40"/>
        <v>0</v>
      </c>
      <c r="F99" s="131">
        <f t="shared" si="40"/>
        <v>0</v>
      </c>
      <c r="G99" s="131">
        <f t="shared" si="40"/>
        <v>0</v>
      </c>
      <c r="H99" s="131">
        <f t="shared" si="40"/>
        <v>0</v>
      </c>
      <c r="I99" s="131">
        <f t="shared" si="40"/>
        <v>0</v>
      </c>
      <c r="J99" s="397"/>
      <c r="K99" s="406">
        <f>(D99*'Inputs and eligible population'!$Q$113)/1000</f>
        <v>0</v>
      </c>
      <c r="L99" s="406">
        <f>(E99*'Inputs and eligible population'!$Q$113)/1000</f>
        <v>0</v>
      </c>
      <c r="M99" s="406">
        <f>(F99*'Inputs and eligible population'!$Q$113)/1000</f>
        <v>0</v>
      </c>
      <c r="N99" s="406">
        <f>(G99*'Inputs and eligible population'!$Q$113)/1000</f>
        <v>0</v>
      </c>
      <c r="O99" s="406">
        <f>(H99*'Inputs and eligible population'!$Q$113)/1000</f>
        <v>0</v>
      </c>
      <c r="P99" s="406">
        <f>(I99*'Inputs and eligible population'!$Q$113)/1000</f>
        <v>0</v>
      </c>
      <c r="U99" s="260"/>
      <c r="AI99" s="396"/>
      <c r="AJ99" s="396"/>
      <c r="AK99" s="396"/>
      <c r="AL99" s="396"/>
      <c r="AM99" s="396"/>
    </row>
    <row r="100" spans="1:39" x14ac:dyDescent="0.25">
      <c r="A100" s="397"/>
      <c r="B100" s="496" t="s">
        <v>1138</v>
      </c>
      <c r="C100" s="1095">
        <f>'Inputs and eligible population'!I113</f>
        <v>0</v>
      </c>
      <c r="D100" s="131">
        <f t="shared" si="40"/>
        <v>0</v>
      </c>
      <c r="E100" s="131">
        <f t="shared" si="40"/>
        <v>0</v>
      </c>
      <c r="F100" s="131">
        <f t="shared" si="40"/>
        <v>0</v>
      </c>
      <c r="G100" s="131">
        <f t="shared" si="40"/>
        <v>0</v>
      </c>
      <c r="H100" s="131">
        <f t="shared" si="40"/>
        <v>0</v>
      </c>
      <c r="I100" s="131">
        <f t="shared" si="40"/>
        <v>0</v>
      </c>
      <c r="J100" s="397"/>
      <c r="K100" s="406">
        <f>(D100*'Inputs and eligible population'!$Q$113)/1000</f>
        <v>0</v>
      </c>
      <c r="L100" s="406">
        <f>(E100*'Inputs and eligible population'!$Q$113)/1000</f>
        <v>0</v>
      </c>
      <c r="M100" s="406">
        <f>(F100*'Inputs and eligible population'!$Q$113)/1000</f>
        <v>0</v>
      </c>
      <c r="N100" s="406">
        <f>(G100*'Inputs and eligible population'!$Q$113)/1000</f>
        <v>0</v>
      </c>
      <c r="O100" s="406">
        <f>(H100*'Inputs and eligible population'!$Q$113)/1000</f>
        <v>0</v>
      </c>
      <c r="P100" s="406">
        <f>(I100*'Inputs and eligible population'!$Q$113)/1000</f>
        <v>0</v>
      </c>
      <c r="U100" s="260"/>
      <c r="AI100" s="396"/>
      <c r="AJ100" s="396"/>
      <c r="AK100" s="396"/>
      <c r="AL100" s="396"/>
      <c r="AM100" s="396"/>
    </row>
    <row r="101" spans="1:39" x14ac:dyDescent="0.25">
      <c r="A101" s="397"/>
      <c r="B101" s="496" t="s">
        <v>1139</v>
      </c>
      <c r="C101" s="1095">
        <f>'Inputs and eligible population'!J113</f>
        <v>0</v>
      </c>
      <c r="D101" s="131">
        <f t="shared" si="40"/>
        <v>0</v>
      </c>
      <c r="E101" s="131">
        <f t="shared" si="40"/>
        <v>0</v>
      </c>
      <c r="F101" s="131">
        <f t="shared" si="40"/>
        <v>0</v>
      </c>
      <c r="G101" s="131">
        <f t="shared" si="40"/>
        <v>0</v>
      </c>
      <c r="H101" s="131">
        <f t="shared" si="40"/>
        <v>0</v>
      </c>
      <c r="I101" s="131">
        <f t="shared" si="40"/>
        <v>0</v>
      </c>
      <c r="J101" s="397"/>
      <c r="K101" s="406">
        <f>(D101*'Inputs and eligible population'!$Q$113)/1000</f>
        <v>0</v>
      </c>
      <c r="L101" s="406">
        <f>(E101*'Inputs and eligible population'!$Q$113)/1000</f>
        <v>0</v>
      </c>
      <c r="M101" s="406">
        <f>(F101*'Inputs and eligible population'!$Q$113)/1000</f>
        <v>0</v>
      </c>
      <c r="N101" s="406">
        <f>(G101*'Inputs and eligible population'!$Q$113)/1000</f>
        <v>0</v>
      </c>
      <c r="O101" s="406">
        <f>(H101*'Inputs and eligible population'!$Q$113)/1000</f>
        <v>0</v>
      </c>
      <c r="P101" s="406">
        <f>(I101*'Inputs and eligible population'!$Q$113)/1000</f>
        <v>0</v>
      </c>
      <c r="U101" s="260"/>
      <c r="AI101" s="396"/>
      <c r="AJ101" s="396"/>
      <c r="AK101" s="396"/>
      <c r="AL101" s="396"/>
      <c r="AM101" s="396"/>
    </row>
    <row r="102" spans="1:39" x14ac:dyDescent="0.25">
      <c r="A102" s="397"/>
      <c r="B102" s="496" t="s">
        <v>1140</v>
      </c>
      <c r="C102" s="1095">
        <f>'Inputs and eligible population'!K113</f>
        <v>0</v>
      </c>
      <c r="D102" s="131">
        <f t="shared" si="40"/>
        <v>0</v>
      </c>
      <c r="E102" s="131">
        <f t="shared" si="40"/>
        <v>0</v>
      </c>
      <c r="F102" s="131">
        <f t="shared" si="40"/>
        <v>0</v>
      </c>
      <c r="G102" s="131">
        <f t="shared" si="40"/>
        <v>0</v>
      </c>
      <c r="H102" s="131">
        <f t="shared" si="40"/>
        <v>0</v>
      </c>
      <c r="I102" s="131">
        <f t="shared" si="40"/>
        <v>0</v>
      </c>
      <c r="J102" s="397"/>
      <c r="K102" s="406">
        <f>(D102*'Inputs and eligible population'!$Q$113)/1000</f>
        <v>0</v>
      </c>
      <c r="L102" s="406">
        <f>(E102*'Inputs and eligible population'!$Q$113)/1000</f>
        <v>0</v>
      </c>
      <c r="M102" s="406">
        <f>(F102*'Inputs and eligible population'!$Q$113)/1000</f>
        <v>0</v>
      </c>
      <c r="N102" s="406">
        <f>(G102*'Inputs and eligible population'!$Q$113)/1000</f>
        <v>0</v>
      </c>
      <c r="O102" s="406">
        <f>(H102*'Inputs and eligible population'!$Q$113)/1000</f>
        <v>0</v>
      </c>
      <c r="P102" s="406">
        <f>(I102*'Inputs and eligible population'!$Q$113)/1000</f>
        <v>0</v>
      </c>
      <c r="U102" s="260"/>
      <c r="AI102" s="396"/>
      <c r="AJ102" s="396"/>
      <c r="AK102" s="396"/>
      <c r="AL102" s="396"/>
      <c r="AM102" s="396"/>
    </row>
    <row r="103" spans="1:39" x14ac:dyDescent="0.25">
      <c r="A103" s="397"/>
      <c r="B103" s="496" t="s">
        <v>1141</v>
      </c>
      <c r="C103" s="1095">
        <f>'Inputs and eligible population'!L113</f>
        <v>0</v>
      </c>
      <c r="D103" s="131">
        <f t="shared" si="40"/>
        <v>0</v>
      </c>
      <c r="E103" s="131">
        <f t="shared" si="40"/>
        <v>0</v>
      </c>
      <c r="F103" s="131">
        <f t="shared" si="40"/>
        <v>0</v>
      </c>
      <c r="G103" s="131">
        <f t="shared" si="40"/>
        <v>0</v>
      </c>
      <c r="H103" s="131">
        <f t="shared" si="40"/>
        <v>0</v>
      </c>
      <c r="I103" s="131">
        <f t="shared" si="40"/>
        <v>0</v>
      </c>
      <c r="J103" s="397"/>
      <c r="K103" s="406">
        <f>(D103*'Inputs and eligible population'!$Q$113)/1000</f>
        <v>0</v>
      </c>
      <c r="L103" s="406">
        <f>(E103*'Inputs and eligible population'!$Q$113)/1000</f>
        <v>0</v>
      </c>
      <c r="M103" s="406">
        <f>(F103*'Inputs and eligible population'!$Q$113)/1000</f>
        <v>0</v>
      </c>
      <c r="N103" s="406">
        <f>(G103*'Inputs and eligible population'!$Q$113)/1000</f>
        <v>0</v>
      </c>
      <c r="O103" s="406">
        <f>(H103*'Inputs and eligible population'!$Q$113)/1000</f>
        <v>0</v>
      </c>
      <c r="P103" s="406">
        <f>(I103*'Inputs and eligible population'!$Q$113)/1000</f>
        <v>0</v>
      </c>
      <c r="U103" s="260"/>
      <c r="AI103" s="396"/>
      <c r="AJ103" s="396"/>
      <c r="AK103" s="396"/>
      <c r="AL103" s="396"/>
      <c r="AM103" s="396"/>
    </row>
    <row r="104" spans="1:39" x14ac:dyDescent="0.25">
      <c r="A104" s="397"/>
      <c r="B104" s="496" t="s">
        <v>1142</v>
      </c>
      <c r="C104" s="1095">
        <f>'Inputs and eligible population'!M113</f>
        <v>0</v>
      </c>
      <c r="D104" s="131">
        <f t="shared" si="40"/>
        <v>0</v>
      </c>
      <c r="E104" s="131">
        <f t="shared" si="40"/>
        <v>0</v>
      </c>
      <c r="F104" s="131">
        <f t="shared" si="40"/>
        <v>0</v>
      </c>
      <c r="G104" s="131">
        <f t="shared" si="40"/>
        <v>0</v>
      </c>
      <c r="H104" s="131">
        <f t="shared" si="40"/>
        <v>0</v>
      </c>
      <c r="I104" s="131">
        <f t="shared" si="40"/>
        <v>0</v>
      </c>
      <c r="J104" s="397"/>
      <c r="K104" s="406">
        <f>(D104*'Inputs and eligible population'!$Q$113)/1000</f>
        <v>0</v>
      </c>
      <c r="L104" s="406">
        <f>(E104*'Inputs and eligible population'!$Q$113)/1000</f>
        <v>0</v>
      </c>
      <c r="M104" s="406">
        <f>(F104*'Inputs and eligible population'!$Q$113)/1000</f>
        <v>0</v>
      </c>
      <c r="N104" s="406">
        <f>(G104*'Inputs and eligible population'!$Q$113)/1000</f>
        <v>0</v>
      </c>
      <c r="O104" s="406">
        <f>(H104*'Inputs and eligible population'!$Q$113)/1000</f>
        <v>0</v>
      </c>
      <c r="P104" s="406">
        <f>(I104*'Inputs and eligible population'!$Q$113)/1000</f>
        <v>0</v>
      </c>
      <c r="U104" s="260"/>
      <c r="AI104" s="396"/>
      <c r="AJ104" s="396"/>
      <c r="AK104" s="396"/>
      <c r="AL104" s="396"/>
      <c r="AM104" s="396"/>
    </row>
    <row r="105" spans="1:39" x14ac:dyDescent="0.25">
      <c r="A105" s="397"/>
      <c r="B105" s="394"/>
      <c r="C105" s="394"/>
      <c r="D105" s="313">
        <f t="shared" ref="D105:I105" si="41">SUM(D97:D104)</f>
        <v>0</v>
      </c>
      <c r="E105" s="313">
        <f t="shared" si="41"/>
        <v>0</v>
      </c>
      <c r="F105" s="313">
        <f t="shared" si="41"/>
        <v>0</v>
      </c>
      <c r="G105" s="313">
        <f t="shared" si="41"/>
        <v>0</v>
      </c>
      <c r="H105" s="313">
        <f t="shared" si="41"/>
        <v>0</v>
      </c>
      <c r="I105" s="313">
        <f t="shared" si="41"/>
        <v>0</v>
      </c>
      <c r="J105" s="397"/>
      <c r="K105" s="1112">
        <f t="shared" ref="K105:P105" si="42">SUM(K97:K104)</f>
        <v>0</v>
      </c>
      <c r="L105" s="1112">
        <f t="shared" si="42"/>
        <v>0</v>
      </c>
      <c r="M105" s="1112">
        <f t="shared" si="42"/>
        <v>0</v>
      </c>
      <c r="N105" s="1112">
        <f t="shared" si="42"/>
        <v>0</v>
      </c>
      <c r="O105" s="1112">
        <f t="shared" si="42"/>
        <v>0</v>
      </c>
      <c r="P105" s="1112">
        <f t="shared" si="42"/>
        <v>0</v>
      </c>
      <c r="Q105" s="260"/>
      <c r="R105" s="260"/>
      <c r="S105" s="260"/>
      <c r="T105" s="260"/>
      <c r="U105" s="260"/>
      <c r="V105" s="260"/>
      <c r="W105" s="260"/>
      <c r="X105" s="260"/>
      <c r="Y105" s="260"/>
      <c r="AI105" s="396"/>
      <c r="AJ105" s="396"/>
      <c r="AK105" s="396"/>
      <c r="AL105" s="396"/>
      <c r="AM105" s="396"/>
    </row>
    <row r="106" spans="1:39" x14ac:dyDescent="0.25">
      <c r="A106" s="397"/>
      <c r="B106" s="425"/>
      <c r="C106" s="394"/>
      <c r="D106" s="395" t="s">
        <v>811</v>
      </c>
      <c r="E106" s="313">
        <f>E105-$D$105</f>
        <v>0</v>
      </c>
      <c r="F106" s="313">
        <f>F105-$D$105</f>
        <v>0</v>
      </c>
      <c r="G106" s="313">
        <f>G105-$D$105</f>
        <v>0</v>
      </c>
      <c r="H106" s="313">
        <f>H105-$D$105</f>
        <v>0</v>
      </c>
      <c r="I106" s="313">
        <f>I105-$D$105</f>
        <v>0</v>
      </c>
      <c r="J106" s="397"/>
      <c r="K106" s="632"/>
      <c r="L106" s="1112">
        <f>L105-$K$105</f>
        <v>0</v>
      </c>
      <c r="M106" s="1112">
        <f t="shared" ref="M106:P106" si="43">M105-$K$105</f>
        <v>0</v>
      </c>
      <c r="N106" s="1112">
        <f t="shared" si="43"/>
        <v>0</v>
      </c>
      <c r="O106" s="1112">
        <f t="shared" si="43"/>
        <v>0</v>
      </c>
      <c r="P106" s="1112">
        <f t="shared" si="43"/>
        <v>0</v>
      </c>
      <c r="Q106" s="260"/>
      <c r="R106" s="260"/>
      <c r="S106" s="260"/>
      <c r="T106" s="260"/>
      <c r="U106" s="260"/>
      <c r="V106" s="260"/>
      <c r="W106" s="260"/>
      <c r="X106" s="260"/>
      <c r="Y106" s="260"/>
      <c r="AI106" s="396"/>
      <c r="AJ106" s="396"/>
      <c r="AK106" s="396"/>
      <c r="AL106" s="396"/>
      <c r="AM106" s="396"/>
    </row>
    <row r="107" spans="1:39" x14ac:dyDescent="0.25">
      <c r="A107" s="397"/>
      <c r="B107" s="446"/>
      <c r="C107" s="334"/>
      <c r="D107" s="334"/>
      <c r="E107" s="334"/>
      <c r="F107" s="334"/>
      <c r="G107" s="334"/>
      <c r="H107" s="334"/>
      <c r="I107" s="334"/>
      <c r="J107" s="397"/>
      <c r="K107" s="334"/>
      <c r="L107" s="334"/>
      <c r="M107" s="334"/>
      <c r="N107" s="334"/>
      <c r="O107" s="334"/>
      <c r="P107" s="334"/>
      <c r="Q107" s="260"/>
      <c r="R107" s="260"/>
      <c r="S107" s="260"/>
      <c r="T107" s="260"/>
      <c r="U107" s="260"/>
      <c r="V107" s="260"/>
      <c r="W107" s="260"/>
      <c r="X107" s="260"/>
      <c r="Y107" s="260"/>
      <c r="AI107" s="396"/>
      <c r="AJ107" s="396"/>
      <c r="AK107" s="396"/>
      <c r="AL107" s="396"/>
      <c r="AM107" s="396"/>
    </row>
    <row r="108" spans="1:39" x14ac:dyDescent="0.25">
      <c r="A108" s="399"/>
      <c r="B108" s="449" t="s">
        <v>812</v>
      </c>
      <c r="C108" s="430"/>
      <c r="D108" s="429"/>
      <c r="E108" s="430"/>
      <c r="F108" s="431"/>
      <c r="G108" s="432"/>
      <c r="H108" s="432"/>
      <c r="I108" s="529"/>
      <c r="J108" s="399"/>
      <c r="K108" s="399"/>
      <c r="L108" s="399"/>
      <c r="M108" s="399"/>
      <c r="N108" s="399"/>
      <c r="O108" s="399"/>
      <c r="P108" s="399"/>
      <c r="Q108" s="260"/>
      <c r="R108" s="260"/>
      <c r="S108" s="260"/>
      <c r="T108" s="260"/>
      <c r="U108" s="260"/>
      <c r="V108" s="260"/>
      <c r="W108" s="260"/>
      <c r="X108" s="260"/>
      <c r="Y108" s="260"/>
      <c r="AI108" s="396"/>
      <c r="AJ108" s="396"/>
      <c r="AK108" s="396"/>
      <c r="AL108" s="396"/>
      <c r="AM108" s="396"/>
    </row>
    <row r="109" spans="1:39" x14ac:dyDescent="0.25">
      <c r="A109" s="399"/>
      <c r="B109" s="560" t="s">
        <v>813</v>
      </c>
      <c r="C109" s="561"/>
      <c r="D109" s="561"/>
      <c r="E109" s="561"/>
      <c r="F109" s="561"/>
      <c r="G109" s="561"/>
      <c r="H109" s="561"/>
      <c r="I109" s="337"/>
      <c r="J109" s="399"/>
      <c r="K109" s="399"/>
      <c r="L109" s="399"/>
      <c r="M109" s="399"/>
      <c r="N109" s="399"/>
      <c r="O109" s="399"/>
      <c r="P109" s="399"/>
      <c r="Q109" s="260"/>
      <c r="R109" s="260"/>
      <c r="S109" s="260"/>
      <c r="T109" s="260"/>
      <c r="U109" s="260"/>
      <c r="V109" s="260"/>
      <c r="W109" s="260"/>
      <c r="X109" s="260"/>
      <c r="Y109" s="260"/>
      <c r="AI109" s="396"/>
      <c r="AJ109" s="396"/>
      <c r="AK109" s="396"/>
      <c r="AL109" s="396"/>
      <c r="AM109" s="396"/>
    </row>
    <row r="110" spans="1:39" ht="75" x14ac:dyDescent="0.25">
      <c r="A110" s="399"/>
      <c r="B110" s="390" t="s">
        <v>111</v>
      </c>
      <c r="C110" s="291" t="s">
        <v>814</v>
      </c>
      <c r="D110" s="629" t="s">
        <v>792</v>
      </c>
      <c r="E110" s="376" t="s">
        <v>56</v>
      </c>
      <c r="F110" s="376" t="s">
        <v>57</v>
      </c>
      <c r="G110" s="290" t="s">
        <v>793</v>
      </c>
      <c r="H110" s="290" t="s">
        <v>794</v>
      </c>
      <c r="I110" s="376" t="s">
        <v>795</v>
      </c>
      <c r="J110" s="399"/>
      <c r="K110" s="399"/>
      <c r="L110" s="399"/>
      <c r="M110" s="399"/>
      <c r="N110" s="399"/>
      <c r="O110" s="399"/>
      <c r="P110" s="399"/>
      <c r="Q110" s="260"/>
      <c r="R110" s="260"/>
      <c r="S110" s="260"/>
      <c r="T110" s="260"/>
      <c r="U110" s="260"/>
      <c r="V110" s="260"/>
      <c r="W110" s="260"/>
      <c r="X110" s="260"/>
      <c r="Y110" s="260"/>
      <c r="AI110" s="396"/>
      <c r="AJ110" s="396"/>
      <c r="AK110" s="396"/>
      <c r="AL110" s="396"/>
      <c r="AM110" s="396"/>
    </row>
    <row r="111" spans="1:39" x14ac:dyDescent="0.25">
      <c r="A111" s="399"/>
      <c r="B111" s="496" t="s">
        <v>1135</v>
      </c>
      <c r="C111" s="131">
        <f>'Inputs and eligible population'!F$116</f>
        <v>0</v>
      </c>
      <c r="D111" s="131">
        <f>$C111*D57</f>
        <v>0</v>
      </c>
      <c r="E111" s="131">
        <f t="shared" ref="E111:I111" si="44">$C111*E57</f>
        <v>0</v>
      </c>
      <c r="F111" s="131">
        <f t="shared" si="44"/>
        <v>0</v>
      </c>
      <c r="G111" s="131">
        <f t="shared" si="44"/>
        <v>0</v>
      </c>
      <c r="H111" s="131">
        <f t="shared" si="44"/>
        <v>0</v>
      </c>
      <c r="I111" s="131">
        <f t="shared" si="44"/>
        <v>0</v>
      </c>
      <c r="J111" s="399"/>
      <c r="K111" s="399"/>
      <c r="L111" s="399"/>
      <c r="M111" s="399"/>
      <c r="N111" s="399"/>
      <c r="O111" s="399"/>
      <c r="P111" s="399"/>
      <c r="Q111" s="260"/>
      <c r="R111" s="260"/>
      <c r="S111" s="260"/>
      <c r="T111" s="260"/>
      <c r="U111" s="260"/>
      <c r="V111" s="260"/>
      <c r="W111" s="260"/>
      <c r="X111" s="260"/>
      <c r="Y111" s="260"/>
      <c r="AI111" s="396"/>
      <c r="AJ111" s="396"/>
      <c r="AK111" s="396"/>
      <c r="AL111" s="396"/>
      <c r="AM111" s="396"/>
    </row>
    <row r="112" spans="1:39" x14ac:dyDescent="0.25">
      <c r="A112" s="399"/>
      <c r="B112" s="496" t="s">
        <v>1136</v>
      </c>
      <c r="C112" s="131">
        <f>'Inputs and eligible population'!G$116</f>
        <v>0</v>
      </c>
      <c r="D112" s="131">
        <f t="shared" ref="D112:I112" si="45">$C112*D58</f>
        <v>0</v>
      </c>
      <c r="E112" s="131">
        <f t="shared" si="45"/>
        <v>0</v>
      </c>
      <c r="F112" s="131">
        <f t="shared" si="45"/>
        <v>0</v>
      </c>
      <c r="G112" s="131">
        <f t="shared" si="45"/>
        <v>0</v>
      </c>
      <c r="H112" s="131">
        <f t="shared" si="45"/>
        <v>0</v>
      </c>
      <c r="I112" s="131">
        <f t="shared" si="45"/>
        <v>0</v>
      </c>
      <c r="J112" s="399"/>
      <c r="K112" s="399"/>
      <c r="L112" s="399"/>
      <c r="M112" s="399"/>
      <c r="N112" s="399"/>
      <c r="O112" s="399"/>
      <c r="P112" s="399"/>
      <c r="Q112" s="260"/>
      <c r="R112" s="260"/>
      <c r="S112" s="260"/>
      <c r="T112" s="260"/>
      <c r="U112" s="260"/>
      <c r="V112" s="260"/>
      <c r="W112" s="260"/>
      <c r="X112" s="260"/>
      <c r="Y112" s="260"/>
      <c r="AI112" s="396"/>
      <c r="AJ112" s="396"/>
      <c r="AK112" s="396"/>
      <c r="AL112" s="396"/>
      <c r="AM112" s="396"/>
    </row>
    <row r="113" spans="1:39" x14ac:dyDescent="0.25">
      <c r="A113" s="399"/>
      <c r="B113" s="496" t="s">
        <v>1137</v>
      </c>
      <c r="C113" s="131">
        <f>'Inputs and eligible population'!H$116</f>
        <v>0</v>
      </c>
      <c r="D113" s="131">
        <f t="shared" ref="D113:I113" si="46">$C113*D59</f>
        <v>0</v>
      </c>
      <c r="E113" s="131">
        <f t="shared" si="46"/>
        <v>0</v>
      </c>
      <c r="F113" s="131">
        <f t="shared" si="46"/>
        <v>0</v>
      </c>
      <c r="G113" s="131">
        <f t="shared" si="46"/>
        <v>0</v>
      </c>
      <c r="H113" s="131">
        <f t="shared" si="46"/>
        <v>0</v>
      </c>
      <c r="I113" s="131">
        <f t="shared" si="46"/>
        <v>0</v>
      </c>
      <c r="J113" s="399"/>
      <c r="K113" s="399"/>
      <c r="L113" s="399"/>
      <c r="M113" s="399"/>
      <c r="N113" s="399"/>
      <c r="O113" s="399"/>
      <c r="P113" s="399"/>
      <c r="Q113" s="260"/>
      <c r="R113" s="260"/>
      <c r="S113" s="260"/>
      <c r="T113" s="260"/>
      <c r="U113" s="260"/>
      <c r="V113" s="260"/>
      <c r="W113" s="260"/>
      <c r="X113" s="260"/>
      <c r="Y113" s="260"/>
      <c r="AI113" s="396"/>
      <c r="AJ113" s="396"/>
      <c r="AK113" s="396"/>
      <c r="AL113" s="396"/>
      <c r="AM113" s="396"/>
    </row>
    <row r="114" spans="1:39" x14ac:dyDescent="0.25">
      <c r="A114" s="399"/>
      <c r="B114" s="496" t="s">
        <v>1138</v>
      </c>
      <c r="C114" s="131">
        <f>'Inputs and eligible population'!I$116</f>
        <v>0</v>
      </c>
      <c r="D114" s="131">
        <f t="shared" ref="D114:I114" si="47">$C114*D60</f>
        <v>0</v>
      </c>
      <c r="E114" s="131">
        <f t="shared" si="47"/>
        <v>0</v>
      </c>
      <c r="F114" s="131">
        <f t="shared" si="47"/>
        <v>0</v>
      </c>
      <c r="G114" s="131">
        <f t="shared" si="47"/>
        <v>0</v>
      </c>
      <c r="H114" s="131">
        <f t="shared" si="47"/>
        <v>0</v>
      </c>
      <c r="I114" s="131">
        <f t="shared" si="47"/>
        <v>0</v>
      </c>
      <c r="J114" s="399"/>
      <c r="K114" s="399"/>
      <c r="L114" s="399"/>
      <c r="M114" s="399"/>
      <c r="N114" s="399"/>
      <c r="O114" s="399"/>
      <c r="P114" s="399"/>
      <c r="Q114" s="260"/>
      <c r="R114" s="260"/>
      <c r="S114" s="260"/>
      <c r="T114" s="260"/>
      <c r="U114" s="260"/>
      <c r="V114" s="260"/>
      <c r="W114" s="260"/>
      <c r="X114" s="260"/>
      <c r="Y114" s="260"/>
      <c r="AI114" s="396"/>
      <c r="AJ114" s="396"/>
      <c r="AK114" s="396"/>
      <c r="AL114" s="396"/>
      <c r="AM114" s="396"/>
    </row>
    <row r="115" spans="1:39" x14ac:dyDescent="0.25">
      <c r="A115" s="399"/>
      <c r="B115" s="496" t="s">
        <v>1139</v>
      </c>
      <c r="C115" s="131">
        <f>'Inputs and eligible population'!J$116</f>
        <v>0</v>
      </c>
      <c r="D115" s="131">
        <f t="shared" ref="D115:I115" si="48">$C115*D61</f>
        <v>0</v>
      </c>
      <c r="E115" s="131">
        <f t="shared" si="48"/>
        <v>0</v>
      </c>
      <c r="F115" s="131">
        <f t="shared" si="48"/>
        <v>0</v>
      </c>
      <c r="G115" s="131">
        <f t="shared" si="48"/>
        <v>0</v>
      </c>
      <c r="H115" s="131">
        <f t="shared" si="48"/>
        <v>0</v>
      </c>
      <c r="I115" s="131">
        <f t="shared" si="48"/>
        <v>0</v>
      </c>
      <c r="J115" s="399"/>
      <c r="K115" s="399"/>
      <c r="L115" s="399"/>
      <c r="M115" s="399"/>
      <c r="N115" s="399"/>
      <c r="O115" s="399"/>
      <c r="P115" s="399"/>
      <c r="Q115" s="260"/>
      <c r="R115" s="260"/>
      <c r="S115" s="260"/>
      <c r="T115" s="260"/>
      <c r="U115" s="260"/>
      <c r="V115" s="260"/>
      <c r="W115" s="260"/>
      <c r="X115" s="260"/>
      <c r="Y115" s="260"/>
      <c r="AI115" s="396"/>
      <c r="AJ115" s="396"/>
      <c r="AK115" s="396"/>
      <c r="AL115" s="396"/>
      <c r="AM115" s="396"/>
    </row>
    <row r="116" spans="1:39" x14ac:dyDescent="0.25">
      <c r="A116" s="399"/>
      <c r="B116" s="496" t="s">
        <v>1140</v>
      </c>
      <c r="C116" s="131">
        <f>'Inputs and eligible population'!K$116</f>
        <v>0</v>
      </c>
      <c r="D116" s="131">
        <f t="shared" ref="D116:I116" si="49">$C116*D62</f>
        <v>0</v>
      </c>
      <c r="E116" s="131">
        <f t="shared" si="49"/>
        <v>0</v>
      </c>
      <c r="F116" s="131">
        <f t="shared" si="49"/>
        <v>0</v>
      </c>
      <c r="G116" s="131">
        <f t="shared" si="49"/>
        <v>0</v>
      </c>
      <c r="H116" s="131">
        <f t="shared" si="49"/>
        <v>0</v>
      </c>
      <c r="I116" s="131">
        <f t="shared" si="49"/>
        <v>0</v>
      </c>
      <c r="J116" s="399"/>
      <c r="K116" s="399"/>
      <c r="L116" s="399"/>
      <c r="M116" s="399"/>
      <c r="N116" s="399"/>
      <c r="O116" s="399"/>
      <c r="P116" s="399"/>
      <c r="Q116" s="260"/>
      <c r="R116" s="260"/>
      <c r="S116" s="260"/>
      <c r="T116" s="260"/>
      <c r="U116" s="260"/>
      <c r="V116" s="260"/>
      <c r="W116" s="260"/>
      <c r="X116" s="260"/>
      <c r="Y116" s="260"/>
      <c r="AI116" s="396"/>
      <c r="AJ116" s="396"/>
      <c r="AK116" s="396"/>
      <c r="AL116" s="396"/>
      <c r="AM116" s="396"/>
    </row>
    <row r="117" spans="1:39" x14ac:dyDescent="0.25">
      <c r="A117" s="399"/>
      <c r="B117" s="496" t="s">
        <v>1141</v>
      </c>
      <c r="C117" s="131">
        <f>'Inputs and eligible population'!L$116</f>
        <v>0</v>
      </c>
      <c r="D117" s="131">
        <f t="shared" ref="D117:I117" si="50">$C117*D63</f>
        <v>0</v>
      </c>
      <c r="E117" s="131">
        <f t="shared" si="50"/>
        <v>0</v>
      </c>
      <c r="F117" s="131">
        <f t="shared" si="50"/>
        <v>0</v>
      </c>
      <c r="G117" s="131">
        <f t="shared" si="50"/>
        <v>0</v>
      </c>
      <c r="H117" s="131">
        <f t="shared" si="50"/>
        <v>0</v>
      </c>
      <c r="I117" s="131">
        <f t="shared" si="50"/>
        <v>0</v>
      </c>
      <c r="J117" s="399"/>
      <c r="K117" s="399"/>
      <c r="L117" s="399"/>
      <c r="M117" s="399"/>
      <c r="N117" s="399"/>
      <c r="O117" s="399"/>
      <c r="P117" s="399"/>
      <c r="Q117" s="260"/>
      <c r="R117" s="260"/>
      <c r="S117" s="260"/>
      <c r="T117" s="260"/>
      <c r="U117" s="260"/>
      <c r="V117" s="260"/>
      <c r="W117" s="260"/>
      <c r="X117" s="260"/>
      <c r="Y117" s="260"/>
      <c r="AI117" s="396"/>
      <c r="AJ117" s="396"/>
      <c r="AK117" s="396"/>
      <c r="AL117" s="396"/>
      <c r="AM117" s="396"/>
    </row>
    <row r="118" spans="1:39" x14ac:dyDescent="0.25">
      <c r="A118" s="399"/>
      <c r="B118" s="496" t="s">
        <v>1142</v>
      </c>
      <c r="C118" s="131">
        <f>'Inputs and eligible population'!M$116</f>
        <v>0</v>
      </c>
      <c r="D118" s="131">
        <f t="shared" ref="D118:I118" si="51">$C118*D64</f>
        <v>0</v>
      </c>
      <c r="E118" s="131">
        <f t="shared" si="51"/>
        <v>0</v>
      </c>
      <c r="F118" s="131">
        <f t="shared" si="51"/>
        <v>0</v>
      </c>
      <c r="G118" s="131">
        <f t="shared" si="51"/>
        <v>0</v>
      </c>
      <c r="H118" s="131">
        <f t="shared" si="51"/>
        <v>0</v>
      </c>
      <c r="I118" s="131">
        <f t="shared" si="51"/>
        <v>0</v>
      </c>
      <c r="J118" s="399"/>
      <c r="K118" s="399"/>
      <c r="L118" s="399"/>
      <c r="M118" s="399"/>
      <c r="N118" s="399"/>
      <c r="O118" s="399"/>
      <c r="P118" s="399"/>
      <c r="Q118" s="260"/>
      <c r="R118" s="260"/>
      <c r="S118" s="260"/>
      <c r="T118" s="260"/>
      <c r="U118" s="260"/>
      <c r="V118" s="260"/>
      <c r="W118" s="260"/>
      <c r="X118" s="260"/>
      <c r="Y118" s="260"/>
      <c r="AI118" s="396"/>
      <c r="AJ118" s="396"/>
      <c r="AK118" s="396"/>
      <c r="AL118" s="396"/>
      <c r="AM118" s="396"/>
    </row>
    <row r="119" spans="1:39" x14ac:dyDescent="0.25">
      <c r="A119" s="399"/>
      <c r="B119" s="394"/>
      <c r="C119" s="327"/>
      <c r="D119" s="313">
        <f t="shared" ref="D119:I119" si="52">SUM(D111:D118)</f>
        <v>0</v>
      </c>
      <c r="E119" s="313">
        <f t="shared" si="52"/>
        <v>0</v>
      </c>
      <c r="F119" s="313">
        <f t="shared" si="52"/>
        <v>0</v>
      </c>
      <c r="G119" s="313">
        <f t="shared" si="52"/>
        <v>0</v>
      </c>
      <c r="H119" s="313">
        <f t="shared" si="52"/>
        <v>0</v>
      </c>
      <c r="I119" s="313">
        <f t="shared" si="52"/>
        <v>0</v>
      </c>
      <c r="J119" s="399"/>
      <c r="K119" s="399"/>
      <c r="L119" s="399"/>
      <c r="M119" s="399"/>
      <c r="N119" s="399"/>
      <c r="O119" s="399"/>
      <c r="P119" s="399"/>
      <c r="Q119" s="260"/>
      <c r="R119" s="260"/>
      <c r="S119" s="260"/>
      <c r="T119" s="260"/>
      <c r="U119" s="260"/>
      <c r="V119" s="260"/>
      <c r="W119" s="260"/>
      <c r="X119" s="260"/>
      <c r="Y119" s="260"/>
      <c r="AI119" s="396"/>
      <c r="AJ119" s="396"/>
      <c r="AK119" s="396"/>
      <c r="AL119" s="396"/>
      <c r="AM119" s="396"/>
    </row>
    <row r="120" spans="1:39" x14ac:dyDescent="0.25">
      <c r="A120" s="399"/>
      <c r="B120" s="425"/>
      <c r="C120" s="342"/>
      <c r="D120" s="395" t="s">
        <v>168</v>
      </c>
      <c r="E120" s="313">
        <f>E119-$D$119</f>
        <v>0</v>
      </c>
      <c r="F120" s="313">
        <f>F119-$D$119</f>
        <v>0</v>
      </c>
      <c r="G120" s="313">
        <f>G119-$D$119</f>
        <v>0</v>
      </c>
      <c r="H120" s="313">
        <f>H119-$D$119</f>
        <v>0</v>
      </c>
      <c r="I120" s="313">
        <f>I119-$D$119</f>
        <v>0</v>
      </c>
      <c r="J120" s="399"/>
      <c r="K120" s="399"/>
      <c r="L120" s="399"/>
      <c r="M120" s="399"/>
      <c r="N120" s="399"/>
      <c r="O120" s="399"/>
      <c r="P120" s="399"/>
      <c r="Q120" s="260"/>
      <c r="R120" s="260"/>
      <c r="S120" s="260"/>
      <c r="T120" s="260"/>
      <c r="U120" s="260"/>
      <c r="V120" s="260"/>
      <c r="W120" s="260"/>
      <c r="X120" s="260"/>
      <c r="Y120" s="260"/>
      <c r="AI120" s="396"/>
      <c r="AJ120" s="396"/>
      <c r="AK120" s="396"/>
      <c r="AL120" s="396"/>
      <c r="AM120" s="396"/>
    </row>
    <row r="121" spans="1:39" x14ac:dyDescent="0.25">
      <c r="A121" s="399"/>
      <c r="B121" s="450"/>
      <c r="C121" s="561"/>
      <c r="D121" s="338"/>
      <c r="E121" s="338"/>
      <c r="F121" s="338"/>
      <c r="G121" s="338"/>
      <c r="H121" s="432"/>
      <c r="I121" s="432"/>
      <c r="J121" s="399"/>
      <c r="K121" s="399"/>
      <c r="L121" s="399"/>
      <c r="M121" s="399"/>
      <c r="N121" s="399"/>
      <c r="O121" s="399"/>
      <c r="P121" s="399"/>
      <c r="Q121" s="260"/>
      <c r="R121" s="260"/>
      <c r="S121" s="260"/>
      <c r="T121" s="260"/>
      <c r="U121" s="260"/>
      <c r="V121" s="260"/>
      <c r="W121" s="260"/>
      <c r="X121" s="260"/>
      <c r="Y121" s="260"/>
      <c r="AI121" s="396"/>
      <c r="AJ121" s="396"/>
      <c r="AK121" s="396"/>
      <c r="AL121" s="396"/>
      <c r="AM121" s="396"/>
    </row>
    <row r="122" spans="1:39" x14ac:dyDescent="0.25">
      <c r="A122" s="399"/>
      <c r="B122" s="560" t="s">
        <v>815</v>
      </c>
      <c r="C122" s="561"/>
      <c r="D122" s="561"/>
      <c r="E122" s="561"/>
      <c r="F122" s="561"/>
      <c r="G122" s="561"/>
      <c r="H122" s="561"/>
      <c r="I122" s="337"/>
      <c r="J122" s="399"/>
      <c r="K122" s="399"/>
      <c r="L122" s="399"/>
      <c r="M122" s="399"/>
      <c r="N122" s="399"/>
      <c r="O122" s="399"/>
      <c r="P122" s="399"/>
      <c r="Q122" s="260"/>
      <c r="R122" s="260"/>
      <c r="S122" s="260"/>
      <c r="T122" s="260"/>
      <c r="U122" s="260"/>
      <c r="V122" s="260"/>
      <c r="W122" s="260"/>
      <c r="X122" s="260"/>
      <c r="Y122" s="260"/>
      <c r="AI122" s="396"/>
      <c r="AJ122" s="396"/>
      <c r="AK122" s="396"/>
      <c r="AL122" s="396"/>
      <c r="AM122" s="396"/>
    </row>
    <row r="123" spans="1:39" ht="75" x14ac:dyDescent="0.25">
      <c r="A123" s="399"/>
      <c r="B123" s="390" t="s">
        <v>111</v>
      </c>
      <c r="C123" s="291" t="s">
        <v>816</v>
      </c>
      <c r="D123" s="629" t="s">
        <v>792</v>
      </c>
      <c r="E123" s="376" t="s">
        <v>56</v>
      </c>
      <c r="F123" s="376" t="s">
        <v>57</v>
      </c>
      <c r="G123" s="290" t="s">
        <v>793</v>
      </c>
      <c r="H123" s="290" t="s">
        <v>794</v>
      </c>
      <c r="I123" s="376" t="s">
        <v>795</v>
      </c>
      <c r="J123" s="399"/>
      <c r="K123" s="399"/>
      <c r="L123" s="399"/>
      <c r="M123" s="399"/>
      <c r="N123" s="399"/>
      <c r="O123" s="399"/>
      <c r="P123" s="399"/>
      <c r="Q123" s="260"/>
      <c r="R123" s="260"/>
      <c r="S123" s="260"/>
      <c r="T123" s="260"/>
      <c r="U123" s="260"/>
      <c r="V123" s="260"/>
      <c r="W123" s="260"/>
      <c r="X123" s="260"/>
      <c r="Y123" s="260"/>
      <c r="AI123" s="396"/>
      <c r="AJ123" s="396"/>
      <c r="AK123" s="396"/>
      <c r="AL123" s="396"/>
      <c r="AM123" s="396"/>
    </row>
    <row r="124" spans="1:39" x14ac:dyDescent="0.25">
      <c r="A124" s="399"/>
      <c r="B124" s="496" t="s">
        <v>1135</v>
      </c>
      <c r="C124" s="131">
        <f>'Inputs and eligible population'!F$117</f>
        <v>0</v>
      </c>
      <c r="D124" s="131">
        <f>$C124*D57</f>
        <v>0</v>
      </c>
      <c r="E124" s="131">
        <f t="shared" ref="E124:I124" si="53">$C124*E57</f>
        <v>0</v>
      </c>
      <c r="F124" s="131">
        <f t="shared" si="53"/>
        <v>0</v>
      </c>
      <c r="G124" s="131">
        <f t="shared" si="53"/>
        <v>0</v>
      </c>
      <c r="H124" s="131">
        <f t="shared" si="53"/>
        <v>0</v>
      </c>
      <c r="I124" s="131">
        <f t="shared" si="53"/>
        <v>0</v>
      </c>
      <c r="J124" s="399"/>
      <c r="K124" s="338"/>
      <c r="L124" s="338"/>
      <c r="M124" s="399"/>
      <c r="N124" s="338"/>
      <c r="O124" s="338"/>
      <c r="P124" s="338"/>
      <c r="Q124" s="260"/>
      <c r="R124" s="260"/>
      <c r="S124" s="260"/>
      <c r="T124" s="260"/>
      <c r="U124" s="260"/>
      <c r="V124" s="260"/>
      <c r="W124" s="260"/>
      <c r="X124" s="260"/>
      <c r="Y124" s="260"/>
      <c r="AI124" s="396"/>
      <c r="AJ124" s="396"/>
      <c r="AK124" s="396"/>
      <c r="AL124" s="396"/>
      <c r="AM124" s="396"/>
    </row>
    <row r="125" spans="1:39" x14ac:dyDescent="0.25">
      <c r="A125" s="399"/>
      <c r="B125" s="496" t="s">
        <v>1136</v>
      </c>
      <c r="C125" s="131">
        <f>'Inputs and eligible population'!G$117</f>
        <v>0</v>
      </c>
      <c r="D125" s="131">
        <f t="shared" ref="D125:I125" si="54">$C125*D58</f>
        <v>0</v>
      </c>
      <c r="E125" s="131">
        <f t="shared" si="54"/>
        <v>0</v>
      </c>
      <c r="F125" s="131">
        <f t="shared" si="54"/>
        <v>0</v>
      </c>
      <c r="G125" s="131">
        <f t="shared" si="54"/>
        <v>0</v>
      </c>
      <c r="H125" s="131">
        <f t="shared" si="54"/>
        <v>0</v>
      </c>
      <c r="I125" s="131">
        <f t="shared" si="54"/>
        <v>0</v>
      </c>
      <c r="J125" s="399"/>
      <c r="K125" s="338"/>
      <c r="L125" s="338"/>
      <c r="M125" s="399"/>
      <c r="N125" s="338"/>
      <c r="O125" s="338"/>
      <c r="P125" s="338"/>
      <c r="Q125" s="260"/>
      <c r="R125" s="260"/>
      <c r="S125" s="260"/>
      <c r="T125" s="260"/>
      <c r="U125" s="260"/>
      <c r="V125" s="260"/>
      <c r="W125" s="260"/>
      <c r="X125" s="260"/>
      <c r="Y125" s="260"/>
      <c r="AI125" s="396"/>
      <c r="AJ125" s="396"/>
      <c r="AK125" s="396"/>
      <c r="AL125" s="396"/>
      <c r="AM125" s="396"/>
    </row>
    <row r="126" spans="1:39" x14ac:dyDescent="0.25">
      <c r="A126" s="399"/>
      <c r="B126" s="496" t="s">
        <v>1137</v>
      </c>
      <c r="C126" s="131">
        <f>'Inputs and eligible population'!H$117</f>
        <v>0</v>
      </c>
      <c r="D126" s="131">
        <f t="shared" ref="D126:I126" si="55">$C126*D59</f>
        <v>0</v>
      </c>
      <c r="E126" s="131">
        <f t="shared" si="55"/>
        <v>0</v>
      </c>
      <c r="F126" s="131">
        <f t="shared" si="55"/>
        <v>0</v>
      </c>
      <c r="G126" s="131">
        <f t="shared" si="55"/>
        <v>0</v>
      </c>
      <c r="H126" s="131">
        <f t="shared" si="55"/>
        <v>0</v>
      </c>
      <c r="I126" s="131">
        <f t="shared" si="55"/>
        <v>0</v>
      </c>
      <c r="J126" s="399"/>
      <c r="K126" s="338"/>
      <c r="L126" s="338"/>
      <c r="M126" s="399"/>
      <c r="N126" s="338"/>
      <c r="O126" s="338"/>
      <c r="P126" s="338"/>
      <c r="Q126" s="260"/>
      <c r="R126" s="260"/>
      <c r="S126" s="260"/>
      <c r="T126" s="260"/>
      <c r="U126" s="260"/>
      <c r="V126" s="260"/>
      <c r="W126" s="260"/>
      <c r="X126" s="260"/>
      <c r="Y126" s="260"/>
      <c r="AI126" s="396"/>
      <c r="AJ126" s="396"/>
      <c r="AK126" s="396"/>
      <c r="AL126" s="396"/>
      <c r="AM126" s="396"/>
    </row>
    <row r="127" spans="1:39" x14ac:dyDescent="0.25">
      <c r="A127" s="399"/>
      <c r="B127" s="496" t="s">
        <v>1138</v>
      </c>
      <c r="C127" s="131">
        <f>'Inputs and eligible population'!I$117</f>
        <v>0</v>
      </c>
      <c r="D127" s="131">
        <f t="shared" ref="D127:I127" si="56">$C127*D60</f>
        <v>0</v>
      </c>
      <c r="E127" s="131">
        <f t="shared" si="56"/>
        <v>0</v>
      </c>
      <c r="F127" s="131">
        <f t="shared" si="56"/>
        <v>0</v>
      </c>
      <c r="G127" s="131">
        <f t="shared" si="56"/>
        <v>0</v>
      </c>
      <c r="H127" s="131">
        <f t="shared" si="56"/>
        <v>0</v>
      </c>
      <c r="I127" s="131">
        <f t="shared" si="56"/>
        <v>0</v>
      </c>
      <c r="J127" s="399"/>
      <c r="K127" s="338"/>
      <c r="L127" s="338"/>
      <c r="M127" s="399"/>
      <c r="N127" s="338"/>
      <c r="O127" s="338"/>
      <c r="P127" s="338"/>
      <c r="Q127" s="260"/>
      <c r="R127" s="260"/>
      <c r="S127" s="260"/>
      <c r="T127" s="260"/>
      <c r="U127" s="260"/>
      <c r="V127" s="260"/>
      <c r="W127" s="260"/>
      <c r="X127" s="260"/>
      <c r="Y127" s="260"/>
      <c r="AI127" s="396"/>
      <c r="AJ127" s="396"/>
      <c r="AK127" s="396"/>
      <c r="AL127" s="396"/>
      <c r="AM127" s="396"/>
    </row>
    <row r="128" spans="1:39" x14ac:dyDescent="0.25">
      <c r="A128" s="399"/>
      <c r="B128" s="496" t="s">
        <v>1139</v>
      </c>
      <c r="C128" s="131">
        <f>'Inputs and eligible population'!J$117</f>
        <v>0</v>
      </c>
      <c r="D128" s="131">
        <f t="shared" ref="D128:I128" si="57">$C128*D61</f>
        <v>0</v>
      </c>
      <c r="E128" s="131">
        <f t="shared" si="57"/>
        <v>0</v>
      </c>
      <c r="F128" s="131">
        <f t="shared" si="57"/>
        <v>0</v>
      </c>
      <c r="G128" s="131">
        <f t="shared" si="57"/>
        <v>0</v>
      </c>
      <c r="H128" s="131">
        <f t="shared" si="57"/>
        <v>0</v>
      </c>
      <c r="I128" s="131">
        <f t="shared" si="57"/>
        <v>0</v>
      </c>
      <c r="J128" s="399"/>
      <c r="K128" s="338"/>
      <c r="L128" s="338"/>
      <c r="M128" s="399"/>
      <c r="N128" s="338"/>
      <c r="O128" s="338"/>
      <c r="P128" s="338"/>
      <c r="Q128" s="260"/>
      <c r="R128" s="260"/>
      <c r="S128" s="260"/>
      <c r="T128" s="260"/>
      <c r="U128" s="260"/>
      <c r="V128" s="260"/>
      <c r="W128" s="260"/>
      <c r="X128" s="260"/>
      <c r="Y128" s="260"/>
      <c r="AI128" s="396"/>
      <c r="AJ128" s="396"/>
      <c r="AK128" s="396"/>
      <c r="AL128" s="396"/>
      <c r="AM128" s="396"/>
    </row>
    <row r="129" spans="1:39" x14ac:dyDescent="0.25">
      <c r="A129" s="399"/>
      <c r="B129" s="496" t="s">
        <v>1140</v>
      </c>
      <c r="C129" s="131">
        <f>'Inputs and eligible population'!K$117</f>
        <v>0</v>
      </c>
      <c r="D129" s="131">
        <f t="shared" ref="D129:I129" si="58">$C129*D62</f>
        <v>0</v>
      </c>
      <c r="E129" s="131">
        <f t="shared" si="58"/>
        <v>0</v>
      </c>
      <c r="F129" s="131">
        <f t="shared" si="58"/>
        <v>0</v>
      </c>
      <c r="G129" s="131">
        <f t="shared" si="58"/>
        <v>0</v>
      </c>
      <c r="H129" s="131">
        <f t="shared" si="58"/>
        <v>0</v>
      </c>
      <c r="I129" s="131">
        <f t="shared" si="58"/>
        <v>0</v>
      </c>
      <c r="J129" s="399"/>
      <c r="K129" s="338"/>
      <c r="L129" s="338"/>
      <c r="M129" s="399"/>
      <c r="N129" s="338"/>
      <c r="O129" s="338"/>
      <c r="P129" s="338"/>
      <c r="Q129" s="260"/>
      <c r="R129" s="260"/>
      <c r="S129" s="260"/>
      <c r="T129" s="260"/>
      <c r="U129" s="260"/>
      <c r="V129" s="260"/>
      <c r="W129" s="260"/>
      <c r="X129" s="260"/>
      <c r="Y129" s="260"/>
      <c r="AI129" s="396"/>
      <c r="AJ129" s="396"/>
      <c r="AK129" s="396"/>
      <c r="AL129" s="396"/>
      <c r="AM129" s="396"/>
    </row>
    <row r="130" spans="1:39" x14ac:dyDescent="0.25">
      <c r="A130" s="399"/>
      <c r="B130" s="496" t="s">
        <v>1141</v>
      </c>
      <c r="C130" s="131">
        <f>'Inputs and eligible population'!L$117</f>
        <v>0</v>
      </c>
      <c r="D130" s="131">
        <f t="shared" ref="D130:I130" si="59">$C130*D63</f>
        <v>0</v>
      </c>
      <c r="E130" s="131">
        <f t="shared" si="59"/>
        <v>0</v>
      </c>
      <c r="F130" s="131">
        <f t="shared" si="59"/>
        <v>0</v>
      </c>
      <c r="G130" s="131">
        <f t="shared" si="59"/>
        <v>0</v>
      </c>
      <c r="H130" s="131">
        <f t="shared" si="59"/>
        <v>0</v>
      </c>
      <c r="I130" s="131">
        <f t="shared" si="59"/>
        <v>0</v>
      </c>
      <c r="J130" s="399"/>
      <c r="K130" s="338"/>
      <c r="L130" s="338"/>
      <c r="M130" s="399"/>
      <c r="N130" s="338"/>
      <c r="O130" s="338"/>
      <c r="P130" s="338"/>
      <c r="Q130" s="260"/>
      <c r="R130" s="260"/>
      <c r="S130" s="260"/>
      <c r="T130" s="260"/>
      <c r="U130" s="260"/>
      <c r="V130" s="260"/>
      <c r="W130" s="260"/>
      <c r="X130" s="260"/>
      <c r="Y130" s="260"/>
      <c r="AI130" s="396"/>
      <c r="AJ130" s="396"/>
      <c r="AK130" s="396"/>
      <c r="AL130" s="396"/>
      <c r="AM130" s="396"/>
    </row>
    <row r="131" spans="1:39" x14ac:dyDescent="0.25">
      <c r="A131" s="399"/>
      <c r="B131" s="496" t="s">
        <v>1142</v>
      </c>
      <c r="C131" s="131">
        <f>'Inputs and eligible population'!M$117</f>
        <v>0</v>
      </c>
      <c r="D131" s="131">
        <f t="shared" ref="D131:I131" si="60">$C131*D64</f>
        <v>0</v>
      </c>
      <c r="E131" s="131">
        <f t="shared" si="60"/>
        <v>0</v>
      </c>
      <c r="F131" s="131">
        <f t="shared" si="60"/>
        <v>0</v>
      </c>
      <c r="G131" s="131">
        <f t="shared" si="60"/>
        <v>0</v>
      </c>
      <c r="H131" s="131">
        <f t="shared" si="60"/>
        <v>0</v>
      </c>
      <c r="I131" s="131">
        <f t="shared" si="60"/>
        <v>0</v>
      </c>
      <c r="J131" s="399"/>
      <c r="K131" s="338"/>
      <c r="L131" s="338"/>
      <c r="M131" s="399"/>
      <c r="N131" s="338"/>
      <c r="O131" s="338"/>
      <c r="P131" s="338"/>
      <c r="Q131" s="260"/>
      <c r="R131" s="260"/>
      <c r="S131" s="260"/>
      <c r="T131" s="260"/>
      <c r="U131" s="260"/>
      <c r="V131" s="260"/>
      <c r="W131" s="260"/>
      <c r="X131" s="260"/>
      <c r="Y131" s="260"/>
      <c r="AI131" s="396"/>
      <c r="AJ131" s="396"/>
      <c r="AK131" s="396"/>
      <c r="AL131" s="396"/>
      <c r="AM131" s="396"/>
    </row>
    <row r="132" spans="1:39" x14ac:dyDescent="0.25">
      <c r="A132" s="399"/>
      <c r="B132" s="394"/>
      <c r="C132" s="327"/>
      <c r="D132" s="313">
        <f t="shared" ref="D132:I132" si="61">SUM(D124:D131)</f>
        <v>0</v>
      </c>
      <c r="E132" s="313">
        <f t="shared" si="61"/>
        <v>0</v>
      </c>
      <c r="F132" s="313">
        <f t="shared" si="61"/>
        <v>0</v>
      </c>
      <c r="G132" s="313">
        <f t="shared" si="61"/>
        <v>0</v>
      </c>
      <c r="H132" s="313">
        <f t="shared" si="61"/>
        <v>0</v>
      </c>
      <c r="I132" s="313">
        <f t="shared" si="61"/>
        <v>0</v>
      </c>
      <c r="J132" s="399"/>
      <c r="K132" s="338"/>
      <c r="L132" s="338"/>
      <c r="M132" s="399"/>
      <c r="N132" s="338"/>
      <c r="O132" s="338"/>
      <c r="P132" s="338"/>
      <c r="U132" s="260"/>
    </row>
    <row r="133" spans="1:39" x14ac:dyDescent="0.25">
      <c r="A133" s="399"/>
      <c r="B133" s="425"/>
      <c r="C133" s="342"/>
      <c r="D133" s="395" t="s">
        <v>169</v>
      </c>
      <c r="E133" s="313">
        <f>E132-$D$132</f>
        <v>0</v>
      </c>
      <c r="F133" s="313">
        <f>F132-$D$132</f>
        <v>0</v>
      </c>
      <c r="G133" s="313">
        <f>G132-$D$132</f>
        <v>0</v>
      </c>
      <c r="H133" s="313">
        <f>H132-$D$132</f>
        <v>0</v>
      </c>
      <c r="I133" s="313">
        <f>I132-$D$132</f>
        <v>0</v>
      </c>
      <c r="J133" s="399"/>
      <c r="K133" s="338"/>
      <c r="L133" s="338"/>
      <c r="M133" s="399"/>
      <c r="N133" s="338"/>
      <c r="O133" s="338"/>
      <c r="P133" s="338"/>
      <c r="U133" s="260"/>
    </row>
    <row r="134" spans="1:39" x14ac:dyDescent="0.25">
      <c r="A134" s="399"/>
      <c r="B134" s="450"/>
      <c r="C134" s="561"/>
      <c r="D134" s="338"/>
      <c r="E134" s="338"/>
      <c r="F134" s="338"/>
      <c r="G134" s="338"/>
      <c r="H134" s="432"/>
      <c r="I134" s="432"/>
      <c r="J134" s="399"/>
      <c r="K134" s="338"/>
      <c r="L134" s="338"/>
      <c r="M134" s="399"/>
      <c r="N134" s="338"/>
      <c r="O134" s="338"/>
      <c r="P134" s="338"/>
      <c r="U134" s="260"/>
    </row>
    <row r="135" spans="1:39" x14ac:dyDescent="0.25">
      <c r="A135" s="399"/>
      <c r="B135" s="560" t="s">
        <v>817</v>
      </c>
      <c r="C135" s="561"/>
      <c r="D135" s="561"/>
      <c r="E135" s="561"/>
      <c r="F135" s="561"/>
      <c r="G135" s="561"/>
      <c r="H135" s="561"/>
      <c r="I135" s="337"/>
      <c r="J135" s="399"/>
      <c r="K135" s="399"/>
      <c r="L135" s="399"/>
      <c r="M135" s="399"/>
      <c r="N135" s="399"/>
      <c r="O135" s="399"/>
      <c r="P135" s="399"/>
      <c r="U135" s="260"/>
    </row>
    <row r="136" spans="1:39" ht="75" x14ac:dyDescent="0.25">
      <c r="A136" s="399"/>
      <c r="B136" s="390" t="s">
        <v>111</v>
      </c>
      <c r="C136" s="291" t="s">
        <v>1294</v>
      </c>
      <c r="D136" s="629" t="s">
        <v>792</v>
      </c>
      <c r="E136" s="376" t="s">
        <v>56</v>
      </c>
      <c r="F136" s="376" t="s">
        <v>57</v>
      </c>
      <c r="G136" s="290" t="s">
        <v>793</v>
      </c>
      <c r="H136" s="290" t="s">
        <v>794</v>
      </c>
      <c r="I136" s="376" t="s">
        <v>795</v>
      </c>
      <c r="J136" s="399"/>
      <c r="K136" s="629" t="s">
        <v>1248</v>
      </c>
      <c r="L136" s="1114" t="s">
        <v>1249</v>
      </c>
      <c r="M136" s="1114" t="s">
        <v>1250</v>
      </c>
      <c r="N136" s="631" t="s">
        <v>1251</v>
      </c>
      <c r="O136" s="631" t="s">
        <v>1252</v>
      </c>
      <c r="P136" s="1114" t="s">
        <v>1253</v>
      </c>
      <c r="U136" s="260"/>
    </row>
    <row r="137" spans="1:39" x14ac:dyDescent="0.25">
      <c r="A137" s="399"/>
      <c r="B137" s="496" t="s">
        <v>1135</v>
      </c>
      <c r="C137" s="411">
        <f>'Inputs and eligible population'!F$118</f>
        <v>0</v>
      </c>
      <c r="D137" s="131">
        <f>$C$137*D111</f>
        <v>0</v>
      </c>
      <c r="E137" s="131">
        <f t="shared" ref="E137:I137" si="62">$C$137*E111</f>
        <v>0</v>
      </c>
      <c r="F137" s="131">
        <f t="shared" si="62"/>
        <v>0</v>
      </c>
      <c r="G137" s="131">
        <f t="shared" si="62"/>
        <v>0</v>
      </c>
      <c r="H137" s="131">
        <f t="shared" si="62"/>
        <v>0</v>
      </c>
      <c r="I137" s="131">
        <f t="shared" si="62"/>
        <v>0</v>
      </c>
      <c r="J137" s="399"/>
      <c r="K137" s="406">
        <f>(D137*'Inputs and eligible population'!$Q$116)/1000</f>
        <v>0</v>
      </c>
      <c r="L137" s="406">
        <f>(E137*'Inputs and eligible population'!$Q$116)/1000</f>
        <v>0</v>
      </c>
      <c r="M137" s="406">
        <f>(F137*'Inputs and eligible population'!$Q$116)/1000</f>
        <v>0</v>
      </c>
      <c r="N137" s="406">
        <f>(G137*'Inputs and eligible population'!$Q$116)/1000</f>
        <v>0</v>
      </c>
      <c r="O137" s="406">
        <f>(H137*'Inputs and eligible population'!$Q$116)/1000</f>
        <v>0</v>
      </c>
      <c r="P137" s="406">
        <f>(I137*'Inputs and eligible population'!$Q$116)/1000</f>
        <v>0</v>
      </c>
      <c r="U137" s="260"/>
    </row>
    <row r="138" spans="1:39" x14ac:dyDescent="0.25">
      <c r="A138" s="399"/>
      <c r="B138" s="496" t="s">
        <v>1136</v>
      </c>
      <c r="C138" s="411">
        <f>'Inputs and eligible population'!G$118</f>
        <v>0</v>
      </c>
      <c r="D138" s="131">
        <f>$C$138*D112</f>
        <v>0</v>
      </c>
      <c r="E138" s="131">
        <f t="shared" ref="E138:I138" si="63">$C$138*E112</f>
        <v>0</v>
      </c>
      <c r="F138" s="131">
        <f t="shared" si="63"/>
        <v>0</v>
      </c>
      <c r="G138" s="131">
        <f t="shared" si="63"/>
        <v>0</v>
      </c>
      <c r="H138" s="131">
        <f t="shared" si="63"/>
        <v>0</v>
      </c>
      <c r="I138" s="131">
        <f t="shared" si="63"/>
        <v>0</v>
      </c>
      <c r="J138" s="399"/>
      <c r="K138" s="406">
        <f>(D138*'Inputs and eligible population'!$Q$116)/1000</f>
        <v>0</v>
      </c>
      <c r="L138" s="406">
        <f>(E138*'Inputs and eligible population'!$Q$116)/1000</f>
        <v>0</v>
      </c>
      <c r="M138" s="406">
        <f>(F138*'Inputs and eligible population'!$Q$116)/1000</f>
        <v>0</v>
      </c>
      <c r="N138" s="406">
        <f>(G138*'Inputs and eligible population'!$Q$116)/1000</f>
        <v>0</v>
      </c>
      <c r="O138" s="406">
        <f>(H138*'Inputs and eligible population'!$Q$116)/1000</f>
        <v>0</v>
      </c>
      <c r="P138" s="406">
        <f>(I138*'Inputs and eligible population'!$Q$116)/1000</f>
        <v>0</v>
      </c>
      <c r="U138" s="260"/>
    </row>
    <row r="139" spans="1:39" x14ac:dyDescent="0.25">
      <c r="A139" s="399"/>
      <c r="B139" s="496" t="s">
        <v>1137</v>
      </c>
      <c r="C139" s="411">
        <f>'Inputs and eligible population'!H$118</f>
        <v>0</v>
      </c>
      <c r="D139" s="131">
        <f>$C$139*D113</f>
        <v>0</v>
      </c>
      <c r="E139" s="131">
        <f t="shared" ref="E139:I139" si="64">$C$139*E113</f>
        <v>0</v>
      </c>
      <c r="F139" s="131">
        <f t="shared" si="64"/>
        <v>0</v>
      </c>
      <c r="G139" s="131">
        <f t="shared" si="64"/>
        <v>0</v>
      </c>
      <c r="H139" s="131">
        <f t="shared" si="64"/>
        <v>0</v>
      </c>
      <c r="I139" s="131">
        <f t="shared" si="64"/>
        <v>0</v>
      </c>
      <c r="J139" s="399"/>
      <c r="K139" s="406">
        <f>(D139*'Inputs and eligible population'!$Q$116)/1000</f>
        <v>0</v>
      </c>
      <c r="L139" s="406">
        <f>(E139*'Inputs and eligible population'!$Q$116)/1000</f>
        <v>0</v>
      </c>
      <c r="M139" s="406">
        <f>(F139*'Inputs and eligible population'!$Q$116)/1000</f>
        <v>0</v>
      </c>
      <c r="N139" s="406">
        <f>(G139*'Inputs and eligible population'!$Q$116)/1000</f>
        <v>0</v>
      </c>
      <c r="O139" s="406">
        <f>(H139*'Inputs and eligible population'!$Q$116)/1000</f>
        <v>0</v>
      </c>
      <c r="P139" s="406">
        <f>(I139*'Inputs and eligible population'!$Q$116)/1000</f>
        <v>0</v>
      </c>
      <c r="U139" s="260"/>
    </row>
    <row r="140" spans="1:39" x14ac:dyDescent="0.25">
      <c r="A140" s="399"/>
      <c r="B140" s="496" t="s">
        <v>1138</v>
      </c>
      <c r="C140" s="411">
        <f>'Inputs and eligible population'!I$118</f>
        <v>0</v>
      </c>
      <c r="D140" s="131">
        <f>$C$140*D114</f>
        <v>0</v>
      </c>
      <c r="E140" s="131">
        <f t="shared" ref="E140:I140" si="65">$C$140*E114</f>
        <v>0</v>
      </c>
      <c r="F140" s="131">
        <f t="shared" si="65"/>
        <v>0</v>
      </c>
      <c r="G140" s="131">
        <f t="shared" si="65"/>
        <v>0</v>
      </c>
      <c r="H140" s="131">
        <f t="shared" si="65"/>
        <v>0</v>
      </c>
      <c r="I140" s="131">
        <f t="shared" si="65"/>
        <v>0</v>
      </c>
      <c r="J140" s="399"/>
      <c r="K140" s="406">
        <f>(D140*'Inputs and eligible population'!$Q$116)/1000</f>
        <v>0</v>
      </c>
      <c r="L140" s="406">
        <f>(E140*'Inputs and eligible population'!$Q$116)/1000</f>
        <v>0</v>
      </c>
      <c r="M140" s="406">
        <f>(F140*'Inputs and eligible population'!$Q$116)/1000</f>
        <v>0</v>
      </c>
      <c r="N140" s="406">
        <f>(G140*'Inputs and eligible population'!$Q$116)/1000</f>
        <v>0</v>
      </c>
      <c r="O140" s="406">
        <f>(H140*'Inputs and eligible population'!$Q$116)/1000</f>
        <v>0</v>
      </c>
      <c r="P140" s="406">
        <f>(I140*'Inputs and eligible population'!$Q$116)/1000</f>
        <v>0</v>
      </c>
      <c r="U140" s="260"/>
    </row>
    <row r="141" spans="1:39" x14ac:dyDescent="0.25">
      <c r="A141" s="399"/>
      <c r="B141" s="496" t="s">
        <v>1139</v>
      </c>
      <c r="C141" s="411">
        <f>'Inputs and eligible population'!J$118</f>
        <v>0</v>
      </c>
      <c r="D141" s="131">
        <f>$C141*D115</f>
        <v>0</v>
      </c>
      <c r="E141" s="131">
        <f t="shared" ref="E141:I141" si="66">$C141*E115</f>
        <v>0</v>
      </c>
      <c r="F141" s="131">
        <f t="shared" si="66"/>
        <v>0</v>
      </c>
      <c r="G141" s="131">
        <f t="shared" si="66"/>
        <v>0</v>
      </c>
      <c r="H141" s="131">
        <f t="shared" si="66"/>
        <v>0</v>
      </c>
      <c r="I141" s="131">
        <f t="shared" si="66"/>
        <v>0</v>
      </c>
      <c r="J141" s="399"/>
      <c r="K141" s="406">
        <f>(D141*'Inputs and eligible population'!$Q$116)/1000</f>
        <v>0</v>
      </c>
      <c r="L141" s="406">
        <f>(E141*'Inputs and eligible population'!$Q$116)/1000</f>
        <v>0</v>
      </c>
      <c r="M141" s="406">
        <f>(F141*'Inputs and eligible population'!$Q$116)/1000</f>
        <v>0</v>
      </c>
      <c r="N141" s="406">
        <f>(G141*'Inputs and eligible population'!$Q$116)/1000</f>
        <v>0</v>
      </c>
      <c r="O141" s="406">
        <f>(H141*'Inputs and eligible population'!$Q$116)/1000</f>
        <v>0</v>
      </c>
      <c r="P141" s="406">
        <f>(I141*'Inputs and eligible population'!$Q$116)/1000</f>
        <v>0</v>
      </c>
      <c r="U141" s="260"/>
    </row>
    <row r="142" spans="1:39" x14ac:dyDescent="0.25">
      <c r="A142" s="399"/>
      <c r="B142" s="496" t="s">
        <v>1140</v>
      </c>
      <c r="C142" s="411">
        <f>'Inputs and eligible population'!K$118</f>
        <v>0</v>
      </c>
      <c r="D142" s="131">
        <f>$C$137*D116</f>
        <v>0</v>
      </c>
      <c r="E142" s="131">
        <f t="shared" ref="E142:I142" si="67">$C142*E116</f>
        <v>0</v>
      </c>
      <c r="F142" s="131">
        <f t="shared" si="67"/>
        <v>0</v>
      </c>
      <c r="G142" s="131">
        <f t="shared" si="67"/>
        <v>0</v>
      </c>
      <c r="H142" s="131">
        <f t="shared" si="67"/>
        <v>0</v>
      </c>
      <c r="I142" s="131">
        <f t="shared" si="67"/>
        <v>0</v>
      </c>
      <c r="J142" s="399"/>
      <c r="K142" s="406">
        <f>(D142*'Inputs and eligible population'!$Q$116)/1000</f>
        <v>0</v>
      </c>
      <c r="L142" s="406">
        <f>(E142*'Inputs and eligible population'!$Q$116)/1000</f>
        <v>0</v>
      </c>
      <c r="M142" s="406">
        <f>(F142*'Inputs and eligible population'!$Q$116)/1000</f>
        <v>0</v>
      </c>
      <c r="N142" s="406">
        <f>(G142*'Inputs and eligible population'!$Q$116)/1000</f>
        <v>0</v>
      </c>
      <c r="O142" s="406">
        <f>(H142*'Inputs and eligible population'!$Q$116)/1000</f>
        <v>0</v>
      </c>
      <c r="P142" s="406">
        <f>(I142*'Inputs and eligible population'!$Q$116)/1000</f>
        <v>0</v>
      </c>
      <c r="U142" s="260"/>
    </row>
    <row r="143" spans="1:39" x14ac:dyDescent="0.25">
      <c r="A143" s="399"/>
      <c r="B143" s="496" t="s">
        <v>1141</v>
      </c>
      <c r="C143" s="411">
        <f>'Inputs and eligible population'!L$118</f>
        <v>0</v>
      </c>
      <c r="D143" s="131">
        <f>$C$137*D117</f>
        <v>0</v>
      </c>
      <c r="E143" s="131">
        <f t="shared" ref="E143:I143" si="68">$C143*E117</f>
        <v>0</v>
      </c>
      <c r="F143" s="131">
        <f t="shared" si="68"/>
        <v>0</v>
      </c>
      <c r="G143" s="131">
        <f t="shared" si="68"/>
        <v>0</v>
      </c>
      <c r="H143" s="131">
        <f t="shared" si="68"/>
        <v>0</v>
      </c>
      <c r="I143" s="131">
        <f t="shared" si="68"/>
        <v>0</v>
      </c>
      <c r="J143" s="399"/>
      <c r="K143" s="406">
        <f>(D143*'Inputs and eligible population'!$Q$116)/1000</f>
        <v>0</v>
      </c>
      <c r="L143" s="406">
        <f>(E143*'Inputs and eligible population'!$Q$116)/1000</f>
        <v>0</v>
      </c>
      <c r="M143" s="406">
        <f>(F143*'Inputs and eligible population'!$Q$116)/1000</f>
        <v>0</v>
      </c>
      <c r="N143" s="406">
        <f>(G143*'Inputs and eligible population'!$Q$116)/1000</f>
        <v>0</v>
      </c>
      <c r="O143" s="406">
        <f>(H143*'Inputs and eligible population'!$Q$116)/1000</f>
        <v>0</v>
      </c>
      <c r="P143" s="406">
        <f>(I143*'Inputs and eligible population'!$Q$116)/1000</f>
        <v>0</v>
      </c>
      <c r="U143" s="260"/>
    </row>
    <row r="144" spans="1:39" x14ac:dyDescent="0.25">
      <c r="A144" s="399"/>
      <c r="B144" s="496" t="s">
        <v>1142</v>
      </c>
      <c r="C144" s="411">
        <f>'Inputs and eligible population'!M$118</f>
        <v>0</v>
      </c>
      <c r="D144" s="131">
        <f>$C$137*D118</f>
        <v>0</v>
      </c>
      <c r="E144" s="131">
        <f t="shared" ref="E144:I144" si="69">$C144*E118</f>
        <v>0</v>
      </c>
      <c r="F144" s="131">
        <f t="shared" si="69"/>
        <v>0</v>
      </c>
      <c r="G144" s="131">
        <f t="shared" si="69"/>
        <v>0</v>
      </c>
      <c r="H144" s="131">
        <f t="shared" si="69"/>
        <v>0</v>
      </c>
      <c r="I144" s="131">
        <f t="shared" si="69"/>
        <v>0</v>
      </c>
      <c r="J144" s="399"/>
      <c r="K144" s="406">
        <f>(D144*'Inputs and eligible population'!$Q$116)/1000</f>
        <v>0</v>
      </c>
      <c r="L144" s="406">
        <f>(E144*'Inputs and eligible population'!$Q$116)/1000</f>
        <v>0</v>
      </c>
      <c r="M144" s="406">
        <f>(F144*'Inputs and eligible population'!$Q$116)/1000</f>
        <v>0</v>
      </c>
      <c r="N144" s="406">
        <f>(G144*'Inputs and eligible population'!$Q$116)/1000</f>
        <v>0</v>
      </c>
      <c r="O144" s="406">
        <f>(H144*'Inputs and eligible population'!$Q$116)/1000</f>
        <v>0</v>
      </c>
      <c r="P144" s="406">
        <f>(I144*'Inputs and eligible population'!$Q$116)/1000</f>
        <v>0</v>
      </c>
      <c r="U144" s="260"/>
    </row>
    <row r="145" spans="1:21" x14ac:dyDescent="0.25">
      <c r="A145" s="399"/>
      <c r="B145" s="394"/>
      <c r="C145" s="327"/>
      <c r="D145" s="313">
        <f t="shared" ref="D145:I145" si="70">SUM(D137:D144)</f>
        <v>0</v>
      </c>
      <c r="E145" s="313">
        <f t="shared" si="70"/>
        <v>0</v>
      </c>
      <c r="F145" s="313">
        <f t="shared" si="70"/>
        <v>0</v>
      </c>
      <c r="G145" s="313">
        <f t="shared" si="70"/>
        <v>0</v>
      </c>
      <c r="H145" s="313">
        <f t="shared" si="70"/>
        <v>0</v>
      </c>
      <c r="I145" s="313">
        <f t="shared" si="70"/>
        <v>0</v>
      </c>
      <c r="J145" s="399"/>
      <c r="K145" s="1112">
        <f t="shared" ref="K145:P145" si="71">SUM(K137:K144)</f>
        <v>0</v>
      </c>
      <c r="L145" s="1112">
        <f t="shared" si="71"/>
        <v>0</v>
      </c>
      <c r="M145" s="1112">
        <f t="shared" si="71"/>
        <v>0</v>
      </c>
      <c r="N145" s="1112">
        <f t="shared" si="71"/>
        <v>0</v>
      </c>
      <c r="O145" s="1112">
        <f t="shared" si="71"/>
        <v>0</v>
      </c>
      <c r="P145" s="1112">
        <f t="shared" si="71"/>
        <v>0</v>
      </c>
      <c r="U145" s="260"/>
    </row>
    <row r="146" spans="1:21" x14ac:dyDescent="0.25">
      <c r="A146" s="399"/>
      <c r="B146" s="425"/>
      <c r="C146" s="342"/>
      <c r="D146" s="395" t="s">
        <v>170</v>
      </c>
      <c r="E146" s="313">
        <f>E145-$D$145</f>
        <v>0</v>
      </c>
      <c r="F146" s="313">
        <f>F145-$D$145</f>
        <v>0</v>
      </c>
      <c r="G146" s="313">
        <f>G145-$D$145</f>
        <v>0</v>
      </c>
      <c r="H146" s="313">
        <f>H145-$D$145</f>
        <v>0</v>
      </c>
      <c r="I146" s="313">
        <f>I145-$D$145</f>
        <v>0</v>
      </c>
      <c r="J146" s="399"/>
      <c r="K146" s="633"/>
      <c r="L146" s="1112">
        <f>L145-$K$145</f>
        <v>0</v>
      </c>
      <c r="M146" s="1112">
        <f t="shared" ref="M146:P146" si="72">M145-$K$145</f>
        <v>0</v>
      </c>
      <c r="N146" s="1112">
        <f t="shared" si="72"/>
        <v>0</v>
      </c>
      <c r="O146" s="1112">
        <f t="shared" si="72"/>
        <v>0</v>
      </c>
      <c r="P146" s="1112">
        <f t="shared" si="72"/>
        <v>0</v>
      </c>
      <c r="U146" s="260"/>
    </row>
    <row r="147" spans="1:21" x14ac:dyDescent="0.25">
      <c r="A147" s="399"/>
      <c r="B147" s="450"/>
      <c r="C147" s="561"/>
      <c r="D147" s="338"/>
      <c r="E147" s="338"/>
      <c r="F147" s="338"/>
      <c r="G147" s="338"/>
      <c r="H147" s="432"/>
      <c r="I147" s="432"/>
      <c r="J147" s="399"/>
      <c r="K147" s="338"/>
      <c r="L147" s="338"/>
      <c r="M147" s="399"/>
      <c r="N147" s="338"/>
      <c r="O147" s="338"/>
      <c r="P147" s="338"/>
      <c r="U147" s="260"/>
    </row>
    <row r="148" spans="1:21" x14ac:dyDescent="0.25">
      <c r="A148" s="399"/>
      <c r="B148" s="560" t="s">
        <v>818</v>
      </c>
      <c r="C148" s="561"/>
      <c r="D148" s="561"/>
      <c r="E148" s="561"/>
      <c r="F148" s="561"/>
      <c r="G148" s="561"/>
      <c r="H148" s="561"/>
      <c r="I148" s="337"/>
      <c r="J148" s="399"/>
      <c r="K148" s="399"/>
      <c r="L148" s="399"/>
      <c r="M148" s="399"/>
      <c r="N148" s="399"/>
      <c r="O148" s="399"/>
      <c r="P148" s="399"/>
      <c r="U148" s="260"/>
    </row>
    <row r="149" spans="1:21" ht="75" x14ac:dyDescent="0.25">
      <c r="A149" s="399"/>
      <c r="B149" s="390" t="s">
        <v>111</v>
      </c>
      <c r="C149" s="291" t="s">
        <v>1295</v>
      </c>
      <c r="D149" s="629" t="s">
        <v>792</v>
      </c>
      <c r="E149" s="376" t="s">
        <v>56</v>
      </c>
      <c r="F149" s="376" t="s">
        <v>57</v>
      </c>
      <c r="G149" s="290" t="s">
        <v>793</v>
      </c>
      <c r="H149" s="290" t="s">
        <v>794</v>
      </c>
      <c r="I149" s="376" t="s">
        <v>795</v>
      </c>
      <c r="J149" s="399"/>
      <c r="K149" s="629" t="s">
        <v>1248</v>
      </c>
      <c r="L149" s="1114" t="s">
        <v>1249</v>
      </c>
      <c r="M149" s="1114" t="s">
        <v>1250</v>
      </c>
      <c r="N149" s="631" t="s">
        <v>1251</v>
      </c>
      <c r="O149" s="631" t="s">
        <v>1252</v>
      </c>
      <c r="P149" s="1114" t="s">
        <v>1253</v>
      </c>
      <c r="U149" s="260"/>
    </row>
    <row r="150" spans="1:21" x14ac:dyDescent="0.25">
      <c r="A150" s="399"/>
      <c r="B150" s="496" t="s">
        <v>1135</v>
      </c>
      <c r="C150" s="411">
        <f>'Inputs and eligible population'!F$117</f>
        <v>0</v>
      </c>
      <c r="D150" s="131">
        <f t="shared" ref="D150:I157" si="73">$C150*D124</f>
        <v>0</v>
      </c>
      <c r="E150" s="131">
        <f t="shared" si="73"/>
        <v>0</v>
      </c>
      <c r="F150" s="131">
        <f t="shared" si="73"/>
        <v>0</v>
      </c>
      <c r="G150" s="131">
        <f t="shared" si="73"/>
        <v>0</v>
      </c>
      <c r="H150" s="131">
        <f t="shared" si="73"/>
        <v>0</v>
      </c>
      <c r="I150" s="131">
        <f t="shared" si="73"/>
        <v>0</v>
      </c>
      <c r="J150" s="399"/>
      <c r="K150" s="406">
        <f>(D150*'Inputs and eligible population'!$Q$119)/1000</f>
        <v>0</v>
      </c>
      <c r="L150" s="406">
        <f>(E150*'Inputs and eligible population'!$Q$119)/1000</f>
        <v>0</v>
      </c>
      <c r="M150" s="406">
        <f>(F150*'Inputs and eligible population'!$Q$119)/1000</f>
        <v>0</v>
      </c>
      <c r="N150" s="406">
        <f>(G150*'Inputs and eligible population'!$Q$119)/1000</f>
        <v>0</v>
      </c>
      <c r="O150" s="406">
        <f>(H150*'Inputs and eligible population'!$Q$119)/1000</f>
        <v>0</v>
      </c>
      <c r="P150" s="406">
        <f>(I150*'Inputs and eligible population'!$Q$119)/1000</f>
        <v>0</v>
      </c>
      <c r="U150" s="260"/>
    </row>
    <row r="151" spans="1:21" x14ac:dyDescent="0.25">
      <c r="A151" s="399"/>
      <c r="B151" s="496" t="s">
        <v>1136</v>
      </c>
      <c r="C151" s="411">
        <f>'Inputs and eligible population'!G$117</f>
        <v>0</v>
      </c>
      <c r="D151" s="131">
        <f t="shared" si="73"/>
        <v>0</v>
      </c>
      <c r="E151" s="131">
        <f t="shared" si="73"/>
        <v>0</v>
      </c>
      <c r="F151" s="131">
        <f t="shared" si="73"/>
        <v>0</v>
      </c>
      <c r="G151" s="131">
        <f t="shared" si="73"/>
        <v>0</v>
      </c>
      <c r="H151" s="131">
        <f t="shared" si="73"/>
        <v>0</v>
      </c>
      <c r="I151" s="131">
        <f t="shared" si="73"/>
        <v>0</v>
      </c>
      <c r="J151" s="399"/>
      <c r="K151" s="406">
        <f>(D151*'Inputs and eligible population'!$Q$119)/1000</f>
        <v>0</v>
      </c>
      <c r="L151" s="406">
        <f>(E151*'Inputs and eligible population'!$Q$119)/1000</f>
        <v>0</v>
      </c>
      <c r="M151" s="406">
        <f>(F151*'Inputs and eligible population'!$Q$119)/1000</f>
        <v>0</v>
      </c>
      <c r="N151" s="406">
        <f>(G151*'Inputs and eligible population'!$Q$119)/1000</f>
        <v>0</v>
      </c>
      <c r="O151" s="406">
        <f>(H151*'Inputs and eligible population'!$Q$119)/1000</f>
        <v>0</v>
      </c>
      <c r="P151" s="406">
        <f>(I151*'Inputs and eligible population'!$Q$119)/1000</f>
        <v>0</v>
      </c>
      <c r="U151" s="260"/>
    </row>
    <row r="152" spans="1:21" x14ac:dyDescent="0.25">
      <c r="A152" s="399"/>
      <c r="B152" s="496" t="s">
        <v>1137</v>
      </c>
      <c r="C152" s="411">
        <f>'Inputs and eligible population'!H$117</f>
        <v>0</v>
      </c>
      <c r="D152" s="131">
        <f t="shared" si="73"/>
        <v>0</v>
      </c>
      <c r="E152" s="131">
        <f t="shared" si="73"/>
        <v>0</v>
      </c>
      <c r="F152" s="131">
        <f t="shared" si="73"/>
        <v>0</v>
      </c>
      <c r="G152" s="131">
        <f t="shared" si="73"/>
        <v>0</v>
      </c>
      <c r="H152" s="131">
        <f t="shared" si="73"/>
        <v>0</v>
      </c>
      <c r="I152" s="131">
        <f t="shared" si="73"/>
        <v>0</v>
      </c>
      <c r="J152" s="399"/>
      <c r="K152" s="406">
        <f>(D152*'Inputs and eligible population'!$Q$119)/1000</f>
        <v>0</v>
      </c>
      <c r="L152" s="406">
        <f>(E152*'Inputs and eligible population'!$Q$119)/1000</f>
        <v>0</v>
      </c>
      <c r="M152" s="406">
        <f>(F152*'Inputs and eligible population'!$Q$119)/1000</f>
        <v>0</v>
      </c>
      <c r="N152" s="406">
        <f>(G152*'Inputs and eligible population'!$Q$119)/1000</f>
        <v>0</v>
      </c>
      <c r="O152" s="406">
        <f>(H152*'Inputs and eligible population'!$Q$119)/1000</f>
        <v>0</v>
      </c>
      <c r="P152" s="406">
        <f>(I152*'Inputs and eligible population'!$Q$119)/1000</f>
        <v>0</v>
      </c>
      <c r="U152" s="260"/>
    </row>
    <row r="153" spans="1:21" x14ac:dyDescent="0.25">
      <c r="A153" s="399"/>
      <c r="B153" s="496" t="s">
        <v>1138</v>
      </c>
      <c r="C153" s="411">
        <f>'Inputs and eligible population'!I$117</f>
        <v>0</v>
      </c>
      <c r="D153" s="131">
        <f t="shared" si="73"/>
        <v>0</v>
      </c>
      <c r="E153" s="131">
        <f t="shared" si="73"/>
        <v>0</v>
      </c>
      <c r="F153" s="131">
        <f t="shared" si="73"/>
        <v>0</v>
      </c>
      <c r="G153" s="131">
        <f t="shared" si="73"/>
        <v>0</v>
      </c>
      <c r="H153" s="131">
        <f t="shared" si="73"/>
        <v>0</v>
      </c>
      <c r="I153" s="131">
        <f t="shared" si="73"/>
        <v>0</v>
      </c>
      <c r="J153" s="399"/>
      <c r="K153" s="406">
        <f>(D153*'Inputs and eligible population'!$Q$119)/1000</f>
        <v>0</v>
      </c>
      <c r="L153" s="406">
        <f>(E153*'Inputs and eligible population'!$Q$119)/1000</f>
        <v>0</v>
      </c>
      <c r="M153" s="406">
        <f>(F153*'Inputs and eligible population'!$Q$119)/1000</f>
        <v>0</v>
      </c>
      <c r="N153" s="406">
        <f>(G153*'Inputs and eligible population'!$Q$119)/1000</f>
        <v>0</v>
      </c>
      <c r="O153" s="406">
        <f>(H153*'Inputs and eligible population'!$Q$119)/1000</f>
        <v>0</v>
      </c>
      <c r="P153" s="406">
        <f>(I153*'Inputs and eligible population'!$Q$119)/1000</f>
        <v>0</v>
      </c>
      <c r="U153" s="260"/>
    </row>
    <row r="154" spans="1:21" x14ac:dyDescent="0.25">
      <c r="A154" s="399"/>
      <c r="B154" s="496" t="s">
        <v>1139</v>
      </c>
      <c r="C154" s="411">
        <f>'Inputs and eligible population'!J$117</f>
        <v>0</v>
      </c>
      <c r="D154" s="131">
        <f t="shared" si="73"/>
        <v>0</v>
      </c>
      <c r="E154" s="131">
        <f t="shared" si="73"/>
        <v>0</v>
      </c>
      <c r="F154" s="131">
        <f t="shared" si="73"/>
        <v>0</v>
      </c>
      <c r="G154" s="131">
        <f t="shared" si="73"/>
        <v>0</v>
      </c>
      <c r="H154" s="131">
        <f t="shared" si="73"/>
        <v>0</v>
      </c>
      <c r="I154" s="131">
        <f t="shared" si="73"/>
        <v>0</v>
      </c>
      <c r="J154" s="399"/>
      <c r="K154" s="406">
        <f>(D154*'Inputs and eligible population'!$Q$119)/1000</f>
        <v>0</v>
      </c>
      <c r="L154" s="406">
        <f>(E154*'Inputs and eligible population'!$Q$119)/1000</f>
        <v>0</v>
      </c>
      <c r="M154" s="406">
        <f>(F154*'Inputs and eligible population'!$Q$119)/1000</f>
        <v>0</v>
      </c>
      <c r="N154" s="406">
        <f>(G154*'Inputs and eligible population'!$Q$119)/1000</f>
        <v>0</v>
      </c>
      <c r="O154" s="406">
        <f>(H154*'Inputs and eligible population'!$Q$119)/1000</f>
        <v>0</v>
      </c>
      <c r="P154" s="406">
        <f>(I154*'Inputs and eligible population'!$Q$119)/1000</f>
        <v>0</v>
      </c>
      <c r="U154" s="260"/>
    </row>
    <row r="155" spans="1:21" x14ac:dyDescent="0.25">
      <c r="A155" s="399"/>
      <c r="B155" s="496" t="s">
        <v>1140</v>
      </c>
      <c r="C155" s="411">
        <f>'Inputs and eligible population'!K$117</f>
        <v>0</v>
      </c>
      <c r="D155" s="131">
        <f t="shared" si="73"/>
        <v>0</v>
      </c>
      <c r="E155" s="131">
        <f t="shared" si="73"/>
        <v>0</v>
      </c>
      <c r="F155" s="131">
        <f t="shared" si="73"/>
        <v>0</v>
      </c>
      <c r="G155" s="131">
        <f t="shared" si="73"/>
        <v>0</v>
      </c>
      <c r="H155" s="131">
        <f t="shared" si="73"/>
        <v>0</v>
      </c>
      <c r="I155" s="131">
        <f t="shared" si="73"/>
        <v>0</v>
      </c>
      <c r="J155" s="399"/>
      <c r="K155" s="406">
        <f>(D155*'Inputs and eligible population'!$Q$119)/1000</f>
        <v>0</v>
      </c>
      <c r="L155" s="406">
        <f>(E155*'Inputs and eligible population'!$Q$119)/1000</f>
        <v>0</v>
      </c>
      <c r="M155" s="406">
        <f>(F155*'Inputs and eligible population'!$Q$119)/1000</f>
        <v>0</v>
      </c>
      <c r="N155" s="406">
        <f>(G155*'Inputs and eligible population'!$Q$119)/1000</f>
        <v>0</v>
      </c>
      <c r="O155" s="406">
        <f>(H155*'Inputs and eligible population'!$Q$119)/1000</f>
        <v>0</v>
      </c>
      <c r="P155" s="406">
        <f>(I155*'Inputs and eligible population'!$Q$119)/1000</f>
        <v>0</v>
      </c>
      <c r="U155" s="260"/>
    </row>
    <row r="156" spans="1:21" x14ac:dyDescent="0.25">
      <c r="A156" s="399"/>
      <c r="B156" s="496" t="s">
        <v>1141</v>
      </c>
      <c r="C156" s="411">
        <f>'Inputs and eligible population'!L$117</f>
        <v>0</v>
      </c>
      <c r="D156" s="131">
        <f t="shared" si="73"/>
        <v>0</v>
      </c>
      <c r="E156" s="131">
        <f t="shared" si="73"/>
        <v>0</v>
      </c>
      <c r="F156" s="131">
        <f t="shared" si="73"/>
        <v>0</v>
      </c>
      <c r="G156" s="131">
        <f t="shared" si="73"/>
        <v>0</v>
      </c>
      <c r="H156" s="131">
        <f t="shared" si="73"/>
        <v>0</v>
      </c>
      <c r="I156" s="131">
        <f t="shared" si="73"/>
        <v>0</v>
      </c>
      <c r="J156" s="399"/>
      <c r="K156" s="406">
        <f>(D156*'Inputs and eligible population'!$Q$119)/1000</f>
        <v>0</v>
      </c>
      <c r="L156" s="406">
        <f>(E156*'Inputs and eligible population'!$Q$119)/1000</f>
        <v>0</v>
      </c>
      <c r="M156" s="406">
        <f>(F156*'Inputs and eligible population'!$Q$119)/1000</f>
        <v>0</v>
      </c>
      <c r="N156" s="406">
        <f>(G156*'Inputs and eligible population'!$Q$119)/1000</f>
        <v>0</v>
      </c>
      <c r="O156" s="406">
        <f>(H156*'Inputs and eligible population'!$Q$119)/1000</f>
        <v>0</v>
      </c>
      <c r="P156" s="406">
        <f>(I156*'Inputs and eligible population'!$Q$119)/1000</f>
        <v>0</v>
      </c>
      <c r="U156" s="260"/>
    </row>
    <row r="157" spans="1:21" x14ac:dyDescent="0.25">
      <c r="A157" s="399"/>
      <c r="B157" s="496" t="s">
        <v>1142</v>
      </c>
      <c r="C157" s="411">
        <f>'Inputs and eligible population'!M$117</f>
        <v>0</v>
      </c>
      <c r="D157" s="131">
        <f t="shared" si="73"/>
        <v>0</v>
      </c>
      <c r="E157" s="131">
        <f t="shared" si="73"/>
        <v>0</v>
      </c>
      <c r="F157" s="131">
        <f t="shared" si="73"/>
        <v>0</v>
      </c>
      <c r="G157" s="131">
        <f t="shared" si="73"/>
        <v>0</v>
      </c>
      <c r="H157" s="131">
        <f t="shared" si="73"/>
        <v>0</v>
      </c>
      <c r="I157" s="131">
        <f t="shared" si="73"/>
        <v>0</v>
      </c>
      <c r="J157" s="399"/>
      <c r="K157" s="406">
        <f>(D157*'Inputs and eligible population'!$Q$119)/1000</f>
        <v>0</v>
      </c>
      <c r="L157" s="406">
        <f>(E157*'Inputs and eligible population'!$Q$119)/1000</f>
        <v>0</v>
      </c>
      <c r="M157" s="406">
        <f>(F157*'Inputs and eligible population'!$Q$119)/1000</f>
        <v>0</v>
      </c>
      <c r="N157" s="406">
        <f>(G157*'Inputs and eligible population'!$Q$119)/1000</f>
        <v>0</v>
      </c>
      <c r="O157" s="406">
        <f>(H157*'Inputs and eligible population'!$Q$119)/1000</f>
        <v>0</v>
      </c>
      <c r="P157" s="406">
        <f>(I157*'Inputs and eligible population'!$Q$119)/1000</f>
        <v>0</v>
      </c>
      <c r="U157" s="260"/>
    </row>
    <row r="158" spans="1:21" x14ac:dyDescent="0.25">
      <c r="A158" s="399"/>
      <c r="B158" s="394"/>
      <c r="C158" s="327"/>
      <c r="D158" s="313">
        <f t="shared" ref="D158:I158" si="74">SUM(D150:D157)</f>
        <v>0</v>
      </c>
      <c r="E158" s="313">
        <f t="shared" si="74"/>
        <v>0</v>
      </c>
      <c r="F158" s="313">
        <f t="shared" si="74"/>
        <v>0</v>
      </c>
      <c r="G158" s="313">
        <f t="shared" si="74"/>
        <v>0</v>
      </c>
      <c r="H158" s="313">
        <f t="shared" si="74"/>
        <v>0</v>
      </c>
      <c r="I158" s="313">
        <f t="shared" si="74"/>
        <v>0</v>
      </c>
      <c r="J158" s="399"/>
      <c r="K158" s="1112">
        <f>SUM(K150:K157)</f>
        <v>0</v>
      </c>
      <c r="L158" s="1112">
        <f t="shared" ref="L158" si="75">SUM(L150:L157)</f>
        <v>0</v>
      </c>
      <c r="M158" s="1112">
        <f t="shared" ref="M158" si="76">SUM(M150:M157)</f>
        <v>0</v>
      </c>
      <c r="N158" s="1112">
        <f t="shared" ref="N158" si="77">SUM(N150:N157)</f>
        <v>0</v>
      </c>
      <c r="O158" s="1112">
        <f t="shared" ref="O158" si="78">SUM(O150:O157)</f>
        <v>0</v>
      </c>
      <c r="P158" s="1112">
        <f t="shared" ref="P158" si="79">SUM(P150:P157)</f>
        <v>0</v>
      </c>
      <c r="U158" s="260"/>
    </row>
    <row r="159" spans="1:21" x14ac:dyDescent="0.25">
      <c r="A159" s="399"/>
      <c r="B159" s="425"/>
      <c r="C159" s="342"/>
      <c r="D159" s="395" t="s">
        <v>171</v>
      </c>
      <c r="E159" s="313">
        <f>E158-$D$158</f>
        <v>0</v>
      </c>
      <c r="F159" s="313">
        <f>F158-$D$158</f>
        <v>0</v>
      </c>
      <c r="G159" s="313">
        <f>G158-$D$158</f>
        <v>0</v>
      </c>
      <c r="H159" s="313">
        <f>H158-$D$158</f>
        <v>0</v>
      </c>
      <c r="I159" s="313">
        <f>I158-$D$158</f>
        <v>0</v>
      </c>
      <c r="J159" s="399"/>
      <c r="K159" s="633"/>
      <c r="L159" s="1112">
        <f>L158-$K$158</f>
        <v>0</v>
      </c>
      <c r="M159" s="1112">
        <f t="shared" ref="M159:P159" si="80">M158-$K$158</f>
        <v>0</v>
      </c>
      <c r="N159" s="1112">
        <f t="shared" si="80"/>
        <v>0</v>
      </c>
      <c r="O159" s="1112">
        <f t="shared" si="80"/>
        <v>0</v>
      </c>
      <c r="P159" s="1112">
        <f t="shared" si="80"/>
        <v>0</v>
      </c>
      <c r="U159" s="260"/>
    </row>
    <row r="160" spans="1:21" x14ac:dyDescent="0.25">
      <c r="A160" s="399"/>
      <c r="B160" s="450"/>
      <c r="C160" s="561"/>
      <c r="D160" s="338"/>
      <c r="E160" s="338"/>
      <c r="F160" s="338"/>
      <c r="G160" s="338"/>
      <c r="H160" s="432"/>
      <c r="I160" s="432"/>
      <c r="J160" s="399"/>
      <c r="K160" s="338"/>
      <c r="L160" s="338"/>
      <c r="M160" s="399"/>
      <c r="N160" s="338"/>
      <c r="O160" s="338"/>
      <c r="P160" s="338"/>
      <c r="U160" s="260"/>
    </row>
    <row r="161" spans="1:39" x14ac:dyDescent="0.25">
      <c r="A161" s="399"/>
      <c r="B161" s="560" t="s">
        <v>1296</v>
      </c>
      <c r="C161" s="561"/>
      <c r="D161" s="561"/>
      <c r="E161" s="561"/>
      <c r="F161" s="561"/>
      <c r="G161" s="561"/>
      <c r="H161" s="561"/>
      <c r="I161" s="337"/>
      <c r="J161" s="399"/>
      <c r="K161" s="399"/>
      <c r="L161" s="399"/>
      <c r="M161" s="399"/>
      <c r="N161" s="399"/>
      <c r="O161" s="399"/>
      <c r="P161" s="399"/>
      <c r="U161" s="260"/>
    </row>
    <row r="162" spans="1:39" ht="60" x14ac:dyDescent="0.25">
      <c r="A162" s="399"/>
      <c r="B162" s="390" t="s">
        <v>111</v>
      </c>
      <c r="C162" s="291" t="s">
        <v>1296</v>
      </c>
      <c r="D162" s="629" t="s">
        <v>792</v>
      </c>
      <c r="E162" s="376" t="s">
        <v>56</v>
      </c>
      <c r="F162" s="376" t="s">
        <v>57</v>
      </c>
      <c r="G162" s="290" t="s">
        <v>793</v>
      </c>
      <c r="H162" s="290" t="s">
        <v>794</v>
      </c>
      <c r="I162" s="376" t="s">
        <v>795</v>
      </c>
      <c r="J162" s="399"/>
      <c r="K162" s="629" t="s">
        <v>1248</v>
      </c>
      <c r="L162" s="1114" t="s">
        <v>1249</v>
      </c>
      <c r="M162" s="1114" t="s">
        <v>1250</v>
      </c>
      <c r="N162" s="631" t="s">
        <v>1251</v>
      </c>
      <c r="O162" s="631" t="s">
        <v>1252</v>
      </c>
      <c r="P162" s="1114" t="s">
        <v>1253</v>
      </c>
      <c r="U162" s="260"/>
    </row>
    <row r="163" spans="1:39" x14ac:dyDescent="0.25">
      <c r="A163" s="399"/>
      <c r="B163" s="496" t="s">
        <v>1135</v>
      </c>
      <c r="C163" s="131">
        <f>'Inputs and eligible population'!F$120</f>
        <v>6</v>
      </c>
      <c r="D163" s="131">
        <f t="shared" ref="D163:I170" si="81">$C163*D57</f>
        <v>0</v>
      </c>
      <c r="E163" s="131">
        <f t="shared" si="81"/>
        <v>0</v>
      </c>
      <c r="F163" s="131">
        <f t="shared" si="81"/>
        <v>0</v>
      </c>
      <c r="G163" s="131">
        <f t="shared" si="81"/>
        <v>0</v>
      </c>
      <c r="H163" s="131">
        <f t="shared" si="81"/>
        <v>0</v>
      </c>
      <c r="I163" s="131">
        <f t="shared" si="81"/>
        <v>0</v>
      </c>
      <c r="J163" s="399"/>
      <c r="K163" s="406">
        <f>(D163*'Inputs and eligible population'!$Q$120)/1000</f>
        <v>0</v>
      </c>
      <c r="L163" s="406">
        <f>(E163*'Inputs and eligible population'!$Q$120)/1000</f>
        <v>0</v>
      </c>
      <c r="M163" s="406">
        <f>(F163*'Inputs and eligible population'!$Q$120)/1000</f>
        <v>0</v>
      </c>
      <c r="N163" s="406">
        <f>(G163*'Inputs and eligible population'!$Q$120)/1000</f>
        <v>0</v>
      </c>
      <c r="O163" s="406">
        <f>(H163*'Inputs and eligible population'!$Q$120)/1000</f>
        <v>0</v>
      </c>
      <c r="P163" s="406">
        <f>(I163*'Inputs and eligible population'!$Q$120)/1000</f>
        <v>0</v>
      </c>
      <c r="U163" s="260"/>
    </row>
    <row r="164" spans="1:39" x14ac:dyDescent="0.25">
      <c r="A164" s="399"/>
      <c r="B164" s="496" t="s">
        <v>1136</v>
      </c>
      <c r="C164" s="131">
        <f>'Inputs and eligible population'!G$120</f>
        <v>4</v>
      </c>
      <c r="D164" s="131">
        <f t="shared" si="81"/>
        <v>0</v>
      </c>
      <c r="E164" s="131">
        <f t="shared" si="81"/>
        <v>0</v>
      </c>
      <c r="F164" s="131">
        <f t="shared" si="81"/>
        <v>0</v>
      </c>
      <c r="G164" s="131">
        <f t="shared" si="81"/>
        <v>0</v>
      </c>
      <c r="H164" s="131">
        <f t="shared" si="81"/>
        <v>0</v>
      </c>
      <c r="I164" s="131">
        <f t="shared" si="81"/>
        <v>0</v>
      </c>
      <c r="J164" s="399"/>
      <c r="K164" s="406">
        <f>(D164*'Inputs and eligible population'!$Q$120)/1000</f>
        <v>0</v>
      </c>
      <c r="L164" s="406">
        <f>(E164*'Inputs and eligible population'!$Q$120)/1000</f>
        <v>0</v>
      </c>
      <c r="M164" s="406">
        <f>(F164*'Inputs and eligible population'!$Q$120)/1000</f>
        <v>0</v>
      </c>
      <c r="N164" s="406">
        <f>(G164*'Inputs and eligible population'!$Q$120)/1000</f>
        <v>0</v>
      </c>
      <c r="O164" s="406">
        <f>(H164*'Inputs and eligible population'!$Q$120)/1000</f>
        <v>0</v>
      </c>
      <c r="P164" s="406">
        <f>(I164*'Inputs and eligible population'!$Q$120)/1000</f>
        <v>0</v>
      </c>
      <c r="U164" s="260"/>
    </row>
    <row r="165" spans="1:39" x14ac:dyDescent="0.25">
      <c r="A165" s="399"/>
      <c r="B165" s="496" t="s">
        <v>1137</v>
      </c>
      <c r="C165" s="131">
        <f>'Inputs and eligible population'!H$120</f>
        <v>8</v>
      </c>
      <c r="D165" s="131">
        <f t="shared" si="81"/>
        <v>0</v>
      </c>
      <c r="E165" s="131">
        <f t="shared" si="81"/>
        <v>0</v>
      </c>
      <c r="F165" s="131">
        <f t="shared" si="81"/>
        <v>0</v>
      </c>
      <c r="G165" s="131">
        <f t="shared" si="81"/>
        <v>0</v>
      </c>
      <c r="H165" s="131">
        <f t="shared" si="81"/>
        <v>0</v>
      </c>
      <c r="I165" s="131">
        <f t="shared" si="81"/>
        <v>0</v>
      </c>
      <c r="J165" s="399"/>
      <c r="K165" s="406">
        <f>(D165*'Inputs and eligible population'!$Q$120)/1000</f>
        <v>0</v>
      </c>
      <c r="L165" s="406">
        <f>(E165*'Inputs and eligible population'!$Q$120)/1000</f>
        <v>0</v>
      </c>
      <c r="M165" s="406">
        <f>(F165*'Inputs and eligible population'!$Q$120)/1000</f>
        <v>0</v>
      </c>
      <c r="N165" s="406">
        <f>(G165*'Inputs and eligible population'!$Q$120)/1000</f>
        <v>0</v>
      </c>
      <c r="O165" s="406">
        <f>(H165*'Inputs and eligible population'!$Q$120)/1000</f>
        <v>0</v>
      </c>
      <c r="P165" s="406">
        <f>(I165*'Inputs and eligible population'!$Q$120)/1000</f>
        <v>0</v>
      </c>
      <c r="U165" s="260"/>
    </row>
    <row r="166" spans="1:39" x14ac:dyDescent="0.25">
      <c r="A166" s="399"/>
      <c r="B166" s="496" t="s">
        <v>1138</v>
      </c>
      <c r="C166" s="131">
        <f>'Inputs and eligible population'!I$120</f>
        <v>6</v>
      </c>
      <c r="D166" s="131">
        <f t="shared" si="81"/>
        <v>0</v>
      </c>
      <c r="E166" s="131">
        <f t="shared" si="81"/>
        <v>0</v>
      </c>
      <c r="F166" s="131">
        <f t="shared" si="81"/>
        <v>0</v>
      </c>
      <c r="G166" s="131">
        <f t="shared" si="81"/>
        <v>0</v>
      </c>
      <c r="H166" s="131">
        <f t="shared" si="81"/>
        <v>0</v>
      </c>
      <c r="I166" s="131">
        <f t="shared" si="81"/>
        <v>0</v>
      </c>
      <c r="J166" s="399"/>
      <c r="K166" s="406">
        <f>(D166*'Inputs and eligible population'!$Q$120)/1000</f>
        <v>0</v>
      </c>
      <c r="L166" s="406">
        <f>(E166*'Inputs and eligible population'!$Q$120)/1000</f>
        <v>0</v>
      </c>
      <c r="M166" s="406">
        <f>(F166*'Inputs and eligible population'!$Q$120)/1000</f>
        <v>0</v>
      </c>
      <c r="N166" s="406">
        <f>(G166*'Inputs and eligible population'!$Q$120)/1000</f>
        <v>0</v>
      </c>
      <c r="O166" s="406">
        <f>(H166*'Inputs and eligible population'!$Q$120)/1000</f>
        <v>0</v>
      </c>
      <c r="P166" s="406">
        <f>(I166*'Inputs and eligible population'!$Q$120)/1000</f>
        <v>0</v>
      </c>
      <c r="U166" s="260"/>
    </row>
    <row r="167" spans="1:39" x14ac:dyDescent="0.25">
      <c r="A167" s="399"/>
      <c r="B167" s="496" t="s">
        <v>1139</v>
      </c>
      <c r="C167" s="131">
        <f>'Inputs and eligible population'!J$120</f>
        <v>6</v>
      </c>
      <c r="D167" s="131">
        <f t="shared" si="81"/>
        <v>0</v>
      </c>
      <c r="E167" s="131">
        <f t="shared" si="81"/>
        <v>0</v>
      </c>
      <c r="F167" s="131">
        <f t="shared" si="81"/>
        <v>0</v>
      </c>
      <c r="G167" s="131">
        <f t="shared" si="81"/>
        <v>0</v>
      </c>
      <c r="H167" s="131">
        <f t="shared" si="81"/>
        <v>0</v>
      </c>
      <c r="I167" s="131">
        <f t="shared" si="81"/>
        <v>0</v>
      </c>
      <c r="J167" s="399"/>
      <c r="K167" s="406">
        <f>(D167*'Inputs and eligible population'!$Q$120)/1000</f>
        <v>0</v>
      </c>
      <c r="L167" s="406">
        <f>(E167*'Inputs and eligible population'!$Q$120)/1000</f>
        <v>0</v>
      </c>
      <c r="M167" s="406">
        <f>(F167*'Inputs and eligible population'!$Q$120)/1000</f>
        <v>0</v>
      </c>
      <c r="N167" s="406">
        <f>(G167*'Inputs and eligible population'!$Q$120)/1000</f>
        <v>0</v>
      </c>
      <c r="O167" s="406">
        <f>(H167*'Inputs and eligible population'!$Q$120)/1000</f>
        <v>0</v>
      </c>
      <c r="P167" s="406">
        <f>(I167*'Inputs and eligible population'!$Q$120)/1000</f>
        <v>0</v>
      </c>
      <c r="U167" s="260"/>
    </row>
    <row r="168" spans="1:39" x14ac:dyDescent="0.25">
      <c r="A168" s="399"/>
      <c r="B168" s="496" t="s">
        <v>1140</v>
      </c>
      <c r="C168" s="131">
        <f>'Inputs and eligible population'!K$120</f>
        <v>8</v>
      </c>
      <c r="D168" s="131">
        <f t="shared" si="81"/>
        <v>0</v>
      </c>
      <c r="E168" s="131">
        <f t="shared" si="81"/>
        <v>0</v>
      </c>
      <c r="F168" s="131">
        <f t="shared" si="81"/>
        <v>0</v>
      </c>
      <c r="G168" s="131">
        <f t="shared" si="81"/>
        <v>0</v>
      </c>
      <c r="H168" s="131">
        <f t="shared" si="81"/>
        <v>0</v>
      </c>
      <c r="I168" s="131">
        <f t="shared" si="81"/>
        <v>0</v>
      </c>
      <c r="J168" s="399"/>
      <c r="K168" s="406">
        <f>(D168*'Inputs and eligible population'!$Q$120)/1000</f>
        <v>0</v>
      </c>
      <c r="L168" s="406">
        <f>(E168*'Inputs and eligible population'!$Q$120)/1000</f>
        <v>0</v>
      </c>
      <c r="M168" s="406">
        <f>(F168*'Inputs and eligible population'!$Q$120)/1000</f>
        <v>0</v>
      </c>
      <c r="N168" s="406">
        <f>(G168*'Inputs and eligible population'!$Q$120)/1000</f>
        <v>0</v>
      </c>
      <c r="O168" s="406">
        <f>(H168*'Inputs and eligible population'!$Q$120)/1000</f>
        <v>0</v>
      </c>
      <c r="P168" s="406">
        <f>(I168*'Inputs and eligible population'!$Q$120)/1000</f>
        <v>0</v>
      </c>
      <c r="U168" s="260"/>
    </row>
    <row r="169" spans="1:39" x14ac:dyDescent="0.25">
      <c r="A169" s="399"/>
      <c r="B169" s="496" t="s">
        <v>1141</v>
      </c>
      <c r="C169" s="131">
        <f>'Inputs and eligible population'!L$120</f>
        <v>12</v>
      </c>
      <c r="D169" s="131">
        <f t="shared" si="81"/>
        <v>0</v>
      </c>
      <c r="E169" s="131">
        <f t="shared" si="81"/>
        <v>0</v>
      </c>
      <c r="F169" s="131">
        <f t="shared" si="81"/>
        <v>0</v>
      </c>
      <c r="G169" s="131">
        <f t="shared" si="81"/>
        <v>0</v>
      </c>
      <c r="H169" s="131">
        <f t="shared" si="81"/>
        <v>0</v>
      </c>
      <c r="I169" s="131">
        <f t="shared" si="81"/>
        <v>0</v>
      </c>
      <c r="J169" s="399"/>
      <c r="K169" s="406">
        <f>(D169*'Inputs and eligible population'!$Q$120)/1000</f>
        <v>0</v>
      </c>
      <c r="L169" s="406">
        <f>(E169*'Inputs and eligible population'!$Q$120)/1000</f>
        <v>0</v>
      </c>
      <c r="M169" s="406">
        <f>(F169*'Inputs and eligible population'!$Q$120)/1000</f>
        <v>0</v>
      </c>
      <c r="N169" s="406">
        <f>(G169*'Inputs and eligible population'!$Q$120)/1000</f>
        <v>0</v>
      </c>
      <c r="O169" s="406">
        <f>(H169*'Inputs and eligible population'!$Q$120)/1000</f>
        <v>0</v>
      </c>
      <c r="P169" s="406">
        <f>(I169*'Inputs and eligible population'!$Q$120)/1000</f>
        <v>0</v>
      </c>
      <c r="U169" s="260"/>
    </row>
    <row r="170" spans="1:39" x14ac:dyDescent="0.25">
      <c r="A170" s="399"/>
      <c r="B170" s="496" t="s">
        <v>1142</v>
      </c>
      <c r="C170" s="131">
        <f>'Inputs and eligible population'!M$120</f>
        <v>4</v>
      </c>
      <c r="D170" s="131">
        <f t="shared" si="81"/>
        <v>0</v>
      </c>
      <c r="E170" s="131">
        <f t="shared" si="81"/>
        <v>0</v>
      </c>
      <c r="F170" s="131">
        <f t="shared" si="81"/>
        <v>0</v>
      </c>
      <c r="G170" s="131">
        <f t="shared" si="81"/>
        <v>0</v>
      </c>
      <c r="H170" s="131">
        <f t="shared" si="81"/>
        <v>0</v>
      </c>
      <c r="I170" s="131">
        <f t="shared" si="81"/>
        <v>0</v>
      </c>
      <c r="J170" s="399"/>
      <c r="K170" s="406">
        <f>(D170*'Inputs and eligible population'!$Q$120)/1000</f>
        <v>0</v>
      </c>
      <c r="L170" s="406">
        <f>(E170*'Inputs and eligible population'!$Q$120)/1000</f>
        <v>0</v>
      </c>
      <c r="M170" s="406">
        <f>(F170*'Inputs and eligible population'!$Q$120)/1000</f>
        <v>0</v>
      </c>
      <c r="N170" s="406">
        <f>(G170*'Inputs and eligible population'!$Q$120)/1000</f>
        <v>0</v>
      </c>
      <c r="O170" s="406">
        <f>(H170*'Inputs and eligible population'!$Q$120)/1000</f>
        <v>0</v>
      </c>
      <c r="P170" s="406">
        <f>(I170*'Inputs and eligible population'!$Q$120)/1000</f>
        <v>0</v>
      </c>
      <c r="U170" s="260"/>
    </row>
    <row r="171" spans="1:39" x14ac:dyDescent="0.25">
      <c r="A171" s="399"/>
      <c r="B171" s="394"/>
      <c r="C171" s="327"/>
      <c r="D171" s="313">
        <f t="shared" ref="D171:I171" si="82">SUM(D163:D170)</f>
        <v>0</v>
      </c>
      <c r="E171" s="313">
        <f t="shared" si="82"/>
        <v>0</v>
      </c>
      <c r="F171" s="313">
        <f t="shared" si="82"/>
        <v>0</v>
      </c>
      <c r="G171" s="313">
        <f t="shared" si="82"/>
        <v>0</v>
      </c>
      <c r="H171" s="313">
        <f t="shared" si="82"/>
        <v>0</v>
      </c>
      <c r="I171" s="313">
        <f t="shared" si="82"/>
        <v>0</v>
      </c>
      <c r="J171" s="399"/>
      <c r="K171" s="407">
        <f>SUM(K163:K170)</f>
        <v>0</v>
      </c>
      <c r="L171" s="407">
        <f t="shared" ref="L171" si="83">SUM(L163:L170)</f>
        <v>0</v>
      </c>
      <c r="M171" s="407">
        <f t="shared" ref="M171" si="84">SUM(M163:M170)</f>
        <v>0</v>
      </c>
      <c r="N171" s="407">
        <f t="shared" ref="N171" si="85">SUM(N163:N170)</f>
        <v>0</v>
      </c>
      <c r="O171" s="407">
        <f t="shared" ref="O171" si="86">SUM(O163:O170)</f>
        <v>0</v>
      </c>
      <c r="P171" s="407">
        <f t="shared" ref="P171" si="87">SUM(P163:P170)</f>
        <v>0</v>
      </c>
      <c r="U171" s="260"/>
    </row>
    <row r="172" spans="1:39" x14ac:dyDescent="0.25">
      <c r="A172" s="399"/>
      <c r="B172" s="425"/>
      <c r="C172" s="342"/>
      <c r="D172" s="395" t="s">
        <v>172</v>
      </c>
      <c r="E172" s="313">
        <f>E171-$D$171</f>
        <v>0</v>
      </c>
      <c r="F172" s="313">
        <f>F171-$D$171</f>
        <v>0</v>
      </c>
      <c r="G172" s="313">
        <f>G171-$D$171</f>
        <v>0</v>
      </c>
      <c r="H172" s="313">
        <f>H171-$D$171</f>
        <v>0</v>
      </c>
      <c r="I172" s="313">
        <f>I171-$D$171</f>
        <v>0</v>
      </c>
      <c r="J172" s="399"/>
      <c r="K172" s="633"/>
      <c r="L172" s="407">
        <f>L171-$K$171</f>
        <v>0</v>
      </c>
      <c r="M172" s="407">
        <f t="shared" ref="M172:P172" si="88">M171-$K$171</f>
        <v>0</v>
      </c>
      <c r="N172" s="407">
        <f t="shared" si="88"/>
        <v>0</v>
      </c>
      <c r="O172" s="407">
        <f t="shared" si="88"/>
        <v>0</v>
      </c>
      <c r="P172" s="407">
        <f t="shared" si="88"/>
        <v>0</v>
      </c>
      <c r="U172" s="260"/>
    </row>
    <row r="173" spans="1:39" x14ac:dyDescent="0.25">
      <c r="A173" s="399"/>
      <c r="B173" s="450"/>
      <c r="C173" s="561"/>
      <c r="D173" s="338"/>
      <c r="E173" s="338"/>
      <c r="F173" s="338"/>
      <c r="G173" s="338"/>
      <c r="H173" s="338"/>
      <c r="I173" s="338"/>
      <c r="J173" s="338"/>
      <c r="K173" s="338"/>
      <c r="L173" s="338"/>
      <c r="M173" s="338"/>
      <c r="N173" s="338"/>
      <c r="O173" s="338"/>
      <c r="P173" s="338"/>
      <c r="Q173" s="260"/>
      <c r="R173" s="260"/>
      <c r="S173" s="260"/>
      <c r="T173" s="260"/>
      <c r="U173" s="260"/>
      <c r="V173" s="260"/>
      <c r="W173" s="260"/>
      <c r="X173" s="260"/>
      <c r="Y173" s="260"/>
      <c r="AI173" s="396"/>
      <c r="AJ173" s="396"/>
      <c r="AK173" s="396"/>
      <c r="AL173" s="396"/>
      <c r="AM173" s="396"/>
    </row>
    <row r="174" spans="1:39" x14ac:dyDescent="0.25">
      <c r="A174" s="398"/>
      <c r="B174" s="447" t="s">
        <v>820</v>
      </c>
      <c r="C174" s="426"/>
      <c r="D174" s="426"/>
      <c r="E174" s="427"/>
      <c r="F174" s="428"/>
      <c r="G174" s="428"/>
      <c r="H174" s="428"/>
      <c r="I174" s="552"/>
      <c r="J174" s="398"/>
      <c r="K174" s="398"/>
      <c r="L174" s="398"/>
      <c r="M174" s="398"/>
      <c r="N174" s="398"/>
      <c r="O174" s="398"/>
      <c r="P174" s="336"/>
      <c r="Q174" s="260"/>
      <c r="R174" s="260"/>
      <c r="S174" s="260"/>
      <c r="T174" s="260"/>
      <c r="U174" s="260"/>
      <c r="V174" s="260"/>
      <c r="W174" s="260"/>
      <c r="X174" s="260"/>
      <c r="Y174" s="260"/>
      <c r="AI174" s="396"/>
      <c r="AJ174" s="396"/>
      <c r="AK174" s="396"/>
      <c r="AL174" s="396"/>
      <c r="AM174" s="396"/>
    </row>
    <row r="175" spans="1:39" x14ac:dyDescent="0.25">
      <c r="A175" s="398"/>
      <c r="B175" s="562" t="s">
        <v>85</v>
      </c>
      <c r="C175" s="563"/>
      <c r="D175" s="563"/>
      <c r="E175" s="563"/>
      <c r="F175" s="563"/>
      <c r="G175" s="563"/>
      <c r="H175" s="563"/>
      <c r="I175" s="335"/>
      <c r="J175" s="336"/>
      <c r="K175" s="336"/>
      <c r="L175" s="336"/>
      <c r="M175" s="336"/>
      <c r="N175" s="336"/>
      <c r="O175" s="336"/>
      <c r="P175" s="336"/>
      <c r="Q175" s="260"/>
      <c r="R175" s="260"/>
      <c r="S175" s="260"/>
      <c r="T175" s="260"/>
      <c r="U175" s="260"/>
      <c r="V175" s="260"/>
      <c r="W175" s="260"/>
      <c r="X175" s="260"/>
      <c r="Y175" s="260"/>
      <c r="AI175" s="396"/>
      <c r="AJ175" s="396"/>
      <c r="AK175" s="396"/>
      <c r="AL175" s="396"/>
      <c r="AM175" s="396"/>
    </row>
    <row r="176" spans="1:39" ht="45" x14ac:dyDescent="0.25">
      <c r="A176" s="398"/>
      <c r="B176" s="390" t="s">
        <v>111</v>
      </c>
      <c r="C176" s="291" t="s">
        <v>85</v>
      </c>
      <c r="D176" s="629" t="s">
        <v>792</v>
      </c>
      <c r="E176" s="376" t="s">
        <v>56</v>
      </c>
      <c r="F176" s="376" t="s">
        <v>57</v>
      </c>
      <c r="G176" s="290" t="s">
        <v>793</v>
      </c>
      <c r="H176" s="290" t="s">
        <v>794</v>
      </c>
      <c r="I176" s="376" t="s">
        <v>795</v>
      </c>
      <c r="J176" s="398"/>
      <c r="K176" s="1199"/>
      <c r="L176" s="1200"/>
      <c r="M176" s="1200"/>
      <c r="N176" s="1200"/>
      <c r="O176" s="1200"/>
      <c r="P176" s="1200"/>
      <c r="Q176" s="260"/>
      <c r="R176" s="260"/>
      <c r="S176" s="260"/>
      <c r="T176" s="260"/>
      <c r="U176" s="260"/>
      <c r="V176" s="260"/>
      <c r="W176" s="260"/>
      <c r="X176" s="260"/>
      <c r="Y176" s="260"/>
      <c r="AI176" s="396"/>
      <c r="AJ176" s="396"/>
      <c r="AK176" s="396"/>
      <c r="AL176" s="396"/>
      <c r="AM176" s="396"/>
    </row>
    <row r="177" spans="1:39" x14ac:dyDescent="0.25">
      <c r="A177" s="398"/>
      <c r="B177" s="496" t="s">
        <v>1135</v>
      </c>
      <c r="C177" s="131">
        <f>'Inputs and eligible population'!F$121</f>
        <v>6</v>
      </c>
      <c r="D177" s="131">
        <f>$C177*'Financial impact (cash)'!D30</f>
        <v>0</v>
      </c>
      <c r="E177" s="131">
        <f>$C177*'Financial impact (cash)'!E30</f>
        <v>0</v>
      </c>
      <c r="F177" s="131">
        <f>$C177*'Financial impact (cash)'!F30</f>
        <v>0</v>
      </c>
      <c r="G177" s="131">
        <f>$C177*'Financial impact (cash)'!G30</f>
        <v>0</v>
      </c>
      <c r="H177" s="131">
        <f>$C177*'Financial impact (cash)'!H30</f>
        <v>0</v>
      </c>
      <c r="I177" s="131">
        <f>$C177*'Financial impact (cash)'!I30</f>
        <v>0</v>
      </c>
      <c r="J177" s="398"/>
      <c r="K177" s="486"/>
      <c r="L177" s="486"/>
      <c r="M177" s="486"/>
      <c r="N177" s="486"/>
      <c r="O177" s="486"/>
      <c r="P177" s="486"/>
      <c r="Q177" s="260"/>
      <c r="R177" s="260"/>
      <c r="S177" s="260"/>
      <c r="T177" s="260"/>
      <c r="U177" s="260"/>
      <c r="V177" s="260"/>
      <c r="W177" s="260"/>
      <c r="X177" s="260"/>
      <c r="Y177" s="260"/>
      <c r="AI177" s="396"/>
      <c r="AJ177" s="396"/>
      <c r="AK177" s="396"/>
      <c r="AL177" s="396"/>
      <c r="AM177" s="396"/>
    </row>
    <row r="178" spans="1:39" x14ac:dyDescent="0.25">
      <c r="A178" s="398"/>
      <c r="B178" s="496" t="s">
        <v>1136</v>
      </c>
      <c r="C178" s="131">
        <f>'Inputs and eligible population'!G$121</f>
        <v>4</v>
      </c>
      <c r="D178" s="131">
        <f>$C178*'Financial impact (cash)'!D31</f>
        <v>0</v>
      </c>
      <c r="E178" s="131">
        <f>$C178*'Financial impact (cash)'!E31</f>
        <v>0</v>
      </c>
      <c r="F178" s="131">
        <f>$C178*'Financial impact (cash)'!F31</f>
        <v>0</v>
      </c>
      <c r="G178" s="131">
        <f>$C178*'Financial impact (cash)'!G31</f>
        <v>0</v>
      </c>
      <c r="H178" s="131">
        <f>$C178*'Financial impact (cash)'!H31</f>
        <v>0</v>
      </c>
      <c r="I178" s="131">
        <f>$C178*'Financial impact (cash)'!I31</f>
        <v>0</v>
      </c>
      <c r="J178" s="398"/>
      <c r="K178" s="486"/>
      <c r="L178" s="486"/>
      <c r="M178" s="486"/>
      <c r="N178" s="486"/>
      <c r="O178" s="486"/>
      <c r="P178" s="486"/>
      <c r="Q178" s="260"/>
      <c r="R178" s="260"/>
      <c r="S178" s="260"/>
      <c r="T178" s="260"/>
      <c r="U178" s="260"/>
      <c r="V178" s="260"/>
      <c r="W178" s="260"/>
      <c r="X178" s="260"/>
      <c r="Y178" s="260"/>
      <c r="AI178" s="396"/>
      <c r="AJ178" s="396"/>
      <c r="AK178" s="396"/>
      <c r="AL178" s="396"/>
      <c r="AM178" s="396"/>
    </row>
    <row r="179" spans="1:39" x14ac:dyDescent="0.25">
      <c r="A179" s="398"/>
      <c r="B179" s="496" t="s">
        <v>1137</v>
      </c>
      <c r="C179" s="131">
        <f>'Inputs and eligible population'!H$121</f>
        <v>8</v>
      </c>
      <c r="D179" s="131">
        <f>$C179*'Financial impact (cash)'!D32</f>
        <v>0</v>
      </c>
      <c r="E179" s="131">
        <f>$C179*'Financial impact (cash)'!E32</f>
        <v>0</v>
      </c>
      <c r="F179" s="131">
        <f>$C179*'Financial impact (cash)'!F32</f>
        <v>0</v>
      </c>
      <c r="G179" s="131">
        <f>$C179*'Financial impact (cash)'!G32</f>
        <v>0</v>
      </c>
      <c r="H179" s="131">
        <f>$C179*'Financial impact (cash)'!H32</f>
        <v>0</v>
      </c>
      <c r="I179" s="131">
        <f>$C179*'Financial impact (cash)'!I32</f>
        <v>0</v>
      </c>
      <c r="J179" s="398"/>
      <c r="K179" s="486"/>
      <c r="L179" s="486"/>
      <c r="M179" s="486"/>
      <c r="N179" s="486"/>
      <c r="O179" s="486"/>
      <c r="P179" s="486"/>
      <c r="Q179" s="260"/>
      <c r="R179" s="260"/>
      <c r="S179" s="260"/>
      <c r="T179" s="260"/>
      <c r="U179" s="260"/>
      <c r="V179" s="260"/>
      <c r="W179" s="260"/>
      <c r="X179" s="260"/>
      <c r="Y179" s="260"/>
      <c r="AI179" s="396"/>
      <c r="AJ179" s="396"/>
      <c r="AK179" s="396"/>
      <c r="AL179" s="396"/>
      <c r="AM179" s="396"/>
    </row>
    <row r="180" spans="1:39" x14ac:dyDescent="0.25">
      <c r="A180" s="398"/>
      <c r="B180" s="496" t="s">
        <v>1138</v>
      </c>
      <c r="C180" s="131">
        <f>'Inputs and eligible population'!I$121</f>
        <v>6</v>
      </c>
      <c r="D180" s="131">
        <f>$C180*'Financial impact (cash)'!D33</f>
        <v>0</v>
      </c>
      <c r="E180" s="131">
        <f>$C180*'Financial impact (cash)'!E33</f>
        <v>0</v>
      </c>
      <c r="F180" s="131">
        <f>$C180*'Financial impact (cash)'!F33</f>
        <v>0</v>
      </c>
      <c r="G180" s="131">
        <f>$C180*'Financial impact (cash)'!G33</f>
        <v>0</v>
      </c>
      <c r="H180" s="131">
        <f>$C180*'Financial impact (cash)'!H33</f>
        <v>0</v>
      </c>
      <c r="I180" s="131">
        <f>$C180*'Financial impact (cash)'!I33</f>
        <v>0</v>
      </c>
      <c r="J180" s="398"/>
      <c r="K180" s="486"/>
      <c r="L180" s="486"/>
      <c r="M180" s="486"/>
      <c r="N180" s="486"/>
      <c r="O180" s="486"/>
      <c r="P180" s="486"/>
      <c r="Q180" s="260"/>
      <c r="R180" s="260"/>
      <c r="S180" s="260"/>
      <c r="T180" s="260"/>
      <c r="U180" s="260"/>
      <c r="V180" s="260"/>
      <c r="W180" s="260"/>
      <c r="X180" s="260"/>
      <c r="Y180" s="260"/>
      <c r="AI180" s="396"/>
      <c r="AJ180" s="396"/>
      <c r="AK180" s="396"/>
      <c r="AL180" s="396"/>
      <c r="AM180" s="396"/>
    </row>
    <row r="181" spans="1:39" x14ac:dyDescent="0.25">
      <c r="A181" s="398"/>
      <c r="B181" s="496" t="s">
        <v>1139</v>
      </c>
      <c r="C181" s="131">
        <f>'Inputs and eligible population'!J$121</f>
        <v>6</v>
      </c>
      <c r="D181" s="131">
        <f>$C181*'Financial impact (cash)'!D34</f>
        <v>0</v>
      </c>
      <c r="E181" s="131">
        <f>$C181*'Financial impact (cash)'!E34</f>
        <v>0</v>
      </c>
      <c r="F181" s="131">
        <f>$C181*'Financial impact (cash)'!F34</f>
        <v>0</v>
      </c>
      <c r="G181" s="131">
        <f>$C181*'Financial impact (cash)'!G34</f>
        <v>0</v>
      </c>
      <c r="H181" s="131">
        <f>$C181*'Financial impact (cash)'!H34</f>
        <v>0</v>
      </c>
      <c r="I181" s="131">
        <f>$C181*'Financial impact (cash)'!I34</f>
        <v>0</v>
      </c>
      <c r="J181" s="398"/>
      <c r="K181" s="486"/>
      <c r="L181" s="486"/>
      <c r="M181" s="486"/>
      <c r="N181" s="486"/>
      <c r="O181" s="486"/>
      <c r="P181" s="486"/>
      <c r="Q181" s="260"/>
      <c r="R181" s="260"/>
      <c r="S181" s="260"/>
      <c r="T181" s="260"/>
      <c r="U181" s="260"/>
      <c r="V181" s="260"/>
      <c r="W181" s="260"/>
      <c r="X181" s="260"/>
      <c r="Y181" s="260"/>
      <c r="AI181" s="396"/>
      <c r="AJ181" s="396"/>
      <c r="AK181" s="396"/>
      <c r="AL181" s="396"/>
      <c r="AM181" s="396"/>
    </row>
    <row r="182" spans="1:39" x14ac:dyDescent="0.25">
      <c r="A182" s="398"/>
      <c r="B182" s="496" t="s">
        <v>1140</v>
      </c>
      <c r="C182" s="131">
        <f>'Inputs and eligible population'!K$121</f>
        <v>8</v>
      </c>
      <c r="D182" s="131">
        <f>$C182*'Financial impact (cash)'!D35</f>
        <v>0</v>
      </c>
      <c r="E182" s="131">
        <f>$C182*'Financial impact (cash)'!E35</f>
        <v>0</v>
      </c>
      <c r="F182" s="131">
        <f>$C182*'Financial impact (cash)'!F35</f>
        <v>0</v>
      </c>
      <c r="G182" s="131">
        <f>$C182*'Financial impact (cash)'!G35</f>
        <v>0</v>
      </c>
      <c r="H182" s="131">
        <f>$C182*'Financial impact (cash)'!H35</f>
        <v>0</v>
      </c>
      <c r="I182" s="131">
        <f>$C182*'Financial impact (cash)'!I35</f>
        <v>0</v>
      </c>
      <c r="J182" s="398"/>
      <c r="K182" s="486"/>
      <c r="L182" s="486"/>
      <c r="M182" s="486"/>
      <c r="N182" s="486"/>
      <c r="O182" s="486"/>
      <c r="P182" s="486"/>
      <c r="Q182" s="260"/>
      <c r="R182" s="260"/>
      <c r="S182" s="260"/>
      <c r="T182" s="260"/>
      <c r="U182" s="260"/>
      <c r="V182" s="260"/>
      <c r="W182" s="260"/>
      <c r="X182" s="260"/>
      <c r="Y182" s="260"/>
      <c r="AI182" s="396"/>
      <c r="AJ182" s="396"/>
      <c r="AK182" s="396"/>
      <c r="AL182" s="396"/>
      <c r="AM182" s="396"/>
    </row>
    <row r="183" spans="1:39" x14ac:dyDescent="0.25">
      <c r="A183" s="398"/>
      <c r="B183" s="496" t="s">
        <v>1141</v>
      </c>
      <c r="C183" s="131">
        <f>'Inputs and eligible population'!L$121</f>
        <v>12</v>
      </c>
      <c r="D183" s="131">
        <f>$C183*'Financial impact (cash)'!D36</f>
        <v>0</v>
      </c>
      <c r="E183" s="131">
        <f>$C183*'Financial impact (cash)'!E36</f>
        <v>0</v>
      </c>
      <c r="F183" s="131">
        <f>$C183*'Financial impact (cash)'!F36</f>
        <v>0</v>
      </c>
      <c r="G183" s="131">
        <f>$C183*'Financial impact (cash)'!G36</f>
        <v>0</v>
      </c>
      <c r="H183" s="131">
        <f>$C183*'Financial impact (cash)'!H36</f>
        <v>0</v>
      </c>
      <c r="I183" s="131">
        <f>$C183*'Financial impact (cash)'!I36</f>
        <v>0</v>
      </c>
      <c r="J183" s="398"/>
      <c r="K183" s="486"/>
      <c r="L183" s="486"/>
      <c r="M183" s="486"/>
      <c r="N183" s="486"/>
      <c r="O183" s="486"/>
      <c r="P183" s="486"/>
      <c r="Q183" s="260"/>
      <c r="R183" s="260"/>
      <c r="S183" s="260"/>
      <c r="T183" s="260"/>
      <c r="U183" s="260"/>
      <c r="V183" s="260"/>
      <c r="W183" s="260"/>
      <c r="X183" s="260"/>
      <c r="Y183" s="260"/>
      <c r="AI183" s="396"/>
      <c r="AJ183" s="396"/>
      <c r="AK183" s="396"/>
      <c r="AL183" s="396"/>
      <c r="AM183" s="396"/>
    </row>
    <row r="184" spans="1:39" x14ac:dyDescent="0.25">
      <c r="A184" s="398"/>
      <c r="B184" s="496" t="s">
        <v>1142</v>
      </c>
      <c r="C184" s="131">
        <f>'Inputs and eligible population'!M$121</f>
        <v>16</v>
      </c>
      <c r="D184" s="131">
        <f>$C184*'Financial impact (cash)'!D37</f>
        <v>0</v>
      </c>
      <c r="E184" s="131">
        <f>$C184*'Financial impact (cash)'!E37</f>
        <v>0</v>
      </c>
      <c r="F184" s="131">
        <f>$C184*'Financial impact (cash)'!F37</f>
        <v>0</v>
      </c>
      <c r="G184" s="131">
        <f>$C184*'Financial impact (cash)'!G37</f>
        <v>0</v>
      </c>
      <c r="H184" s="131">
        <f>$C184*'Financial impact (cash)'!H37</f>
        <v>0</v>
      </c>
      <c r="I184" s="131">
        <f>$C184*'Financial impact (cash)'!I37</f>
        <v>0</v>
      </c>
      <c r="J184" s="398"/>
      <c r="K184" s="486"/>
      <c r="L184" s="486"/>
      <c r="M184" s="486"/>
      <c r="N184" s="486"/>
      <c r="O184" s="486"/>
      <c r="P184" s="486"/>
      <c r="Q184" s="260"/>
      <c r="R184" s="260"/>
      <c r="S184" s="260"/>
      <c r="T184" s="260"/>
      <c r="U184" s="260"/>
      <c r="V184" s="260"/>
      <c r="W184" s="260"/>
      <c r="X184" s="260"/>
      <c r="Y184" s="260"/>
      <c r="AI184" s="396"/>
      <c r="AJ184" s="396"/>
      <c r="AK184" s="396"/>
      <c r="AL184" s="396"/>
      <c r="AM184" s="396"/>
    </row>
    <row r="185" spans="1:39" x14ac:dyDescent="0.25">
      <c r="A185" s="398"/>
      <c r="B185" s="394"/>
      <c r="C185" s="327"/>
      <c r="D185" s="313">
        <f t="shared" ref="D185:I185" si="89">SUM(D177:D184)</f>
        <v>0</v>
      </c>
      <c r="E185" s="313">
        <f t="shared" si="89"/>
        <v>0</v>
      </c>
      <c r="F185" s="313">
        <f t="shared" si="89"/>
        <v>0</v>
      </c>
      <c r="G185" s="313">
        <f t="shared" si="89"/>
        <v>0</v>
      </c>
      <c r="H185" s="313">
        <f t="shared" si="89"/>
        <v>0</v>
      </c>
      <c r="I185" s="313">
        <f t="shared" si="89"/>
        <v>0</v>
      </c>
      <c r="J185" s="398"/>
      <c r="K185" s="1201"/>
      <c r="L185" s="1201"/>
      <c r="M185" s="1201"/>
      <c r="N185" s="1201"/>
      <c r="O185" s="1201"/>
      <c r="P185" s="1201"/>
      <c r="Q185" s="260"/>
      <c r="R185" s="260"/>
      <c r="S185" s="260"/>
      <c r="T185" s="260"/>
      <c r="U185" s="260"/>
      <c r="V185" s="260"/>
      <c r="W185" s="260"/>
      <c r="X185" s="260"/>
      <c r="Y185" s="260"/>
      <c r="AI185" s="396"/>
      <c r="AJ185" s="396"/>
      <c r="AK185" s="396"/>
      <c r="AL185" s="396"/>
      <c r="AM185" s="396"/>
    </row>
    <row r="186" spans="1:39" x14ac:dyDescent="0.25">
      <c r="A186" s="398"/>
      <c r="B186" s="425"/>
      <c r="C186" s="377"/>
      <c r="D186" s="395" t="s">
        <v>821</v>
      </c>
      <c r="E186" s="313">
        <f>E185-$D$185</f>
        <v>0</v>
      </c>
      <c r="F186" s="313">
        <f>F185-$D$185</f>
        <v>0</v>
      </c>
      <c r="G186" s="313">
        <f>G185-$D$185</f>
        <v>0</v>
      </c>
      <c r="H186" s="313">
        <f>H185-$D$185</f>
        <v>0</v>
      </c>
      <c r="I186" s="313">
        <f>I185-$D$185</f>
        <v>0</v>
      </c>
      <c r="J186" s="398"/>
      <c r="K186" s="398"/>
      <c r="L186" s="1201"/>
      <c r="M186" s="1201"/>
      <c r="N186" s="1201"/>
      <c r="O186" s="1201"/>
      <c r="P186" s="1201"/>
      <c r="U186" s="260"/>
    </row>
    <row r="187" spans="1:39" x14ac:dyDescent="0.25">
      <c r="A187" s="398"/>
      <c r="B187" s="448"/>
      <c r="C187" s="336"/>
      <c r="D187" s="336"/>
      <c r="E187" s="336"/>
      <c r="F187" s="336"/>
      <c r="G187" s="336"/>
      <c r="H187" s="336"/>
      <c r="I187" s="336"/>
      <c r="J187" s="336"/>
      <c r="K187" s="336"/>
      <c r="L187" s="336"/>
      <c r="M187" s="336"/>
      <c r="N187" s="336"/>
      <c r="O187" s="336"/>
      <c r="P187" s="336"/>
      <c r="Q187" s="260"/>
      <c r="R187" s="260"/>
      <c r="S187" s="260"/>
      <c r="T187" s="260"/>
      <c r="U187" s="260"/>
      <c r="V187" s="260"/>
      <c r="W187" s="260"/>
      <c r="X187" s="260"/>
      <c r="Y187" s="260"/>
      <c r="AI187" s="396"/>
      <c r="AJ187" s="396"/>
      <c r="AK187" s="396"/>
      <c r="AL187" s="396"/>
      <c r="AM187" s="396"/>
    </row>
    <row r="188" spans="1:39" hidden="1" x14ac:dyDescent="0.25">
      <c r="A188" s="456"/>
      <c r="B188" s="457" t="s">
        <v>822</v>
      </c>
      <c r="C188" s="458"/>
      <c r="D188" s="458"/>
      <c r="E188" s="459"/>
      <c r="F188" s="460"/>
      <c r="G188" s="461"/>
      <c r="H188" s="461"/>
      <c r="I188" s="554"/>
      <c r="J188" s="456"/>
      <c r="K188" s="456"/>
      <c r="L188" s="456"/>
      <c r="M188" s="456"/>
      <c r="N188" s="456"/>
      <c r="O188" s="456"/>
      <c r="P188" s="593"/>
      <c r="Q188" s="260"/>
      <c r="R188" s="260"/>
      <c r="S188" s="260"/>
      <c r="T188" s="260"/>
      <c r="U188" s="260"/>
      <c r="V188" s="260"/>
      <c r="W188" s="260"/>
      <c r="X188" s="260"/>
      <c r="Y188" s="260"/>
      <c r="AI188" s="396"/>
      <c r="AJ188" s="396"/>
      <c r="AK188" s="396"/>
      <c r="AL188" s="396"/>
      <c r="AM188" s="396"/>
    </row>
    <row r="189" spans="1:39" hidden="1" x14ac:dyDescent="0.25">
      <c r="A189" s="456"/>
      <c r="B189" s="564" t="s">
        <v>88</v>
      </c>
      <c r="C189" s="565"/>
      <c r="D189" s="565"/>
      <c r="E189" s="565"/>
      <c r="F189" s="565"/>
      <c r="G189" s="565"/>
      <c r="H189" s="565"/>
      <c r="I189" s="462"/>
      <c r="J189" s="593"/>
      <c r="K189" s="648"/>
      <c r="L189" s="648"/>
      <c r="M189" s="648"/>
      <c r="N189" s="648"/>
      <c r="O189" s="648"/>
      <c r="P189" s="648"/>
      <c r="Q189" s="260"/>
      <c r="R189" s="260"/>
      <c r="S189" s="260"/>
      <c r="T189" s="260"/>
      <c r="U189" s="260"/>
      <c r="V189" s="260"/>
      <c r="W189" s="260"/>
      <c r="X189" s="260"/>
      <c r="Y189" s="260"/>
      <c r="AI189" s="396"/>
      <c r="AJ189" s="396"/>
      <c r="AK189" s="396"/>
      <c r="AL189" s="396"/>
      <c r="AM189" s="396"/>
    </row>
    <row r="190" spans="1:39" ht="45" hidden="1" x14ac:dyDescent="0.25">
      <c r="A190" s="456"/>
      <c r="B190" s="390" t="s">
        <v>111</v>
      </c>
      <c r="C190" s="291" t="s">
        <v>88</v>
      </c>
      <c r="D190" s="629" t="s">
        <v>792</v>
      </c>
      <c r="E190" s="376" t="s">
        <v>56</v>
      </c>
      <c r="F190" s="376" t="s">
        <v>57</v>
      </c>
      <c r="G190" s="290" t="s">
        <v>793</v>
      </c>
      <c r="H190" s="290" t="s">
        <v>794</v>
      </c>
      <c r="I190" s="376" t="s">
        <v>795</v>
      </c>
      <c r="J190" s="456"/>
      <c r="K190" s="629" t="s">
        <v>792</v>
      </c>
      <c r="L190" s="376" t="s">
        <v>56</v>
      </c>
      <c r="M190" s="376" t="s">
        <v>57</v>
      </c>
      <c r="N190" s="290" t="s">
        <v>793</v>
      </c>
      <c r="O190" s="290" t="s">
        <v>794</v>
      </c>
      <c r="P190" s="376" t="s">
        <v>795</v>
      </c>
      <c r="Q190" s="260"/>
      <c r="R190" s="260"/>
      <c r="S190" s="260"/>
      <c r="T190" s="260"/>
      <c r="U190" s="260"/>
      <c r="V190" s="260"/>
      <c r="W190" s="260"/>
      <c r="X190" s="260"/>
      <c r="Y190" s="260"/>
      <c r="AI190" s="396"/>
      <c r="AJ190" s="396"/>
      <c r="AK190" s="396"/>
      <c r="AL190" s="396"/>
      <c r="AM190" s="396"/>
    </row>
    <row r="191" spans="1:39" hidden="1" x14ac:dyDescent="0.25">
      <c r="A191" s="456"/>
      <c r="B191" s="501" t="s">
        <v>67</v>
      </c>
      <c r="C191" s="276" t="e">
        <f>'Inputs and eligible population'!#REF!</f>
        <v>#REF!</v>
      </c>
      <c r="D191" s="131" t="e">
        <f>'Financial impact (cash)'!#REF!*'Capacity (local prices) '!$C191</f>
        <v>#REF!</v>
      </c>
      <c r="E191" s="131" t="e">
        <f>'Financial impact (cash)'!#REF!*'Capacity (local prices) '!$C191</f>
        <v>#REF!</v>
      </c>
      <c r="F191" s="131" t="e">
        <f>'Financial impact (cash)'!#REF!*'Capacity (local prices) '!$C191</f>
        <v>#REF!</v>
      </c>
      <c r="G191" s="131" t="e">
        <f>'Financial impact (cash)'!#REF!*'Capacity (local prices) '!$C191</f>
        <v>#REF!</v>
      </c>
      <c r="H191" s="131" t="e">
        <f>'Financial impact (cash)'!#REF!*'Capacity (local prices) '!$C191</f>
        <v>#REF!</v>
      </c>
      <c r="I191" s="131" t="e">
        <f>'Financial impact (cash)'!#REF!*'Capacity (local prices) '!$C191</f>
        <v>#REF!</v>
      </c>
      <c r="J191" s="456"/>
      <c r="K191" s="406" t="e">
        <f>(D191*'Inputs and eligible population'!#REF!)/1000</f>
        <v>#REF!</v>
      </c>
      <c r="L191" s="406" t="e">
        <f>(E191*'Inputs and eligible population'!#REF!)/1000</f>
        <v>#REF!</v>
      </c>
      <c r="M191" s="406" t="e">
        <f>(F191*'Inputs and eligible population'!#REF!)/1000</f>
        <v>#REF!</v>
      </c>
      <c r="N191" s="406" t="e">
        <f>(G191*'Inputs and eligible population'!#REF!)/1000</f>
        <v>#REF!</v>
      </c>
      <c r="O191" s="406" t="e">
        <f>(H191*'Inputs and eligible population'!#REF!)/1000</f>
        <v>#REF!</v>
      </c>
      <c r="P191" s="406" t="e">
        <f>(I191*'Inputs and eligible population'!#REF!)/1000</f>
        <v>#REF!</v>
      </c>
      <c r="Q191" s="260"/>
      <c r="R191" s="260"/>
      <c r="S191" s="260"/>
      <c r="T191" s="260"/>
      <c r="U191" s="260"/>
      <c r="V191" s="260"/>
      <c r="W191" s="260"/>
      <c r="X191" s="260"/>
      <c r="Y191" s="260"/>
      <c r="AI191" s="396"/>
      <c r="AJ191" s="396"/>
      <c r="AK191" s="396"/>
      <c r="AL191" s="396"/>
      <c r="AM191" s="396"/>
    </row>
    <row r="192" spans="1:39" hidden="1" x14ac:dyDescent="0.25">
      <c r="A192" s="456"/>
      <c r="B192" s="501" t="s">
        <v>68</v>
      </c>
      <c r="C192" s="276" t="e">
        <f>'Inputs and eligible population'!#REF!</f>
        <v>#REF!</v>
      </c>
      <c r="D192" s="131" t="e">
        <f>'Financial impact (cash)'!#REF!*'Capacity (local prices) '!$C192</f>
        <v>#REF!</v>
      </c>
      <c r="E192" s="131" t="e">
        <f>'Financial impact (cash)'!#REF!*'Capacity (local prices) '!$C192</f>
        <v>#REF!</v>
      </c>
      <c r="F192" s="131" t="e">
        <f>'Financial impact (cash)'!#REF!*'Capacity (local prices) '!$C192</f>
        <v>#REF!</v>
      </c>
      <c r="G192" s="131" t="e">
        <f>'Financial impact (cash)'!#REF!*'Capacity (local prices) '!$C192</f>
        <v>#REF!</v>
      </c>
      <c r="H192" s="131" t="e">
        <f>'Financial impact (cash)'!#REF!*'Capacity (local prices) '!$C192</f>
        <v>#REF!</v>
      </c>
      <c r="I192" s="131" t="e">
        <f>'Financial impact (cash)'!#REF!*'Capacity (local prices) '!$C192</f>
        <v>#REF!</v>
      </c>
      <c r="J192" s="456"/>
      <c r="K192" s="406" t="e">
        <f>(D192*'Inputs and eligible population'!#REF!)/1000</f>
        <v>#REF!</v>
      </c>
      <c r="L192" s="406" t="e">
        <f>(E192*'Inputs and eligible population'!#REF!)/1000</f>
        <v>#REF!</v>
      </c>
      <c r="M192" s="406" t="e">
        <f>(F192*'Inputs and eligible population'!#REF!)/1000</f>
        <v>#REF!</v>
      </c>
      <c r="N192" s="406" t="e">
        <f>(G192*'Inputs and eligible population'!#REF!)/1000</f>
        <v>#REF!</v>
      </c>
      <c r="O192" s="406" t="e">
        <f>(H192*'Inputs and eligible population'!#REF!)/1000</f>
        <v>#REF!</v>
      </c>
      <c r="P192" s="406" t="e">
        <f>(I192*'Inputs and eligible population'!#REF!)/1000</f>
        <v>#REF!</v>
      </c>
      <c r="Q192" s="260"/>
      <c r="R192" s="260"/>
      <c r="S192" s="260"/>
      <c r="T192" s="260"/>
      <c r="U192" s="260"/>
      <c r="V192" s="260"/>
      <c r="W192" s="260"/>
      <c r="X192" s="260"/>
      <c r="Y192" s="260"/>
      <c r="AI192" s="396"/>
      <c r="AJ192" s="396"/>
      <c r="AK192" s="396"/>
      <c r="AL192" s="396"/>
      <c r="AM192" s="396"/>
    </row>
    <row r="193" spans="1:39" hidden="1" x14ac:dyDescent="0.25">
      <c r="A193" s="456"/>
      <c r="B193" s="501" t="s">
        <v>69</v>
      </c>
      <c r="C193" s="276" t="e">
        <f>'Inputs and eligible population'!#REF!</f>
        <v>#REF!</v>
      </c>
      <c r="D193" s="131" t="e">
        <f>'Financial impact (cash)'!#REF!*'Capacity (local prices) '!$C193</f>
        <v>#REF!</v>
      </c>
      <c r="E193" s="131" t="e">
        <f>'Financial impact (cash)'!#REF!*'Capacity (local prices) '!$C193</f>
        <v>#REF!</v>
      </c>
      <c r="F193" s="131" t="e">
        <f>'Financial impact (cash)'!#REF!*'Capacity (local prices) '!$C193</f>
        <v>#REF!</v>
      </c>
      <c r="G193" s="131" t="e">
        <f>'Financial impact (cash)'!#REF!*'Capacity (local prices) '!$C193</f>
        <v>#REF!</v>
      </c>
      <c r="H193" s="131" t="e">
        <f>'Financial impact (cash)'!#REF!*'Capacity (local prices) '!$C193</f>
        <v>#REF!</v>
      </c>
      <c r="I193" s="131" t="e">
        <f>'Financial impact (cash)'!#REF!*'Capacity (local prices) '!$C193</f>
        <v>#REF!</v>
      </c>
      <c r="J193" s="456"/>
      <c r="K193" s="406" t="e">
        <f>(D193*'Inputs and eligible population'!#REF!)/1000</f>
        <v>#REF!</v>
      </c>
      <c r="L193" s="406" t="e">
        <f>(E193*'Inputs and eligible population'!#REF!)/1000</f>
        <v>#REF!</v>
      </c>
      <c r="M193" s="406" t="e">
        <f>(F193*'Inputs and eligible population'!#REF!)/1000</f>
        <v>#REF!</v>
      </c>
      <c r="N193" s="406" t="e">
        <f>(G193*'Inputs and eligible population'!#REF!)/1000</f>
        <v>#REF!</v>
      </c>
      <c r="O193" s="406" t="e">
        <f>(H193*'Inputs and eligible population'!#REF!)/1000</f>
        <v>#REF!</v>
      </c>
      <c r="P193" s="406" t="e">
        <f>(I193*'Inputs and eligible population'!#REF!)/1000</f>
        <v>#REF!</v>
      </c>
      <c r="Q193" s="260"/>
      <c r="R193" s="260"/>
      <c r="S193" s="260"/>
      <c r="T193" s="260"/>
      <c r="U193" s="260"/>
      <c r="V193" s="260"/>
      <c r="W193" s="260"/>
      <c r="X193" s="260"/>
      <c r="Y193" s="260"/>
      <c r="AI193" s="396"/>
      <c r="AJ193" s="396"/>
      <c r="AK193" s="396"/>
      <c r="AL193" s="396"/>
      <c r="AM193" s="396"/>
    </row>
    <row r="194" spans="1:39" hidden="1" x14ac:dyDescent="0.25">
      <c r="A194" s="456"/>
      <c r="B194" s="394"/>
      <c r="C194" s="327"/>
      <c r="D194" s="313" t="e">
        <f t="shared" ref="D194:I194" si="90">SUM(D191:D193)</f>
        <v>#REF!</v>
      </c>
      <c r="E194" s="313" t="e">
        <f t="shared" si="90"/>
        <v>#REF!</v>
      </c>
      <c r="F194" s="313" t="e">
        <f t="shared" si="90"/>
        <v>#REF!</v>
      </c>
      <c r="G194" s="313" t="e">
        <f t="shared" si="90"/>
        <v>#REF!</v>
      </c>
      <c r="H194" s="313" t="e">
        <f t="shared" si="90"/>
        <v>#REF!</v>
      </c>
      <c r="I194" s="313" t="e">
        <f t="shared" si="90"/>
        <v>#REF!</v>
      </c>
      <c r="J194" s="456"/>
      <c r="K194" s="407" t="e">
        <f>SUM(K191:K193)</f>
        <v>#REF!</v>
      </c>
      <c r="L194" s="407" t="e">
        <f t="shared" ref="L194" si="91">SUM(L191:L193)</f>
        <v>#REF!</v>
      </c>
      <c r="M194" s="407" t="e">
        <f t="shared" ref="M194" si="92">SUM(M191:M193)</f>
        <v>#REF!</v>
      </c>
      <c r="N194" s="407" t="e">
        <f t="shared" ref="N194" si="93">SUM(N191:N193)</f>
        <v>#REF!</v>
      </c>
      <c r="O194" s="407" t="e">
        <f t="shared" ref="O194" si="94">SUM(O191:O193)</f>
        <v>#REF!</v>
      </c>
      <c r="P194" s="407" t="e">
        <f t="shared" ref="P194" si="95">SUM(P191:P193)</f>
        <v>#REF!</v>
      </c>
      <c r="Q194" s="260"/>
      <c r="R194" s="260"/>
      <c r="S194" s="260"/>
      <c r="T194" s="260"/>
      <c r="U194" s="260"/>
      <c r="V194" s="260"/>
      <c r="W194" s="260"/>
      <c r="X194" s="260"/>
      <c r="Y194" s="260"/>
      <c r="AI194" s="396"/>
      <c r="AJ194" s="396"/>
      <c r="AK194" s="396"/>
      <c r="AL194" s="396"/>
      <c r="AM194" s="396"/>
    </row>
    <row r="195" spans="1:39" hidden="1" x14ac:dyDescent="0.25">
      <c r="A195" s="456"/>
      <c r="B195" s="425"/>
      <c r="C195" s="377"/>
      <c r="D195" s="395" t="s">
        <v>823</v>
      </c>
      <c r="E195" s="313" t="e">
        <f>E194-$D$194</f>
        <v>#REF!</v>
      </c>
      <c r="F195" s="313" t="e">
        <f>F194-$D$194</f>
        <v>#REF!</v>
      </c>
      <c r="G195" s="313" t="e">
        <f>G194-$D$194</f>
        <v>#REF!</v>
      </c>
      <c r="H195" s="313" t="e">
        <f>H194-$D$194</f>
        <v>#REF!</v>
      </c>
      <c r="I195" s="313" t="e">
        <f>I194-$D$194</f>
        <v>#REF!</v>
      </c>
      <c r="J195" s="456"/>
      <c r="K195" s="637"/>
      <c r="L195" s="407" t="e">
        <f>L194-$K$194</f>
        <v>#REF!</v>
      </c>
      <c r="M195" s="407" t="e">
        <f t="shared" ref="M195:P195" si="96">M194-$K$194</f>
        <v>#REF!</v>
      </c>
      <c r="N195" s="407" t="e">
        <f t="shared" si="96"/>
        <v>#REF!</v>
      </c>
      <c r="O195" s="407" t="e">
        <f t="shared" si="96"/>
        <v>#REF!</v>
      </c>
      <c r="P195" s="407" t="e">
        <f t="shared" si="96"/>
        <v>#REF!</v>
      </c>
      <c r="U195" s="260"/>
    </row>
    <row r="196" spans="1:39" hidden="1" x14ac:dyDescent="0.25">
      <c r="A196" s="456"/>
      <c r="B196" s="456"/>
      <c r="C196" s="456"/>
      <c r="D196" s="456"/>
      <c r="E196" s="456"/>
      <c r="F196" s="456"/>
      <c r="G196" s="456"/>
      <c r="H196" s="456"/>
      <c r="I196" s="456"/>
      <c r="J196" s="456"/>
      <c r="K196" s="456"/>
      <c r="L196" s="456"/>
      <c r="M196" s="456"/>
      <c r="N196" s="456"/>
      <c r="O196" s="456"/>
      <c r="P196" s="456"/>
      <c r="U196" s="260"/>
    </row>
    <row r="197" spans="1:39" x14ac:dyDescent="0.25">
      <c r="A197" s="398"/>
      <c r="B197" s="447" t="s">
        <v>820</v>
      </c>
      <c r="C197" s="426"/>
      <c r="D197" s="426"/>
      <c r="E197" s="427"/>
      <c r="F197" s="428"/>
      <c r="G197" s="428"/>
      <c r="H197" s="428"/>
      <c r="I197" s="552"/>
      <c r="J197" s="398"/>
      <c r="K197" s="398"/>
      <c r="L197" s="398"/>
      <c r="M197" s="398"/>
      <c r="N197" s="398"/>
      <c r="O197" s="398"/>
      <c r="P197" s="336"/>
      <c r="Q197" s="260"/>
      <c r="R197" s="260"/>
      <c r="S197" s="260"/>
      <c r="T197" s="260"/>
      <c r="U197" s="260"/>
      <c r="V197" s="260"/>
      <c r="W197" s="260"/>
      <c r="X197" s="260"/>
      <c r="Y197" s="260"/>
      <c r="AI197" s="396"/>
      <c r="AJ197" s="396"/>
      <c r="AK197" s="396"/>
      <c r="AL197" s="396"/>
      <c r="AM197" s="396"/>
    </row>
    <row r="198" spans="1:39" x14ac:dyDescent="0.25">
      <c r="A198" s="398"/>
      <c r="B198" s="562" t="s">
        <v>1282</v>
      </c>
      <c r="C198" s="563"/>
      <c r="D198" s="563"/>
      <c r="E198" s="563"/>
      <c r="F198" s="563"/>
      <c r="G198" s="563"/>
      <c r="H198" s="563"/>
      <c r="I198" s="335"/>
      <c r="J198" s="336"/>
      <c r="K198" s="647"/>
      <c r="L198" s="647"/>
      <c r="M198" s="647"/>
      <c r="N198" s="647"/>
      <c r="O198" s="647"/>
      <c r="P198" s="647"/>
      <c r="Q198" s="260"/>
      <c r="R198" s="260"/>
      <c r="S198" s="260"/>
      <c r="T198" s="260"/>
      <c r="U198" s="260"/>
      <c r="V198" s="260"/>
      <c r="W198" s="260"/>
      <c r="X198" s="260"/>
      <c r="Y198" s="260"/>
      <c r="AI198" s="396"/>
      <c r="AJ198" s="396"/>
      <c r="AK198" s="396"/>
      <c r="AL198" s="396"/>
      <c r="AM198" s="396"/>
    </row>
    <row r="199" spans="1:39" ht="45" x14ac:dyDescent="0.25">
      <c r="A199" s="398"/>
      <c r="B199" s="390" t="s">
        <v>111</v>
      </c>
      <c r="C199" s="291" t="s">
        <v>1281</v>
      </c>
      <c r="D199" s="629" t="s">
        <v>792</v>
      </c>
      <c r="E199" s="376" t="s">
        <v>56</v>
      </c>
      <c r="F199" s="376" t="s">
        <v>57</v>
      </c>
      <c r="G199" s="290" t="s">
        <v>793</v>
      </c>
      <c r="H199" s="290" t="s">
        <v>794</v>
      </c>
      <c r="I199" s="376" t="s">
        <v>795</v>
      </c>
      <c r="J199" s="398"/>
      <c r="K199" s="629" t="s">
        <v>1248</v>
      </c>
      <c r="L199" s="1114" t="s">
        <v>1249</v>
      </c>
      <c r="M199" s="1114" t="s">
        <v>1250</v>
      </c>
      <c r="N199" s="631" t="s">
        <v>1251</v>
      </c>
      <c r="O199" s="631" t="s">
        <v>1252</v>
      </c>
      <c r="P199" s="1114" t="s">
        <v>1253</v>
      </c>
      <c r="Q199" s="260"/>
      <c r="R199" s="260"/>
      <c r="S199" s="260"/>
      <c r="T199" s="260"/>
      <c r="U199" s="260"/>
      <c r="V199" s="260"/>
      <c r="W199" s="260"/>
      <c r="X199" s="260"/>
      <c r="Y199" s="260"/>
      <c r="AI199" s="396"/>
      <c r="AJ199" s="396"/>
      <c r="AK199" s="396"/>
      <c r="AL199" s="396"/>
      <c r="AM199" s="396"/>
    </row>
    <row r="200" spans="1:39" x14ac:dyDescent="0.25">
      <c r="A200" s="398"/>
      <c r="B200" s="496" t="s">
        <v>1135</v>
      </c>
      <c r="C200" s="1202">
        <f>'Inputs and eligible population'!F122/60</f>
        <v>0.5</v>
      </c>
      <c r="D200" s="131">
        <f>D177*$C200</f>
        <v>0</v>
      </c>
      <c r="E200" s="131">
        <f t="shared" ref="E200:I200" si="97">E177*$C200</f>
        <v>0</v>
      </c>
      <c r="F200" s="131">
        <f t="shared" si="97"/>
        <v>0</v>
      </c>
      <c r="G200" s="131">
        <f t="shared" si="97"/>
        <v>0</v>
      </c>
      <c r="H200" s="131">
        <f t="shared" si="97"/>
        <v>0</v>
      </c>
      <c r="I200" s="131">
        <f t="shared" si="97"/>
        <v>0</v>
      </c>
      <c r="J200" s="398"/>
      <c r="K200" s="406">
        <f>(D200*'Inputs and eligible population'!$Q$122)/1000</f>
        <v>0</v>
      </c>
      <c r="L200" s="406">
        <f>(E200*'Inputs and eligible population'!$Q$122)/1000</f>
        <v>0</v>
      </c>
      <c r="M200" s="406">
        <f>(F200*'Inputs and eligible population'!$Q$122)/1000</f>
        <v>0</v>
      </c>
      <c r="N200" s="406">
        <f>(G200*'Inputs and eligible population'!$Q$122)/1000</f>
        <v>0</v>
      </c>
      <c r="O200" s="406">
        <f>(H200*'Inputs and eligible population'!$Q$122)/1000</f>
        <v>0</v>
      </c>
      <c r="P200" s="406">
        <f>(I200*'Inputs and eligible population'!$Q$122)/1000</f>
        <v>0</v>
      </c>
      <c r="Q200" s="260"/>
      <c r="R200" s="260"/>
      <c r="S200" s="260"/>
      <c r="T200" s="260"/>
      <c r="U200" s="260"/>
      <c r="V200" s="260"/>
      <c r="W200" s="260"/>
      <c r="X200" s="260"/>
      <c r="Y200" s="260"/>
      <c r="AI200" s="396"/>
      <c r="AJ200" s="396"/>
      <c r="AK200" s="396"/>
      <c r="AL200" s="396"/>
      <c r="AM200" s="396"/>
    </row>
    <row r="201" spans="1:39" x14ac:dyDescent="0.25">
      <c r="A201" s="398"/>
      <c r="B201" s="496" t="s">
        <v>1136</v>
      </c>
      <c r="C201" s="1202">
        <f>'Inputs and eligible population'!G122/60</f>
        <v>0.5</v>
      </c>
      <c r="D201" s="131">
        <f t="shared" ref="D201:I201" si="98">D178*$C201</f>
        <v>0</v>
      </c>
      <c r="E201" s="131">
        <f t="shared" si="98"/>
        <v>0</v>
      </c>
      <c r="F201" s="131">
        <f t="shared" si="98"/>
        <v>0</v>
      </c>
      <c r="G201" s="131">
        <f t="shared" si="98"/>
        <v>0</v>
      </c>
      <c r="H201" s="131">
        <f t="shared" si="98"/>
        <v>0</v>
      </c>
      <c r="I201" s="131">
        <f t="shared" si="98"/>
        <v>0</v>
      </c>
      <c r="J201" s="398"/>
      <c r="K201" s="406">
        <f>(D201*'Inputs and eligible population'!$Q$122)/1000</f>
        <v>0</v>
      </c>
      <c r="L201" s="406">
        <f>(E201*'Inputs and eligible population'!$Q$122)/1000</f>
        <v>0</v>
      </c>
      <c r="M201" s="406">
        <f>(F201*'Inputs and eligible population'!$Q$122)/1000</f>
        <v>0</v>
      </c>
      <c r="N201" s="406">
        <f>(G201*'Inputs and eligible population'!$Q$122)/1000</f>
        <v>0</v>
      </c>
      <c r="O201" s="406">
        <f>(H201*'Inputs and eligible population'!$Q$122)/1000</f>
        <v>0</v>
      </c>
      <c r="P201" s="406">
        <f>(I201*'Inputs and eligible population'!$Q$122)/1000</f>
        <v>0</v>
      </c>
      <c r="Q201" s="260"/>
      <c r="R201" s="260"/>
      <c r="S201" s="260"/>
      <c r="T201" s="260"/>
      <c r="U201" s="260"/>
      <c r="V201" s="260"/>
      <c r="W201" s="260"/>
      <c r="X201" s="260"/>
      <c r="Y201" s="260"/>
      <c r="AI201" s="396"/>
      <c r="AJ201" s="396"/>
      <c r="AK201" s="396"/>
      <c r="AL201" s="396"/>
      <c r="AM201" s="396"/>
    </row>
    <row r="202" spans="1:39" x14ac:dyDescent="0.25">
      <c r="A202" s="398"/>
      <c r="B202" s="496" t="s">
        <v>1137</v>
      </c>
      <c r="C202" s="1202">
        <f>'Inputs and eligible population'!H122/60</f>
        <v>0.5</v>
      </c>
      <c r="D202" s="131">
        <f t="shared" ref="D202:I202" si="99">D179*$C202</f>
        <v>0</v>
      </c>
      <c r="E202" s="131">
        <f t="shared" si="99"/>
        <v>0</v>
      </c>
      <c r="F202" s="131">
        <f t="shared" si="99"/>
        <v>0</v>
      </c>
      <c r="G202" s="131">
        <f t="shared" si="99"/>
        <v>0</v>
      </c>
      <c r="H202" s="131">
        <f t="shared" si="99"/>
        <v>0</v>
      </c>
      <c r="I202" s="131">
        <f t="shared" si="99"/>
        <v>0</v>
      </c>
      <c r="J202" s="398"/>
      <c r="K202" s="406">
        <f>(D202*'Inputs and eligible population'!$Q$122)/1000</f>
        <v>0</v>
      </c>
      <c r="L202" s="406">
        <f>(E202*'Inputs and eligible population'!$Q$122)/1000</f>
        <v>0</v>
      </c>
      <c r="M202" s="406">
        <f>(F202*'Inputs and eligible population'!$Q$122)/1000</f>
        <v>0</v>
      </c>
      <c r="N202" s="406">
        <f>(G202*'Inputs and eligible population'!$Q$122)/1000</f>
        <v>0</v>
      </c>
      <c r="O202" s="406">
        <f>(H202*'Inputs and eligible population'!$Q$122)/1000</f>
        <v>0</v>
      </c>
      <c r="P202" s="406">
        <f>(I202*'Inputs and eligible population'!$Q$122)/1000</f>
        <v>0</v>
      </c>
      <c r="Q202" s="260"/>
      <c r="R202" s="260"/>
      <c r="S202" s="260"/>
      <c r="T202" s="260"/>
      <c r="U202" s="260"/>
      <c r="V202" s="260"/>
      <c r="W202" s="260"/>
      <c r="X202" s="260"/>
      <c r="Y202" s="260"/>
      <c r="AI202" s="396"/>
      <c r="AJ202" s="396"/>
      <c r="AK202" s="396"/>
      <c r="AL202" s="396"/>
      <c r="AM202" s="396"/>
    </row>
    <row r="203" spans="1:39" x14ac:dyDescent="0.25">
      <c r="A203" s="398"/>
      <c r="B203" s="496" t="s">
        <v>1138</v>
      </c>
      <c r="C203" s="1202">
        <f>'Inputs and eligible population'!I122/60</f>
        <v>0.5</v>
      </c>
      <c r="D203" s="131">
        <f t="shared" ref="D203:I203" si="100">D180*$C203</f>
        <v>0</v>
      </c>
      <c r="E203" s="131">
        <f t="shared" si="100"/>
        <v>0</v>
      </c>
      <c r="F203" s="131">
        <f t="shared" si="100"/>
        <v>0</v>
      </c>
      <c r="G203" s="131">
        <f t="shared" si="100"/>
        <v>0</v>
      </c>
      <c r="H203" s="131">
        <f t="shared" si="100"/>
        <v>0</v>
      </c>
      <c r="I203" s="131">
        <f t="shared" si="100"/>
        <v>0</v>
      </c>
      <c r="J203" s="398"/>
      <c r="K203" s="406">
        <f>(D203*'Inputs and eligible population'!$Q$122)/1000</f>
        <v>0</v>
      </c>
      <c r="L203" s="406">
        <f>(E203*'Inputs and eligible population'!$Q$122)/1000</f>
        <v>0</v>
      </c>
      <c r="M203" s="406">
        <f>(F203*'Inputs and eligible population'!$Q$122)/1000</f>
        <v>0</v>
      </c>
      <c r="N203" s="406">
        <f>(G203*'Inputs and eligible population'!$Q$122)/1000</f>
        <v>0</v>
      </c>
      <c r="O203" s="406">
        <f>(H203*'Inputs and eligible population'!$Q$122)/1000</f>
        <v>0</v>
      </c>
      <c r="P203" s="406">
        <f>(I203*'Inputs and eligible population'!$Q$122)/1000</f>
        <v>0</v>
      </c>
      <c r="Q203" s="260"/>
      <c r="R203" s="260"/>
      <c r="S203" s="260"/>
      <c r="T203" s="260"/>
      <c r="U203" s="260"/>
      <c r="V203" s="260"/>
      <c r="W203" s="260"/>
      <c r="X203" s="260"/>
      <c r="Y203" s="260"/>
      <c r="AI203" s="396"/>
      <c r="AJ203" s="396"/>
      <c r="AK203" s="396"/>
      <c r="AL203" s="396"/>
      <c r="AM203" s="396"/>
    </row>
    <row r="204" spans="1:39" x14ac:dyDescent="0.25">
      <c r="A204" s="398"/>
      <c r="B204" s="496" t="s">
        <v>1139</v>
      </c>
      <c r="C204" s="1202">
        <f>'Inputs and eligible population'!J122/60</f>
        <v>0.5</v>
      </c>
      <c r="D204" s="131">
        <f t="shared" ref="D204:I204" si="101">D181*$C204</f>
        <v>0</v>
      </c>
      <c r="E204" s="131">
        <f t="shared" si="101"/>
        <v>0</v>
      </c>
      <c r="F204" s="131">
        <f t="shared" si="101"/>
        <v>0</v>
      </c>
      <c r="G204" s="131">
        <f t="shared" si="101"/>
        <v>0</v>
      </c>
      <c r="H204" s="131">
        <f t="shared" si="101"/>
        <v>0</v>
      </c>
      <c r="I204" s="131">
        <f t="shared" si="101"/>
        <v>0</v>
      </c>
      <c r="J204" s="398"/>
      <c r="K204" s="406">
        <f>(D204*'Inputs and eligible population'!$Q$122)/1000</f>
        <v>0</v>
      </c>
      <c r="L204" s="406">
        <f>(E204*'Inputs and eligible population'!$Q$122)/1000</f>
        <v>0</v>
      </c>
      <c r="M204" s="406">
        <f>(F204*'Inputs and eligible population'!$Q$122)/1000</f>
        <v>0</v>
      </c>
      <c r="N204" s="406">
        <f>(G204*'Inputs and eligible population'!$Q$122)/1000</f>
        <v>0</v>
      </c>
      <c r="O204" s="406">
        <f>(H204*'Inputs and eligible population'!$Q$122)/1000</f>
        <v>0</v>
      </c>
      <c r="P204" s="406">
        <f>(I204*'Inputs and eligible population'!$Q$122)/1000</f>
        <v>0</v>
      </c>
      <c r="Q204" s="260"/>
      <c r="R204" s="260"/>
      <c r="S204" s="260"/>
      <c r="T204" s="260"/>
      <c r="U204" s="260"/>
      <c r="V204" s="260"/>
      <c r="W204" s="260"/>
      <c r="X204" s="260"/>
      <c r="Y204" s="260"/>
      <c r="AI204" s="396"/>
      <c r="AJ204" s="396"/>
      <c r="AK204" s="396"/>
      <c r="AL204" s="396"/>
      <c r="AM204" s="396"/>
    </row>
    <row r="205" spans="1:39" x14ac:dyDescent="0.25">
      <c r="A205" s="398"/>
      <c r="B205" s="496" t="s">
        <v>1140</v>
      </c>
      <c r="C205" s="1202">
        <f>'Inputs and eligible population'!K122/60</f>
        <v>0.5</v>
      </c>
      <c r="D205" s="131">
        <f t="shared" ref="D205:I205" si="102">D182*$C205</f>
        <v>0</v>
      </c>
      <c r="E205" s="131">
        <f t="shared" si="102"/>
        <v>0</v>
      </c>
      <c r="F205" s="131">
        <f t="shared" si="102"/>
        <v>0</v>
      </c>
      <c r="G205" s="131">
        <f t="shared" si="102"/>
        <v>0</v>
      </c>
      <c r="H205" s="131">
        <f t="shared" si="102"/>
        <v>0</v>
      </c>
      <c r="I205" s="131">
        <f t="shared" si="102"/>
        <v>0</v>
      </c>
      <c r="J205" s="398"/>
      <c r="K205" s="406">
        <f>(D205*'Inputs and eligible population'!$Q$122)/1000</f>
        <v>0</v>
      </c>
      <c r="L205" s="406">
        <f>(E205*'Inputs and eligible population'!$Q$122)/1000</f>
        <v>0</v>
      </c>
      <c r="M205" s="406">
        <f>(F205*'Inputs and eligible population'!$Q$122)/1000</f>
        <v>0</v>
      </c>
      <c r="N205" s="406">
        <f>(G205*'Inputs and eligible population'!$Q$122)/1000</f>
        <v>0</v>
      </c>
      <c r="O205" s="406">
        <f>(H205*'Inputs and eligible population'!$Q$122)/1000</f>
        <v>0</v>
      </c>
      <c r="P205" s="406">
        <f>(I205*'Inputs and eligible population'!$Q$122)/1000</f>
        <v>0</v>
      </c>
      <c r="Q205" s="260"/>
      <c r="R205" s="260"/>
      <c r="S205" s="260"/>
      <c r="T205" s="260"/>
      <c r="U205" s="260"/>
      <c r="V205" s="260"/>
      <c r="W205" s="260"/>
      <c r="X205" s="260"/>
      <c r="Y205" s="260"/>
      <c r="AI205" s="396"/>
      <c r="AJ205" s="396"/>
      <c r="AK205" s="396"/>
      <c r="AL205" s="396"/>
      <c r="AM205" s="396"/>
    </row>
    <row r="206" spans="1:39" x14ac:dyDescent="0.25">
      <c r="A206" s="398"/>
      <c r="B206" s="496" t="s">
        <v>1141</v>
      </c>
      <c r="C206" s="1202">
        <f>'Inputs and eligible population'!L122/60</f>
        <v>0.5</v>
      </c>
      <c r="D206" s="131">
        <f t="shared" ref="D206:I206" si="103">D183*$C206</f>
        <v>0</v>
      </c>
      <c r="E206" s="131">
        <f t="shared" si="103"/>
        <v>0</v>
      </c>
      <c r="F206" s="131">
        <f t="shared" si="103"/>
        <v>0</v>
      </c>
      <c r="G206" s="131">
        <f t="shared" si="103"/>
        <v>0</v>
      </c>
      <c r="H206" s="131">
        <f t="shared" si="103"/>
        <v>0</v>
      </c>
      <c r="I206" s="131">
        <f t="shared" si="103"/>
        <v>0</v>
      </c>
      <c r="J206" s="398"/>
      <c r="K206" s="406">
        <f>(D206*'Inputs and eligible population'!$Q$122)/1000</f>
        <v>0</v>
      </c>
      <c r="L206" s="406">
        <f>(E206*'Inputs and eligible population'!$Q$122)/1000</f>
        <v>0</v>
      </c>
      <c r="M206" s="406">
        <f>(F206*'Inputs and eligible population'!$Q$122)/1000</f>
        <v>0</v>
      </c>
      <c r="N206" s="406">
        <f>(G206*'Inputs and eligible population'!$Q$122)/1000</f>
        <v>0</v>
      </c>
      <c r="O206" s="406">
        <f>(H206*'Inputs and eligible population'!$Q$122)/1000</f>
        <v>0</v>
      </c>
      <c r="P206" s="406">
        <f>(I206*'Inputs and eligible population'!$Q$122)/1000</f>
        <v>0</v>
      </c>
      <c r="Q206" s="260"/>
      <c r="R206" s="260"/>
      <c r="S206" s="260"/>
      <c r="T206" s="260"/>
      <c r="U206" s="260"/>
      <c r="V206" s="260"/>
      <c r="W206" s="260"/>
      <c r="X206" s="260"/>
      <c r="Y206" s="260"/>
      <c r="AI206" s="396"/>
      <c r="AJ206" s="396"/>
      <c r="AK206" s="396"/>
      <c r="AL206" s="396"/>
      <c r="AM206" s="396"/>
    </row>
    <row r="207" spans="1:39" x14ac:dyDescent="0.25">
      <c r="A207" s="398"/>
      <c r="B207" s="496" t="s">
        <v>1142</v>
      </c>
      <c r="C207" s="1202">
        <f>'Inputs and eligible population'!M122/60</f>
        <v>0.5</v>
      </c>
      <c r="D207" s="131">
        <f t="shared" ref="D207:I207" si="104">D184*$C207</f>
        <v>0</v>
      </c>
      <c r="E207" s="131">
        <f t="shared" si="104"/>
        <v>0</v>
      </c>
      <c r="F207" s="131">
        <f t="shared" si="104"/>
        <v>0</v>
      </c>
      <c r="G207" s="131">
        <f t="shared" si="104"/>
        <v>0</v>
      </c>
      <c r="H207" s="131">
        <f t="shared" si="104"/>
        <v>0</v>
      </c>
      <c r="I207" s="131">
        <f t="shared" si="104"/>
        <v>0</v>
      </c>
      <c r="J207" s="398"/>
      <c r="K207" s="406">
        <f>(D207*'Inputs and eligible population'!$Q$122)/1000</f>
        <v>0</v>
      </c>
      <c r="L207" s="406">
        <f>(E207*'Inputs and eligible population'!$Q$122)/1000</f>
        <v>0</v>
      </c>
      <c r="M207" s="406">
        <f>(F207*'Inputs and eligible population'!$Q$122)/1000</f>
        <v>0</v>
      </c>
      <c r="N207" s="406">
        <f>(G207*'Inputs and eligible population'!$Q$122)/1000</f>
        <v>0</v>
      </c>
      <c r="O207" s="406">
        <f>(H207*'Inputs and eligible population'!$Q$122)/1000</f>
        <v>0</v>
      </c>
      <c r="P207" s="406">
        <f>(I207*'Inputs and eligible population'!$Q$122)/1000</f>
        <v>0</v>
      </c>
      <c r="Q207" s="260"/>
      <c r="R207" s="260"/>
      <c r="S207" s="260"/>
      <c r="T207" s="260"/>
      <c r="U207" s="260"/>
      <c r="V207" s="260"/>
      <c r="W207" s="260"/>
      <c r="X207" s="260"/>
      <c r="Y207" s="260"/>
      <c r="AI207" s="396"/>
      <c r="AJ207" s="396"/>
      <c r="AK207" s="396"/>
      <c r="AL207" s="396"/>
      <c r="AM207" s="396"/>
    </row>
    <row r="208" spans="1:39" x14ac:dyDescent="0.25">
      <c r="A208" s="398"/>
      <c r="B208" s="394"/>
      <c r="C208" s="327"/>
      <c r="D208" s="313">
        <f t="shared" ref="D208:I208" si="105">SUM(D200:D207)</f>
        <v>0</v>
      </c>
      <c r="E208" s="313">
        <f t="shared" si="105"/>
        <v>0</v>
      </c>
      <c r="F208" s="313">
        <f t="shared" si="105"/>
        <v>0</v>
      </c>
      <c r="G208" s="313">
        <f t="shared" si="105"/>
        <v>0</v>
      </c>
      <c r="H208" s="313">
        <f t="shared" si="105"/>
        <v>0</v>
      </c>
      <c r="I208" s="313">
        <f t="shared" si="105"/>
        <v>0</v>
      </c>
      <c r="J208" s="398"/>
      <c r="K208" s="1112">
        <f>SUM(K200:K207)</f>
        <v>0</v>
      </c>
      <c r="L208" s="1112">
        <f t="shared" ref="L208:P208" si="106">SUM(L200:L207)</f>
        <v>0</v>
      </c>
      <c r="M208" s="1112">
        <f t="shared" si="106"/>
        <v>0</v>
      </c>
      <c r="N208" s="1112">
        <f t="shared" si="106"/>
        <v>0</v>
      </c>
      <c r="O208" s="1112">
        <f t="shared" si="106"/>
        <v>0</v>
      </c>
      <c r="P208" s="1112">
        <f t="shared" si="106"/>
        <v>0</v>
      </c>
      <c r="Q208" s="260"/>
      <c r="R208" s="260"/>
      <c r="S208" s="260"/>
      <c r="T208" s="260"/>
      <c r="U208" s="260"/>
      <c r="V208" s="260"/>
      <c r="W208" s="260"/>
      <c r="X208" s="260"/>
      <c r="Y208" s="260"/>
      <c r="AI208" s="396"/>
      <c r="AJ208" s="396"/>
      <c r="AK208" s="396"/>
      <c r="AL208" s="396"/>
      <c r="AM208" s="396"/>
    </row>
    <row r="209" spans="1:39" x14ac:dyDescent="0.25">
      <c r="A209" s="398"/>
      <c r="B209" s="425"/>
      <c r="C209" s="377"/>
      <c r="D209" s="395" t="s">
        <v>821</v>
      </c>
      <c r="E209" s="313">
        <f>E208-$D$185</f>
        <v>0</v>
      </c>
      <c r="F209" s="313">
        <f>F208-$D$185</f>
        <v>0</v>
      </c>
      <c r="G209" s="313">
        <f>G208-$D$185</f>
        <v>0</v>
      </c>
      <c r="H209" s="313">
        <f>H208-$D$185</f>
        <v>0</v>
      </c>
      <c r="I209" s="313">
        <f>I208-$D$185</f>
        <v>0</v>
      </c>
      <c r="J209" s="398"/>
      <c r="K209" s="636"/>
      <c r="L209" s="1112">
        <f>L208-$K$185</f>
        <v>0</v>
      </c>
      <c r="M209" s="1112">
        <f t="shared" ref="M209:P209" si="107">M208-$K$185</f>
        <v>0</v>
      </c>
      <c r="N209" s="1112">
        <f t="shared" si="107"/>
        <v>0</v>
      </c>
      <c r="O209" s="1112">
        <f t="shared" si="107"/>
        <v>0</v>
      </c>
      <c r="P209" s="1112">
        <f t="shared" si="107"/>
        <v>0</v>
      </c>
      <c r="U209" s="260"/>
    </row>
    <row r="210" spans="1:39" x14ac:dyDescent="0.25">
      <c r="A210" s="398"/>
      <c r="B210" s="448"/>
      <c r="C210" s="336"/>
      <c r="D210" s="336"/>
      <c r="E210" s="336"/>
      <c r="F210" s="336"/>
      <c r="G210" s="336"/>
      <c r="H210" s="336"/>
      <c r="I210" s="336"/>
      <c r="J210" s="336"/>
      <c r="K210" s="336"/>
      <c r="L210" s="336"/>
      <c r="M210" s="336"/>
      <c r="N210" s="336"/>
      <c r="O210" s="336"/>
      <c r="P210" s="336"/>
      <c r="Q210" s="260"/>
      <c r="R210" s="260"/>
      <c r="S210" s="260"/>
      <c r="T210" s="260"/>
      <c r="U210" s="260"/>
      <c r="V210" s="260"/>
      <c r="W210" s="260"/>
      <c r="X210" s="260"/>
      <c r="Y210" s="260"/>
      <c r="AI210" s="396"/>
      <c r="AJ210" s="396"/>
      <c r="AK210" s="396"/>
      <c r="AL210" s="396"/>
      <c r="AM210" s="396"/>
    </row>
    <row r="211" spans="1:39" x14ac:dyDescent="0.25">
      <c r="A211" s="400"/>
      <c r="B211" s="451" t="s">
        <v>824</v>
      </c>
      <c r="C211" s="433"/>
      <c r="D211" s="434"/>
      <c r="E211" s="435"/>
      <c r="F211" s="436"/>
      <c r="G211" s="436"/>
      <c r="H211" s="436"/>
      <c r="I211" s="649"/>
      <c r="J211" s="400"/>
      <c r="K211" s="400"/>
      <c r="L211" s="400"/>
      <c r="M211" s="400"/>
      <c r="N211" s="400"/>
      <c r="O211" s="400"/>
      <c r="P211" s="340"/>
      <c r="Q211" s="260"/>
      <c r="R211" s="260"/>
      <c r="S211" s="260"/>
      <c r="T211" s="260"/>
      <c r="U211" s="260"/>
      <c r="V211" s="260"/>
      <c r="W211" s="260"/>
      <c r="X211" s="260"/>
      <c r="Y211" s="260"/>
      <c r="AI211" s="396"/>
      <c r="AJ211" s="396"/>
      <c r="AK211" s="396"/>
      <c r="AL211" s="396"/>
      <c r="AM211" s="396"/>
    </row>
    <row r="212" spans="1:39" x14ac:dyDescent="0.25">
      <c r="A212" s="400"/>
      <c r="B212" s="566" t="str">
        <f>'Inputs and eligible population'!D123</f>
        <v>Clinical biochemistry</v>
      </c>
      <c r="C212" s="567"/>
      <c r="D212" s="567"/>
      <c r="E212" s="567"/>
      <c r="F212" s="567"/>
      <c r="G212" s="567"/>
      <c r="H212" s="567"/>
      <c r="I212" s="339"/>
      <c r="J212" s="340"/>
      <c r="K212" s="642"/>
      <c r="L212" s="642"/>
      <c r="M212" s="642"/>
      <c r="N212" s="642"/>
      <c r="O212" s="642"/>
      <c r="P212" s="642"/>
      <c r="Q212" s="260"/>
      <c r="R212" s="260"/>
      <c r="S212" s="260"/>
      <c r="T212" s="260"/>
      <c r="U212" s="260"/>
      <c r="V212" s="260"/>
      <c r="W212" s="260"/>
      <c r="X212" s="260"/>
      <c r="Y212" s="260"/>
      <c r="AI212" s="396"/>
      <c r="AJ212" s="396"/>
      <c r="AK212" s="396"/>
      <c r="AL212" s="396"/>
      <c r="AM212" s="396"/>
    </row>
    <row r="213" spans="1:39" ht="45" x14ac:dyDescent="0.25">
      <c r="A213" s="400"/>
      <c r="B213" s="390" t="s">
        <v>111</v>
      </c>
      <c r="C213" s="291" t="s">
        <v>825</v>
      </c>
      <c r="D213" s="629" t="s">
        <v>792</v>
      </c>
      <c r="E213" s="376" t="s">
        <v>56</v>
      </c>
      <c r="F213" s="376" t="s">
        <v>57</v>
      </c>
      <c r="G213" s="290" t="s">
        <v>793</v>
      </c>
      <c r="H213" s="290" t="s">
        <v>794</v>
      </c>
      <c r="I213" s="376" t="s">
        <v>795</v>
      </c>
      <c r="J213" s="400"/>
      <c r="K213" s="629" t="s">
        <v>1248</v>
      </c>
      <c r="L213" s="1114" t="s">
        <v>1249</v>
      </c>
      <c r="M213" s="1114" t="s">
        <v>1250</v>
      </c>
      <c r="N213" s="631" t="s">
        <v>1251</v>
      </c>
      <c r="O213" s="631" t="s">
        <v>1252</v>
      </c>
      <c r="P213" s="1114" t="s">
        <v>1253</v>
      </c>
      <c r="Q213" s="260"/>
      <c r="R213" s="260"/>
      <c r="S213" s="260"/>
      <c r="T213" s="260"/>
      <c r="U213" s="260"/>
      <c r="V213" s="260"/>
      <c r="W213" s="260"/>
      <c r="X213" s="260"/>
      <c r="Y213" s="260"/>
      <c r="AI213" s="396"/>
      <c r="AJ213" s="396"/>
      <c r="AK213" s="396"/>
      <c r="AL213" s="396"/>
      <c r="AM213" s="396"/>
    </row>
    <row r="214" spans="1:39" x14ac:dyDescent="0.25">
      <c r="A214" s="400"/>
      <c r="B214" s="496" t="s">
        <v>1135</v>
      </c>
      <c r="C214" s="131">
        <f>'Inputs and eligible population'!F$123</f>
        <v>12</v>
      </c>
      <c r="D214" s="131">
        <f>$C214*'Financial impact (cash)'!D30</f>
        <v>0</v>
      </c>
      <c r="E214" s="131">
        <f>$C214*'Financial impact (cash)'!E30</f>
        <v>0</v>
      </c>
      <c r="F214" s="131">
        <f>$C214*'Financial impact (cash)'!F30</f>
        <v>0</v>
      </c>
      <c r="G214" s="131">
        <f>$C214*'Financial impact (cash)'!G30</f>
        <v>0</v>
      </c>
      <c r="H214" s="131">
        <f>$C214*'Financial impact (cash)'!H30</f>
        <v>0</v>
      </c>
      <c r="I214" s="131">
        <f>$C214*'Financial impact (cash)'!I30</f>
        <v>0</v>
      </c>
      <c r="J214" s="400"/>
      <c r="K214" s="406">
        <f>(D214*'Inputs and eligible population'!$Q$123)/1000</f>
        <v>0</v>
      </c>
      <c r="L214" s="406">
        <f>(E214*'Inputs and eligible population'!$Q$123)/1000</f>
        <v>0</v>
      </c>
      <c r="M214" s="406">
        <f>(F214*'Inputs and eligible population'!$Q$123)/1000</f>
        <v>0</v>
      </c>
      <c r="N214" s="406">
        <f>(G214*'Inputs and eligible population'!$Q$123)/1000</f>
        <v>0</v>
      </c>
      <c r="O214" s="406">
        <f>(H214*'Inputs and eligible population'!$Q$123)/1000</f>
        <v>0</v>
      </c>
      <c r="P214" s="406">
        <f>(I214*'Inputs and eligible population'!$Q$123)/1000</f>
        <v>0</v>
      </c>
      <c r="Q214" s="260"/>
      <c r="R214" s="260"/>
      <c r="S214" s="260"/>
      <c r="T214" s="260"/>
      <c r="U214" s="260"/>
      <c r="V214" s="260"/>
      <c r="W214" s="260"/>
      <c r="X214" s="260"/>
      <c r="Y214" s="260"/>
      <c r="AI214" s="396"/>
      <c r="AJ214" s="396"/>
      <c r="AK214" s="396"/>
      <c r="AL214" s="396"/>
      <c r="AM214" s="396"/>
    </row>
    <row r="215" spans="1:39" x14ac:dyDescent="0.25">
      <c r="A215" s="400"/>
      <c r="B215" s="496" t="s">
        <v>1136</v>
      </c>
      <c r="C215" s="131">
        <f>'Inputs and eligible population'!G$123</f>
        <v>8</v>
      </c>
      <c r="D215" s="131">
        <f>$C215*'Financial impact (cash)'!D31</f>
        <v>0</v>
      </c>
      <c r="E215" s="131">
        <f>$C215*'Financial impact (cash)'!E31</f>
        <v>0</v>
      </c>
      <c r="F215" s="131">
        <f>$C215*'Financial impact (cash)'!F31</f>
        <v>0</v>
      </c>
      <c r="G215" s="131">
        <f>$C215*'Financial impact (cash)'!G31</f>
        <v>0</v>
      </c>
      <c r="H215" s="131">
        <f>$C215*'Financial impact (cash)'!H31</f>
        <v>0</v>
      </c>
      <c r="I215" s="131">
        <f>$C215*'Financial impact (cash)'!I31</f>
        <v>0</v>
      </c>
      <c r="J215" s="400"/>
      <c r="K215" s="406">
        <f>(D215*'Inputs and eligible population'!$Q$123)/1000</f>
        <v>0</v>
      </c>
      <c r="L215" s="406">
        <f>(E215*'Inputs and eligible population'!$Q$123)/1000</f>
        <v>0</v>
      </c>
      <c r="M215" s="406">
        <f>(F215*'Inputs and eligible population'!$Q$123)/1000</f>
        <v>0</v>
      </c>
      <c r="N215" s="406">
        <f>(G215*'Inputs and eligible population'!$Q$123)/1000</f>
        <v>0</v>
      </c>
      <c r="O215" s="406">
        <f>(H215*'Inputs and eligible population'!$Q$123)/1000</f>
        <v>0</v>
      </c>
      <c r="P215" s="406">
        <f>(I215*'Inputs and eligible population'!$Q$123)/1000</f>
        <v>0</v>
      </c>
      <c r="Q215" s="260"/>
      <c r="R215" s="260"/>
      <c r="S215" s="260"/>
      <c r="T215" s="260"/>
      <c r="U215" s="260"/>
      <c r="V215" s="260"/>
      <c r="W215" s="260"/>
      <c r="X215" s="260"/>
      <c r="Y215" s="260"/>
      <c r="AI215" s="396"/>
      <c r="AJ215" s="396"/>
      <c r="AK215" s="396"/>
      <c r="AL215" s="396"/>
      <c r="AM215" s="396"/>
    </row>
    <row r="216" spans="1:39" x14ac:dyDescent="0.25">
      <c r="A216" s="400"/>
      <c r="B216" s="496" t="s">
        <v>1137</v>
      </c>
      <c r="C216" s="131">
        <f>'Inputs and eligible population'!H$123</f>
        <v>16</v>
      </c>
      <c r="D216" s="131">
        <f>$C216*'Financial impact (cash)'!D32</f>
        <v>0</v>
      </c>
      <c r="E216" s="131">
        <f>$C216*'Financial impact (cash)'!E32</f>
        <v>0</v>
      </c>
      <c r="F216" s="131">
        <f>$C216*'Financial impact (cash)'!F32</f>
        <v>0</v>
      </c>
      <c r="G216" s="131">
        <f>$C216*'Financial impact (cash)'!G32</f>
        <v>0</v>
      </c>
      <c r="H216" s="131">
        <f>$C216*'Financial impact (cash)'!H32</f>
        <v>0</v>
      </c>
      <c r="I216" s="131">
        <f>$C216*'Financial impact (cash)'!I32</f>
        <v>0</v>
      </c>
      <c r="J216" s="400"/>
      <c r="K216" s="406">
        <f>(D216*'Inputs and eligible population'!$Q$123)/1000</f>
        <v>0</v>
      </c>
      <c r="L216" s="406">
        <f>(E216*'Inputs and eligible population'!$Q$123)/1000</f>
        <v>0</v>
      </c>
      <c r="M216" s="406">
        <f>(F216*'Inputs and eligible population'!$Q$123)/1000</f>
        <v>0</v>
      </c>
      <c r="N216" s="406">
        <f>(G216*'Inputs and eligible population'!$Q$123)/1000</f>
        <v>0</v>
      </c>
      <c r="O216" s="406">
        <f>(H216*'Inputs and eligible population'!$Q$123)/1000</f>
        <v>0</v>
      </c>
      <c r="P216" s="406">
        <f>(I216*'Inputs and eligible population'!$Q$123)/1000</f>
        <v>0</v>
      </c>
      <c r="Q216" s="260"/>
      <c r="R216" s="260"/>
      <c r="S216" s="260"/>
      <c r="T216" s="260"/>
      <c r="U216" s="260"/>
      <c r="V216" s="260"/>
      <c r="W216" s="260"/>
      <c r="X216" s="260"/>
      <c r="Y216" s="260"/>
      <c r="AI216" s="396"/>
      <c r="AJ216" s="396"/>
      <c r="AK216" s="396"/>
      <c r="AL216" s="396"/>
      <c r="AM216" s="396"/>
    </row>
    <row r="217" spans="1:39" x14ac:dyDescent="0.25">
      <c r="A217" s="400"/>
      <c r="B217" s="496" t="s">
        <v>1138</v>
      </c>
      <c r="C217" s="131">
        <f>'Inputs and eligible population'!I$123</f>
        <v>12</v>
      </c>
      <c r="D217" s="131">
        <f>$C217*'Financial impact (cash)'!D33</f>
        <v>0</v>
      </c>
      <c r="E217" s="131">
        <f>$C217*'Financial impact (cash)'!E33</f>
        <v>0</v>
      </c>
      <c r="F217" s="131">
        <f>$C217*'Financial impact (cash)'!F33</f>
        <v>0</v>
      </c>
      <c r="G217" s="131">
        <f>$C217*'Financial impact (cash)'!G33</f>
        <v>0</v>
      </c>
      <c r="H217" s="131">
        <f>$C217*'Financial impact (cash)'!H33</f>
        <v>0</v>
      </c>
      <c r="I217" s="131">
        <f>$C217*'Financial impact (cash)'!I33</f>
        <v>0</v>
      </c>
      <c r="J217" s="400"/>
      <c r="K217" s="406">
        <f>(D217*'Inputs and eligible population'!$Q$123)/1000</f>
        <v>0</v>
      </c>
      <c r="L217" s="406">
        <f>(E217*'Inputs and eligible population'!$Q$123)/1000</f>
        <v>0</v>
      </c>
      <c r="M217" s="406">
        <f>(F217*'Inputs and eligible population'!$Q$123)/1000</f>
        <v>0</v>
      </c>
      <c r="N217" s="406">
        <f>(G217*'Inputs and eligible population'!$Q$123)/1000</f>
        <v>0</v>
      </c>
      <c r="O217" s="406">
        <f>(H217*'Inputs and eligible population'!$Q$123)/1000</f>
        <v>0</v>
      </c>
      <c r="P217" s="406">
        <f>(I217*'Inputs and eligible population'!$Q$123)/1000</f>
        <v>0</v>
      </c>
      <c r="Q217" s="260"/>
      <c r="R217" s="260"/>
      <c r="S217" s="260"/>
      <c r="T217" s="260"/>
      <c r="U217" s="260"/>
      <c r="V217" s="260"/>
      <c r="W217" s="260"/>
      <c r="X217" s="260"/>
      <c r="Y217" s="260"/>
      <c r="AI217" s="396"/>
      <c r="AJ217" s="396"/>
      <c r="AK217" s="396"/>
      <c r="AL217" s="396"/>
      <c r="AM217" s="396"/>
    </row>
    <row r="218" spans="1:39" x14ac:dyDescent="0.25">
      <c r="A218" s="400"/>
      <c r="B218" s="496" t="s">
        <v>1139</v>
      </c>
      <c r="C218" s="131">
        <f>'Inputs and eligible population'!J$123</f>
        <v>12</v>
      </c>
      <c r="D218" s="131">
        <f>$C218*'Financial impact (cash)'!D34</f>
        <v>0</v>
      </c>
      <c r="E218" s="131">
        <f>$C218*'Financial impact (cash)'!E34</f>
        <v>0</v>
      </c>
      <c r="F218" s="131">
        <f>$C218*'Financial impact (cash)'!F34</f>
        <v>0</v>
      </c>
      <c r="G218" s="131">
        <f>$C218*'Financial impact (cash)'!G34</f>
        <v>0</v>
      </c>
      <c r="H218" s="131">
        <f>$C218*'Financial impact (cash)'!H34</f>
        <v>0</v>
      </c>
      <c r="I218" s="131">
        <f>$C218*'Financial impact (cash)'!I34</f>
        <v>0</v>
      </c>
      <c r="J218" s="400"/>
      <c r="K218" s="406">
        <f>(D218*'Inputs and eligible population'!$Q$123)/1000</f>
        <v>0</v>
      </c>
      <c r="L218" s="406">
        <f>(E218*'Inputs and eligible population'!$Q$123)/1000</f>
        <v>0</v>
      </c>
      <c r="M218" s="406">
        <f>(F218*'Inputs and eligible population'!$Q$123)/1000</f>
        <v>0</v>
      </c>
      <c r="N218" s="406">
        <f>(G218*'Inputs and eligible population'!$Q$123)/1000</f>
        <v>0</v>
      </c>
      <c r="O218" s="406">
        <f>(H218*'Inputs and eligible population'!$Q$123)/1000</f>
        <v>0</v>
      </c>
      <c r="P218" s="406">
        <f>(I218*'Inputs and eligible population'!$Q$123)/1000</f>
        <v>0</v>
      </c>
      <c r="Q218" s="260"/>
      <c r="R218" s="260"/>
      <c r="S218" s="260"/>
      <c r="T218" s="260"/>
      <c r="U218" s="260"/>
      <c r="V218" s="260"/>
      <c r="W218" s="260"/>
      <c r="X218" s="260"/>
      <c r="Y218" s="260"/>
      <c r="AI218" s="396"/>
      <c r="AJ218" s="396"/>
      <c r="AK218" s="396"/>
      <c r="AL218" s="396"/>
      <c r="AM218" s="396"/>
    </row>
    <row r="219" spans="1:39" x14ac:dyDescent="0.25">
      <c r="A219" s="400"/>
      <c r="B219" s="496" t="s">
        <v>1140</v>
      </c>
      <c r="C219" s="131">
        <f>'Inputs and eligible population'!K$123</f>
        <v>16</v>
      </c>
      <c r="D219" s="131">
        <f>$C219*'Financial impact (cash)'!D35</f>
        <v>0</v>
      </c>
      <c r="E219" s="131">
        <f>$C219*'Financial impact (cash)'!E35</f>
        <v>0</v>
      </c>
      <c r="F219" s="131">
        <f>$C219*'Financial impact (cash)'!F35</f>
        <v>0</v>
      </c>
      <c r="G219" s="131">
        <f>$C219*'Financial impact (cash)'!G35</f>
        <v>0</v>
      </c>
      <c r="H219" s="131">
        <f>$C219*'Financial impact (cash)'!H35</f>
        <v>0</v>
      </c>
      <c r="I219" s="131">
        <f>$C219*'Financial impact (cash)'!I35</f>
        <v>0</v>
      </c>
      <c r="J219" s="400"/>
      <c r="K219" s="406">
        <f>(D219*'Inputs and eligible population'!$Q$123)/1000</f>
        <v>0</v>
      </c>
      <c r="L219" s="406">
        <f>(E219*'Inputs and eligible population'!$Q$123)/1000</f>
        <v>0</v>
      </c>
      <c r="M219" s="406">
        <f>(F219*'Inputs and eligible population'!$Q$123)/1000</f>
        <v>0</v>
      </c>
      <c r="N219" s="406">
        <f>(G219*'Inputs and eligible population'!$Q$123)/1000</f>
        <v>0</v>
      </c>
      <c r="O219" s="406">
        <f>(H219*'Inputs and eligible population'!$Q$123)/1000</f>
        <v>0</v>
      </c>
      <c r="P219" s="406">
        <f>(I219*'Inputs and eligible population'!$Q$123)/1000</f>
        <v>0</v>
      </c>
      <c r="Q219" s="260"/>
      <c r="R219" s="260"/>
      <c r="S219" s="260"/>
      <c r="T219" s="260"/>
      <c r="U219" s="260"/>
      <c r="V219" s="260"/>
      <c r="W219" s="260"/>
      <c r="X219" s="260"/>
      <c r="Y219" s="260"/>
      <c r="AI219" s="396"/>
      <c r="AJ219" s="396"/>
      <c r="AK219" s="396"/>
      <c r="AL219" s="396"/>
      <c r="AM219" s="396"/>
    </row>
    <row r="220" spans="1:39" x14ac:dyDescent="0.25">
      <c r="A220" s="400"/>
      <c r="B220" s="496" t="s">
        <v>1141</v>
      </c>
      <c r="C220" s="131">
        <f>'Inputs and eligible population'!L$123</f>
        <v>24</v>
      </c>
      <c r="D220" s="131">
        <f>$C220*'Financial impact (cash)'!D36</f>
        <v>0</v>
      </c>
      <c r="E220" s="131">
        <f>$C220*'Financial impact (cash)'!E36</f>
        <v>0</v>
      </c>
      <c r="F220" s="131">
        <f>$C220*'Financial impact (cash)'!F36</f>
        <v>0</v>
      </c>
      <c r="G220" s="131">
        <f>$C220*'Financial impact (cash)'!G36</f>
        <v>0</v>
      </c>
      <c r="H220" s="131">
        <f>$C220*'Financial impact (cash)'!H36</f>
        <v>0</v>
      </c>
      <c r="I220" s="131">
        <f>$C220*'Financial impact (cash)'!I36</f>
        <v>0</v>
      </c>
      <c r="J220" s="400"/>
      <c r="K220" s="406">
        <f>(D220*'Inputs and eligible population'!$Q$123)/1000</f>
        <v>0</v>
      </c>
      <c r="L220" s="406">
        <f>(E220*'Inputs and eligible population'!$Q$123)/1000</f>
        <v>0</v>
      </c>
      <c r="M220" s="406">
        <f>(F220*'Inputs and eligible population'!$Q$123)/1000</f>
        <v>0</v>
      </c>
      <c r="N220" s="406">
        <f>(G220*'Inputs and eligible population'!$Q$123)/1000</f>
        <v>0</v>
      </c>
      <c r="O220" s="406">
        <f>(H220*'Inputs and eligible population'!$Q$123)/1000</f>
        <v>0</v>
      </c>
      <c r="P220" s="406">
        <f>(I220*'Inputs and eligible population'!$Q$123)/1000</f>
        <v>0</v>
      </c>
      <c r="Q220" s="260"/>
      <c r="R220" s="260"/>
      <c r="S220" s="260"/>
      <c r="T220" s="260"/>
      <c r="U220" s="260"/>
      <c r="V220" s="260"/>
      <c r="W220" s="260"/>
      <c r="X220" s="260"/>
      <c r="Y220" s="260"/>
      <c r="AI220" s="396"/>
      <c r="AJ220" s="396"/>
      <c r="AK220" s="396"/>
      <c r="AL220" s="396"/>
      <c r="AM220" s="396"/>
    </row>
    <row r="221" spans="1:39" x14ac:dyDescent="0.25">
      <c r="A221" s="400"/>
      <c r="B221" s="496" t="s">
        <v>1142</v>
      </c>
      <c r="C221" s="131">
        <f>'Inputs and eligible population'!M$123</f>
        <v>8</v>
      </c>
      <c r="D221" s="131">
        <f>$C221*'Financial impact (cash)'!D37</f>
        <v>0</v>
      </c>
      <c r="E221" s="131">
        <f>$C221*'Financial impact (cash)'!E37</f>
        <v>0</v>
      </c>
      <c r="F221" s="131">
        <f>$C221*'Financial impact (cash)'!F37</f>
        <v>0</v>
      </c>
      <c r="G221" s="131">
        <f>$C221*'Financial impact (cash)'!G37</f>
        <v>0</v>
      </c>
      <c r="H221" s="131">
        <f>$C221*'Financial impact (cash)'!H37</f>
        <v>0</v>
      </c>
      <c r="I221" s="131">
        <f>$C221*'Financial impact (cash)'!I37</f>
        <v>0</v>
      </c>
      <c r="J221" s="400"/>
      <c r="K221" s="406">
        <f>(D221*'Inputs and eligible population'!$Q$123)/1000</f>
        <v>0</v>
      </c>
      <c r="L221" s="406">
        <f>(E221*'Inputs and eligible population'!$Q$123)/1000</f>
        <v>0</v>
      </c>
      <c r="M221" s="406">
        <f>(F221*'Inputs and eligible population'!$Q$123)/1000</f>
        <v>0</v>
      </c>
      <c r="N221" s="406">
        <f>(G221*'Inputs and eligible population'!$Q$123)/1000</f>
        <v>0</v>
      </c>
      <c r="O221" s="406">
        <f>(H221*'Inputs and eligible population'!$Q$123)/1000</f>
        <v>0</v>
      </c>
      <c r="P221" s="406">
        <f>(I221*'Inputs and eligible population'!$Q$123)/1000</f>
        <v>0</v>
      </c>
      <c r="Q221" s="260"/>
      <c r="R221" s="260"/>
      <c r="S221" s="260"/>
      <c r="T221" s="260"/>
      <c r="U221" s="260"/>
      <c r="V221" s="260"/>
      <c r="W221" s="260"/>
      <c r="X221" s="260"/>
      <c r="Y221" s="260"/>
      <c r="AI221" s="396"/>
      <c r="AJ221" s="396"/>
      <c r="AK221" s="396"/>
      <c r="AL221" s="396"/>
      <c r="AM221" s="396"/>
    </row>
    <row r="222" spans="1:39" x14ac:dyDescent="0.25">
      <c r="A222" s="400"/>
      <c r="B222" s="394"/>
      <c r="C222" s="327"/>
      <c r="D222" s="313">
        <f t="shared" ref="D222:I222" si="108">SUM(D214:D221)</f>
        <v>0</v>
      </c>
      <c r="E222" s="313">
        <f t="shared" si="108"/>
        <v>0</v>
      </c>
      <c r="F222" s="313">
        <f t="shared" si="108"/>
        <v>0</v>
      </c>
      <c r="G222" s="313">
        <f t="shared" si="108"/>
        <v>0</v>
      </c>
      <c r="H222" s="313">
        <f t="shared" si="108"/>
        <v>0</v>
      </c>
      <c r="I222" s="313">
        <f t="shared" si="108"/>
        <v>0</v>
      </c>
      <c r="J222" s="400"/>
      <c r="K222" s="314">
        <f>SUM(K214:K221)</f>
        <v>0</v>
      </c>
      <c r="L222" s="314">
        <f t="shared" ref="L222" si="109">SUM(L214:L221)</f>
        <v>0</v>
      </c>
      <c r="M222" s="314">
        <f t="shared" ref="M222" si="110">SUM(M214:M221)</f>
        <v>0</v>
      </c>
      <c r="N222" s="314">
        <f t="shared" ref="N222" si="111">SUM(N214:N221)</f>
        <v>0</v>
      </c>
      <c r="O222" s="314">
        <f t="shared" ref="O222" si="112">SUM(O214:O221)</f>
        <v>0</v>
      </c>
      <c r="P222" s="314">
        <f t="shared" ref="P222" si="113">SUM(P214:P221)</f>
        <v>0</v>
      </c>
      <c r="Q222" s="260"/>
      <c r="R222" s="260"/>
      <c r="S222" s="260"/>
      <c r="T222" s="260"/>
      <c r="U222" s="260"/>
      <c r="V222" s="260"/>
      <c r="W222" s="260"/>
      <c r="X222" s="260"/>
      <c r="Y222" s="260"/>
      <c r="AI222" s="396"/>
      <c r="AJ222" s="396"/>
      <c r="AK222" s="396"/>
      <c r="AL222" s="396"/>
      <c r="AM222" s="396"/>
    </row>
    <row r="223" spans="1:39" x14ac:dyDescent="0.25">
      <c r="A223" s="400"/>
      <c r="B223" s="425"/>
      <c r="C223" s="377"/>
      <c r="D223" s="395" t="s">
        <v>1263</v>
      </c>
      <c r="E223" s="313">
        <f>E222-$D$222</f>
        <v>0</v>
      </c>
      <c r="F223" s="313">
        <f>F222-$D$222</f>
        <v>0</v>
      </c>
      <c r="G223" s="313">
        <f>G222-$D$222</f>
        <v>0</v>
      </c>
      <c r="H223" s="313">
        <f>H222-$D$222</f>
        <v>0</v>
      </c>
      <c r="I223" s="313">
        <f>I222-$D$222</f>
        <v>0</v>
      </c>
      <c r="J223" s="400"/>
      <c r="K223" s="638"/>
      <c r="L223" s="314">
        <f>L222-$K$222</f>
        <v>0</v>
      </c>
      <c r="M223" s="314">
        <f t="shared" ref="M223:P223" si="114">M222-$K$222</f>
        <v>0</v>
      </c>
      <c r="N223" s="314">
        <f t="shared" si="114"/>
        <v>0</v>
      </c>
      <c r="O223" s="314">
        <f t="shared" si="114"/>
        <v>0</v>
      </c>
      <c r="P223" s="314">
        <f t="shared" si="114"/>
        <v>0</v>
      </c>
      <c r="U223" s="260"/>
    </row>
    <row r="224" spans="1:39" x14ac:dyDescent="0.25">
      <c r="A224" s="400"/>
      <c r="B224" s="452"/>
      <c r="C224" s="340"/>
      <c r="D224" s="340"/>
      <c r="E224" s="340"/>
      <c r="F224" s="340"/>
      <c r="G224" s="340"/>
      <c r="H224" s="340"/>
      <c r="I224" s="340"/>
      <c r="J224" s="400"/>
      <c r="K224" s="340"/>
      <c r="L224" s="340"/>
      <c r="M224" s="340"/>
      <c r="N224" s="340"/>
      <c r="O224" s="340"/>
      <c r="P224" s="340"/>
      <c r="U224" s="260"/>
    </row>
    <row r="225" spans="1:39" x14ac:dyDescent="0.25">
      <c r="A225" s="400"/>
      <c r="B225" s="566" t="str">
        <f>'Inputs and eligible population'!D124</f>
        <v>Haematology</v>
      </c>
      <c r="C225" s="567"/>
      <c r="D225" s="567"/>
      <c r="E225" s="567"/>
      <c r="F225" s="567"/>
      <c r="G225" s="567"/>
      <c r="H225" s="567"/>
      <c r="I225" s="339"/>
      <c r="J225" s="400"/>
      <c r="K225" s="642"/>
      <c r="L225" s="642"/>
      <c r="M225" s="642"/>
      <c r="N225" s="642"/>
      <c r="O225" s="642"/>
      <c r="P225" s="642"/>
      <c r="Q225" s="260"/>
      <c r="R225" s="260"/>
      <c r="S225" s="260"/>
      <c r="T225" s="260"/>
      <c r="U225" s="260"/>
      <c r="V225" s="260"/>
      <c r="W225" s="260"/>
      <c r="X225" s="260"/>
      <c r="Y225" s="260"/>
      <c r="AI225" s="396"/>
      <c r="AJ225" s="396"/>
      <c r="AK225" s="396"/>
      <c r="AL225" s="396"/>
      <c r="AM225" s="396"/>
    </row>
    <row r="226" spans="1:39" ht="45" x14ac:dyDescent="0.25">
      <c r="A226" s="400"/>
      <c r="B226" s="390" t="s">
        <v>111</v>
      </c>
      <c r="C226" s="291" t="str">
        <f>B225</f>
        <v>Haematology</v>
      </c>
      <c r="D226" s="629" t="s">
        <v>792</v>
      </c>
      <c r="E226" s="376" t="s">
        <v>56</v>
      </c>
      <c r="F226" s="376" t="s">
        <v>57</v>
      </c>
      <c r="G226" s="290" t="s">
        <v>793</v>
      </c>
      <c r="H226" s="290" t="s">
        <v>794</v>
      </c>
      <c r="I226" s="376" t="s">
        <v>795</v>
      </c>
      <c r="J226" s="400"/>
      <c r="K226" s="629" t="s">
        <v>1248</v>
      </c>
      <c r="L226" s="1114" t="s">
        <v>1249</v>
      </c>
      <c r="M226" s="1114" t="s">
        <v>1250</v>
      </c>
      <c r="N226" s="631" t="s">
        <v>1251</v>
      </c>
      <c r="O226" s="631" t="s">
        <v>1252</v>
      </c>
      <c r="P226" s="1114" t="s">
        <v>1253</v>
      </c>
      <c r="Q226" s="260"/>
      <c r="R226" s="260"/>
      <c r="S226" s="260"/>
      <c r="T226" s="260"/>
      <c r="U226" s="260"/>
      <c r="V226" s="260"/>
      <c r="W226" s="260"/>
      <c r="X226" s="260"/>
      <c r="Y226" s="260"/>
      <c r="AI226" s="396"/>
      <c r="AJ226" s="396"/>
      <c r="AK226" s="396"/>
      <c r="AL226" s="396"/>
      <c r="AM226" s="396"/>
    </row>
    <row r="227" spans="1:39" x14ac:dyDescent="0.25">
      <c r="A227" s="400"/>
      <c r="B227" s="496" t="s">
        <v>1135</v>
      </c>
      <c r="C227" s="131">
        <f>'Inputs and eligible population'!F$124</f>
        <v>6</v>
      </c>
      <c r="D227" s="131">
        <f>$C227*'Financial impact (cash)'!D30</f>
        <v>0</v>
      </c>
      <c r="E227" s="131">
        <f>$C227*'Financial impact (cash)'!E30</f>
        <v>0</v>
      </c>
      <c r="F227" s="131">
        <f>$C227*'Financial impact (cash)'!F30</f>
        <v>0</v>
      </c>
      <c r="G227" s="131">
        <f>$C227*'Financial impact (cash)'!G30</f>
        <v>0</v>
      </c>
      <c r="H227" s="131">
        <f>$C227*'Financial impact (cash)'!H30</f>
        <v>0</v>
      </c>
      <c r="I227" s="131">
        <f>$C227*'Financial impact (cash)'!I30</f>
        <v>0</v>
      </c>
      <c r="J227" s="400"/>
      <c r="K227" s="406">
        <f>(D227*'Inputs and eligible population'!$Q$124)/1000</f>
        <v>0</v>
      </c>
      <c r="L227" s="406">
        <f>(E227*'Inputs and eligible population'!$Q$124)/1000</f>
        <v>0</v>
      </c>
      <c r="M227" s="406">
        <f>(F227*'Inputs and eligible population'!$Q$124)/1000</f>
        <v>0</v>
      </c>
      <c r="N227" s="406">
        <f>(G227*'Inputs and eligible population'!$Q$124)/1000</f>
        <v>0</v>
      </c>
      <c r="O227" s="406">
        <f>(H227*'Inputs and eligible population'!$Q$124)/1000</f>
        <v>0</v>
      </c>
      <c r="P227" s="406">
        <f>(I227*'Inputs and eligible population'!$Q$124)/1000</f>
        <v>0</v>
      </c>
      <c r="Q227" s="260"/>
      <c r="R227" s="260"/>
      <c r="S227" s="260"/>
      <c r="T227" s="260"/>
      <c r="U227" s="260"/>
      <c r="V227" s="260"/>
      <c r="W227" s="260"/>
      <c r="X227" s="260"/>
      <c r="Y227" s="260"/>
      <c r="AI227" s="396"/>
      <c r="AJ227" s="396"/>
      <c r="AK227" s="396"/>
      <c r="AL227" s="396"/>
      <c r="AM227" s="396"/>
    </row>
    <row r="228" spans="1:39" x14ac:dyDescent="0.25">
      <c r="A228" s="400"/>
      <c r="B228" s="496" t="s">
        <v>1136</v>
      </c>
      <c r="C228" s="131">
        <f>'Inputs and eligible population'!G$124</f>
        <v>4</v>
      </c>
      <c r="D228" s="131">
        <f>$C228*'Financial impact (cash)'!D31</f>
        <v>0</v>
      </c>
      <c r="E228" s="131">
        <f>$C228*'Financial impact (cash)'!E31</f>
        <v>0</v>
      </c>
      <c r="F228" s="131">
        <f>$C228*'Financial impact (cash)'!F31</f>
        <v>0</v>
      </c>
      <c r="G228" s="131">
        <f>$C228*'Financial impact (cash)'!G31</f>
        <v>0</v>
      </c>
      <c r="H228" s="131">
        <f>$C228*'Financial impact (cash)'!H31</f>
        <v>0</v>
      </c>
      <c r="I228" s="131">
        <f>$C228*'Financial impact (cash)'!I31</f>
        <v>0</v>
      </c>
      <c r="J228" s="400"/>
      <c r="K228" s="406">
        <f>(D228*'Inputs and eligible population'!$Q$124)/1000</f>
        <v>0</v>
      </c>
      <c r="L228" s="406">
        <f>(E228*'Inputs and eligible population'!$Q$124)/1000</f>
        <v>0</v>
      </c>
      <c r="M228" s="406">
        <f>(F228*'Inputs and eligible population'!$Q$124)/1000</f>
        <v>0</v>
      </c>
      <c r="N228" s="406">
        <f>(G228*'Inputs and eligible population'!$Q$124)/1000</f>
        <v>0</v>
      </c>
      <c r="O228" s="406">
        <f>(H228*'Inputs and eligible population'!$Q$124)/1000</f>
        <v>0</v>
      </c>
      <c r="P228" s="406">
        <f>(I228*'Inputs and eligible population'!$Q$124)/1000</f>
        <v>0</v>
      </c>
      <c r="Q228" s="260"/>
      <c r="R228" s="260"/>
      <c r="S228" s="260"/>
      <c r="T228" s="260"/>
      <c r="U228" s="260"/>
      <c r="V228" s="260"/>
      <c r="W228" s="260"/>
      <c r="X228" s="260"/>
      <c r="Y228" s="260"/>
      <c r="AI228" s="396"/>
      <c r="AJ228" s="396"/>
      <c r="AK228" s="396"/>
      <c r="AL228" s="396"/>
      <c r="AM228" s="396"/>
    </row>
    <row r="229" spans="1:39" x14ac:dyDescent="0.25">
      <c r="A229" s="400"/>
      <c r="B229" s="496" t="s">
        <v>1137</v>
      </c>
      <c r="C229" s="131">
        <f>'Inputs and eligible population'!H$124</f>
        <v>8</v>
      </c>
      <c r="D229" s="131">
        <f>$C229*'Financial impact (cash)'!D32</f>
        <v>0</v>
      </c>
      <c r="E229" s="131">
        <f>$C229*'Financial impact (cash)'!E32</f>
        <v>0</v>
      </c>
      <c r="F229" s="131">
        <f>$C229*'Financial impact (cash)'!F32</f>
        <v>0</v>
      </c>
      <c r="G229" s="131">
        <f>$C229*'Financial impact (cash)'!G32</f>
        <v>0</v>
      </c>
      <c r="H229" s="131">
        <f>$C229*'Financial impact (cash)'!H32</f>
        <v>0</v>
      </c>
      <c r="I229" s="131">
        <f>$C229*'Financial impact (cash)'!I32</f>
        <v>0</v>
      </c>
      <c r="J229" s="400"/>
      <c r="K229" s="406">
        <f>(D229*'Inputs and eligible population'!$Q$124)/1000</f>
        <v>0</v>
      </c>
      <c r="L229" s="406">
        <f>(E229*'Inputs and eligible population'!$Q$124)/1000</f>
        <v>0</v>
      </c>
      <c r="M229" s="406">
        <f>(F229*'Inputs and eligible population'!$Q$124)/1000</f>
        <v>0</v>
      </c>
      <c r="N229" s="406">
        <f>(G229*'Inputs and eligible population'!$Q$124)/1000</f>
        <v>0</v>
      </c>
      <c r="O229" s="406">
        <f>(H229*'Inputs and eligible population'!$Q$124)/1000</f>
        <v>0</v>
      </c>
      <c r="P229" s="406">
        <f>(I229*'Inputs and eligible population'!$Q$124)/1000</f>
        <v>0</v>
      </c>
      <c r="Q229" s="260"/>
      <c r="R229" s="260"/>
      <c r="S229" s="260"/>
      <c r="T229" s="260"/>
      <c r="U229" s="260"/>
      <c r="V229" s="260"/>
      <c r="W229" s="260"/>
      <c r="X229" s="260"/>
      <c r="Y229" s="260"/>
      <c r="AI229" s="396"/>
      <c r="AJ229" s="396"/>
      <c r="AK229" s="396"/>
      <c r="AL229" s="396"/>
      <c r="AM229" s="396"/>
    </row>
    <row r="230" spans="1:39" x14ac:dyDescent="0.25">
      <c r="A230" s="400"/>
      <c r="B230" s="496" t="s">
        <v>1138</v>
      </c>
      <c r="C230" s="131">
        <f>'Inputs and eligible population'!I$124</f>
        <v>6</v>
      </c>
      <c r="D230" s="131">
        <f>$C230*'Financial impact (cash)'!D33</f>
        <v>0</v>
      </c>
      <c r="E230" s="131">
        <f>$C230*'Financial impact (cash)'!E33</f>
        <v>0</v>
      </c>
      <c r="F230" s="131">
        <f>$C230*'Financial impact (cash)'!F33</f>
        <v>0</v>
      </c>
      <c r="G230" s="131">
        <f>$C230*'Financial impact (cash)'!G33</f>
        <v>0</v>
      </c>
      <c r="H230" s="131">
        <f>$C230*'Financial impact (cash)'!H33</f>
        <v>0</v>
      </c>
      <c r="I230" s="131">
        <f>$C230*'Financial impact (cash)'!I33</f>
        <v>0</v>
      </c>
      <c r="J230" s="400"/>
      <c r="K230" s="406">
        <f>(D230*'Inputs and eligible population'!$Q$124)/1000</f>
        <v>0</v>
      </c>
      <c r="L230" s="406">
        <f>(E230*'Inputs and eligible population'!$Q$124)/1000</f>
        <v>0</v>
      </c>
      <c r="M230" s="406">
        <f>(F230*'Inputs and eligible population'!$Q$124)/1000</f>
        <v>0</v>
      </c>
      <c r="N230" s="406">
        <f>(G230*'Inputs and eligible population'!$Q$124)/1000</f>
        <v>0</v>
      </c>
      <c r="O230" s="406">
        <f>(H230*'Inputs and eligible population'!$Q$124)/1000</f>
        <v>0</v>
      </c>
      <c r="P230" s="406">
        <f>(I230*'Inputs and eligible population'!$Q$124)/1000</f>
        <v>0</v>
      </c>
      <c r="Q230" s="260"/>
      <c r="R230" s="260"/>
      <c r="S230" s="260"/>
      <c r="T230" s="260"/>
      <c r="U230" s="260"/>
      <c r="V230" s="260"/>
      <c r="W230" s="260"/>
      <c r="X230" s="260"/>
      <c r="Y230" s="260"/>
      <c r="AI230" s="396"/>
      <c r="AJ230" s="396"/>
      <c r="AK230" s="396"/>
      <c r="AL230" s="396"/>
      <c r="AM230" s="396"/>
    </row>
    <row r="231" spans="1:39" x14ac:dyDescent="0.25">
      <c r="A231" s="400"/>
      <c r="B231" s="496" t="s">
        <v>1139</v>
      </c>
      <c r="C231" s="131">
        <f>'Inputs and eligible population'!J$124</f>
        <v>6</v>
      </c>
      <c r="D231" s="131">
        <f>$C231*'Financial impact (cash)'!D34</f>
        <v>0</v>
      </c>
      <c r="E231" s="131">
        <f>$C231*'Financial impact (cash)'!E34</f>
        <v>0</v>
      </c>
      <c r="F231" s="131">
        <f>$C231*'Financial impact (cash)'!F34</f>
        <v>0</v>
      </c>
      <c r="G231" s="131">
        <f>$C231*'Financial impact (cash)'!G34</f>
        <v>0</v>
      </c>
      <c r="H231" s="131">
        <f>$C231*'Financial impact (cash)'!H34</f>
        <v>0</v>
      </c>
      <c r="I231" s="131">
        <f>$C231*'Financial impact (cash)'!I34</f>
        <v>0</v>
      </c>
      <c r="J231" s="400"/>
      <c r="K231" s="406">
        <f>(D231*'Inputs and eligible population'!$Q$124)/1000</f>
        <v>0</v>
      </c>
      <c r="L231" s="406">
        <f>(E231*'Inputs and eligible population'!$Q$124)/1000</f>
        <v>0</v>
      </c>
      <c r="M231" s="406">
        <f>(F231*'Inputs and eligible population'!$Q$124)/1000</f>
        <v>0</v>
      </c>
      <c r="N231" s="406">
        <f>(G231*'Inputs and eligible population'!$Q$124)/1000</f>
        <v>0</v>
      </c>
      <c r="O231" s="406">
        <f>(H231*'Inputs and eligible population'!$Q$124)/1000</f>
        <v>0</v>
      </c>
      <c r="P231" s="406">
        <f>(I231*'Inputs and eligible population'!$Q$124)/1000</f>
        <v>0</v>
      </c>
      <c r="Q231" s="260"/>
      <c r="R231" s="260"/>
      <c r="S231" s="260"/>
      <c r="T231" s="260"/>
      <c r="U231" s="260"/>
      <c r="V231" s="260"/>
      <c r="W231" s="260"/>
      <c r="X231" s="260"/>
      <c r="Y231" s="260"/>
      <c r="AI231" s="396"/>
      <c r="AJ231" s="396"/>
      <c r="AK231" s="396"/>
      <c r="AL231" s="396"/>
      <c r="AM231" s="396"/>
    </row>
    <row r="232" spans="1:39" x14ac:dyDescent="0.25">
      <c r="A232" s="400"/>
      <c r="B232" s="496" t="s">
        <v>1140</v>
      </c>
      <c r="C232" s="131">
        <f>'Inputs and eligible population'!K$124</f>
        <v>8</v>
      </c>
      <c r="D232" s="131">
        <f>$C232*'Financial impact (cash)'!D35</f>
        <v>0</v>
      </c>
      <c r="E232" s="131">
        <f>$C232*'Financial impact (cash)'!E35</f>
        <v>0</v>
      </c>
      <c r="F232" s="131">
        <f>$C232*'Financial impact (cash)'!F35</f>
        <v>0</v>
      </c>
      <c r="G232" s="131">
        <f>$C232*'Financial impact (cash)'!G35</f>
        <v>0</v>
      </c>
      <c r="H232" s="131">
        <f>$C232*'Financial impact (cash)'!H35</f>
        <v>0</v>
      </c>
      <c r="I232" s="131">
        <f>$C232*'Financial impact (cash)'!I35</f>
        <v>0</v>
      </c>
      <c r="J232" s="400"/>
      <c r="K232" s="406">
        <f>(D232*'Inputs and eligible population'!$Q$124)/1000</f>
        <v>0</v>
      </c>
      <c r="L232" s="406">
        <f>(E232*'Inputs and eligible population'!$Q$124)/1000</f>
        <v>0</v>
      </c>
      <c r="M232" s="406">
        <f>(F232*'Inputs and eligible population'!$Q$124)/1000</f>
        <v>0</v>
      </c>
      <c r="N232" s="406">
        <f>(G232*'Inputs and eligible population'!$Q$124)/1000</f>
        <v>0</v>
      </c>
      <c r="O232" s="406">
        <f>(H232*'Inputs and eligible population'!$Q$124)/1000</f>
        <v>0</v>
      </c>
      <c r="P232" s="406">
        <f>(I232*'Inputs and eligible population'!$Q$124)/1000</f>
        <v>0</v>
      </c>
      <c r="Q232" s="260"/>
      <c r="R232" s="260"/>
      <c r="S232" s="260"/>
      <c r="T232" s="260"/>
      <c r="U232" s="260"/>
      <c r="V232" s="260"/>
      <c r="W232" s="260"/>
      <c r="X232" s="260"/>
      <c r="Y232" s="260"/>
      <c r="AI232" s="396"/>
      <c r="AJ232" s="396"/>
      <c r="AK232" s="396"/>
      <c r="AL232" s="396"/>
      <c r="AM232" s="396"/>
    </row>
    <row r="233" spans="1:39" x14ac:dyDescent="0.25">
      <c r="A233" s="400"/>
      <c r="B233" s="496" t="s">
        <v>1141</v>
      </c>
      <c r="C233" s="131">
        <f>'Inputs and eligible population'!L$124</f>
        <v>12</v>
      </c>
      <c r="D233" s="131">
        <f>$C233*'Financial impact (cash)'!D36</f>
        <v>0</v>
      </c>
      <c r="E233" s="131">
        <f>$C233*'Financial impact (cash)'!E36</f>
        <v>0</v>
      </c>
      <c r="F233" s="131">
        <f>$C233*'Financial impact (cash)'!F36</f>
        <v>0</v>
      </c>
      <c r="G233" s="131">
        <f>$C233*'Financial impact (cash)'!G36</f>
        <v>0</v>
      </c>
      <c r="H233" s="131">
        <f>$C233*'Financial impact (cash)'!H36</f>
        <v>0</v>
      </c>
      <c r="I233" s="131">
        <f>$C233*'Financial impact (cash)'!I36</f>
        <v>0</v>
      </c>
      <c r="J233" s="400"/>
      <c r="K233" s="406">
        <f>(D233*'Inputs and eligible population'!$Q$124)/1000</f>
        <v>0</v>
      </c>
      <c r="L233" s="406">
        <f>(E233*'Inputs and eligible population'!$Q$124)/1000</f>
        <v>0</v>
      </c>
      <c r="M233" s="406">
        <f>(F233*'Inputs and eligible population'!$Q$124)/1000</f>
        <v>0</v>
      </c>
      <c r="N233" s="406">
        <f>(G233*'Inputs and eligible population'!$Q$124)/1000</f>
        <v>0</v>
      </c>
      <c r="O233" s="406">
        <f>(H233*'Inputs and eligible population'!$Q$124)/1000</f>
        <v>0</v>
      </c>
      <c r="P233" s="406">
        <f>(I233*'Inputs and eligible population'!$Q$124)/1000</f>
        <v>0</v>
      </c>
      <c r="Q233" s="260"/>
      <c r="R233" s="260"/>
      <c r="S233" s="260"/>
      <c r="T233" s="260"/>
      <c r="U233" s="260"/>
      <c r="V233" s="260"/>
      <c r="W233" s="260"/>
      <c r="X233" s="260"/>
      <c r="Y233" s="260"/>
      <c r="AI233" s="396"/>
      <c r="AJ233" s="396"/>
      <c r="AK233" s="396"/>
      <c r="AL233" s="396"/>
      <c r="AM233" s="396"/>
    </row>
    <row r="234" spans="1:39" x14ac:dyDescent="0.25">
      <c r="A234" s="400"/>
      <c r="B234" s="496" t="s">
        <v>1142</v>
      </c>
      <c r="C234" s="131">
        <f>'Inputs and eligible population'!M$124</f>
        <v>4</v>
      </c>
      <c r="D234" s="131">
        <f>$C234*'Financial impact (cash)'!D37</f>
        <v>0</v>
      </c>
      <c r="E234" s="131">
        <f>$C234*'Financial impact (cash)'!E37</f>
        <v>0</v>
      </c>
      <c r="F234" s="131">
        <f>$C234*'Financial impact (cash)'!F37</f>
        <v>0</v>
      </c>
      <c r="G234" s="131">
        <f>$C234*'Financial impact (cash)'!G37</f>
        <v>0</v>
      </c>
      <c r="H234" s="131">
        <f>$C234*'Financial impact (cash)'!H37</f>
        <v>0</v>
      </c>
      <c r="I234" s="131">
        <f>$C234*'Financial impact (cash)'!I37</f>
        <v>0</v>
      </c>
      <c r="J234" s="400"/>
      <c r="K234" s="406">
        <f>(D234*'Inputs and eligible population'!$Q$124)/1000</f>
        <v>0</v>
      </c>
      <c r="L234" s="406">
        <f>(E234*'Inputs and eligible population'!$Q$124)/1000</f>
        <v>0</v>
      </c>
      <c r="M234" s="406">
        <f>(F234*'Inputs and eligible population'!$Q$124)/1000</f>
        <v>0</v>
      </c>
      <c r="N234" s="406">
        <f>(G234*'Inputs and eligible population'!$Q$124)/1000</f>
        <v>0</v>
      </c>
      <c r="O234" s="406">
        <f>(H234*'Inputs and eligible population'!$Q$124)/1000</f>
        <v>0</v>
      </c>
      <c r="P234" s="406">
        <f>(I234*'Inputs and eligible population'!$Q$124)/1000</f>
        <v>0</v>
      </c>
      <c r="Q234" s="260"/>
      <c r="R234" s="260"/>
      <c r="S234" s="260"/>
      <c r="T234" s="260"/>
      <c r="U234" s="260"/>
      <c r="V234" s="260"/>
      <c r="W234" s="260"/>
      <c r="X234" s="260"/>
      <c r="Y234" s="260"/>
      <c r="AI234" s="396"/>
      <c r="AJ234" s="396"/>
      <c r="AK234" s="396"/>
      <c r="AL234" s="396"/>
      <c r="AM234" s="396"/>
    </row>
    <row r="235" spans="1:39" x14ac:dyDescent="0.25">
      <c r="A235" s="400"/>
      <c r="B235" s="394"/>
      <c r="C235" s="327"/>
      <c r="D235" s="313">
        <f t="shared" ref="D235:I235" si="115">SUM(D227:D234)</f>
        <v>0</v>
      </c>
      <c r="E235" s="313">
        <f t="shared" si="115"/>
        <v>0</v>
      </c>
      <c r="F235" s="313">
        <f t="shared" si="115"/>
        <v>0</v>
      </c>
      <c r="G235" s="313">
        <f t="shared" si="115"/>
        <v>0</v>
      </c>
      <c r="H235" s="313">
        <f t="shared" si="115"/>
        <v>0</v>
      </c>
      <c r="I235" s="313">
        <f t="shared" si="115"/>
        <v>0</v>
      </c>
      <c r="J235" s="400"/>
      <c r="K235" s="314">
        <f t="shared" ref="K235:P235" si="116">SUM(K227:K234)</f>
        <v>0</v>
      </c>
      <c r="L235" s="314">
        <f t="shared" si="116"/>
        <v>0</v>
      </c>
      <c r="M235" s="314">
        <f t="shared" si="116"/>
        <v>0</v>
      </c>
      <c r="N235" s="314">
        <f t="shared" si="116"/>
        <v>0</v>
      </c>
      <c r="O235" s="314">
        <f t="shared" si="116"/>
        <v>0</v>
      </c>
      <c r="P235" s="314">
        <f t="shared" si="116"/>
        <v>0</v>
      </c>
      <c r="Q235" s="260"/>
      <c r="R235" s="260"/>
      <c r="S235" s="260"/>
      <c r="T235" s="260"/>
      <c r="U235" s="260"/>
      <c r="V235" s="260"/>
      <c r="W235" s="260"/>
      <c r="X235" s="260"/>
      <c r="Y235" s="260"/>
      <c r="AI235" s="396"/>
      <c r="AJ235" s="396"/>
      <c r="AK235" s="396"/>
      <c r="AL235" s="396"/>
      <c r="AM235" s="396"/>
    </row>
    <row r="236" spans="1:39" x14ac:dyDescent="0.25">
      <c r="A236" s="400"/>
      <c r="B236" s="425"/>
      <c r="C236" s="377"/>
      <c r="D236" s="395" t="s">
        <v>1261</v>
      </c>
      <c r="E236" s="313">
        <f>E235-$D$235</f>
        <v>0</v>
      </c>
      <c r="F236" s="313">
        <f>F235-$D$235</f>
        <v>0</v>
      </c>
      <c r="G236" s="313">
        <f>G235-$D$235</f>
        <v>0</v>
      </c>
      <c r="H236" s="313">
        <f>H235-$D$235</f>
        <v>0</v>
      </c>
      <c r="I236" s="313">
        <f>I235-$D$235</f>
        <v>0</v>
      </c>
      <c r="J236" s="400"/>
      <c r="K236" s="638"/>
      <c r="L236" s="314">
        <f>L235-$K$235</f>
        <v>0</v>
      </c>
      <c r="M236" s="314">
        <f t="shared" ref="M236:P236" si="117">M235-$K$235</f>
        <v>0</v>
      </c>
      <c r="N236" s="314">
        <f t="shared" si="117"/>
        <v>0</v>
      </c>
      <c r="O236" s="314">
        <f t="shared" si="117"/>
        <v>0</v>
      </c>
      <c r="P236" s="314">
        <f t="shared" si="117"/>
        <v>0</v>
      </c>
      <c r="U236" s="260"/>
    </row>
    <row r="237" spans="1:39" x14ac:dyDescent="0.25">
      <c r="A237" s="400"/>
      <c r="B237" s="452"/>
      <c r="C237" s="340"/>
      <c r="D237" s="340"/>
      <c r="E237" s="340"/>
      <c r="F237" s="340"/>
      <c r="G237" s="340"/>
      <c r="H237" s="340"/>
      <c r="I237" s="340"/>
      <c r="J237" s="340"/>
      <c r="K237" s="340"/>
      <c r="L237" s="340"/>
      <c r="M237" s="340"/>
      <c r="N237" s="340"/>
      <c r="O237" s="340"/>
      <c r="P237" s="340"/>
      <c r="U237" s="260"/>
    </row>
    <row r="238" spans="1:39" x14ac:dyDescent="0.25">
      <c r="A238" s="400"/>
      <c r="B238" s="566" t="str">
        <f>'Inputs and eligible population'!D125</f>
        <v>Electrocardiogram Monitoring or Stress Testing</v>
      </c>
      <c r="C238" s="567"/>
      <c r="D238" s="567"/>
      <c r="E238" s="567"/>
      <c r="F238" s="567"/>
      <c r="G238" s="567"/>
      <c r="H238" s="567"/>
      <c r="I238" s="339"/>
      <c r="J238" s="340"/>
      <c r="K238" s="340"/>
      <c r="L238" s="340"/>
      <c r="M238" s="340"/>
      <c r="N238" s="340"/>
      <c r="O238" s="340"/>
      <c r="P238" s="340"/>
      <c r="Q238" s="260"/>
      <c r="R238" s="260"/>
      <c r="S238" s="260"/>
      <c r="T238" s="260"/>
      <c r="U238" s="260"/>
      <c r="V238" s="260"/>
      <c r="W238" s="260"/>
      <c r="X238" s="260"/>
      <c r="Y238" s="260"/>
      <c r="AI238" s="396"/>
      <c r="AJ238" s="396"/>
      <c r="AK238" s="396"/>
      <c r="AL238" s="396"/>
      <c r="AM238" s="396"/>
    </row>
    <row r="239" spans="1:39" ht="54" customHeight="1" x14ac:dyDescent="0.25">
      <c r="A239" s="400"/>
      <c r="B239" s="390" t="s">
        <v>111</v>
      </c>
      <c r="C239" s="291" t="str">
        <f>B238</f>
        <v>Electrocardiogram Monitoring or Stress Testing</v>
      </c>
      <c r="D239" s="629" t="s">
        <v>792</v>
      </c>
      <c r="E239" s="376" t="s">
        <v>56</v>
      </c>
      <c r="F239" s="376" t="s">
        <v>57</v>
      </c>
      <c r="G239" s="290" t="s">
        <v>793</v>
      </c>
      <c r="H239" s="290" t="s">
        <v>794</v>
      </c>
      <c r="I239" s="376" t="s">
        <v>795</v>
      </c>
      <c r="J239" s="400"/>
      <c r="K239" s="629" t="s">
        <v>1248</v>
      </c>
      <c r="L239" s="1114" t="s">
        <v>1249</v>
      </c>
      <c r="M239" s="1114" t="s">
        <v>1250</v>
      </c>
      <c r="N239" s="631" t="s">
        <v>1251</v>
      </c>
      <c r="O239" s="631" t="s">
        <v>1252</v>
      </c>
      <c r="P239" s="1114" t="s">
        <v>1253</v>
      </c>
      <c r="Q239" s="260"/>
      <c r="R239" s="260"/>
      <c r="S239" s="260"/>
      <c r="T239" s="260"/>
      <c r="U239" s="260"/>
      <c r="V239" s="260"/>
      <c r="W239" s="260"/>
      <c r="X239" s="260"/>
      <c r="Y239" s="260"/>
      <c r="AI239" s="396"/>
      <c r="AJ239" s="396"/>
      <c r="AK239" s="396"/>
      <c r="AL239" s="396"/>
      <c r="AM239" s="396"/>
    </row>
    <row r="240" spans="1:39" x14ac:dyDescent="0.25">
      <c r="A240" s="400"/>
      <c r="B240" s="496" t="s">
        <v>1135</v>
      </c>
      <c r="C240" s="411">
        <f>'Inputs and eligible population'!F$125</f>
        <v>1.5</v>
      </c>
      <c r="D240" s="131">
        <f>$C240*'Financial impact (cash)'!D30</f>
        <v>0</v>
      </c>
      <c r="E240" s="131">
        <f>$C240*'Financial impact (cash)'!E30</f>
        <v>0</v>
      </c>
      <c r="F240" s="131">
        <f>$C240*'Financial impact (cash)'!F30</f>
        <v>0</v>
      </c>
      <c r="G240" s="131">
        <f>$C240*'Financial impact (cash)'!G30</f>
        <v>0</v>
      </c>
      <c r="H240" s="131">
        <f>$C240*'Financial impact (cash)'!H30</f>
        <v>0</v>
      </c>
      <c r="I240" s="131">
        <f>$C240*'Financial impact (cash)'!I30</f>
        <v>0</v>
      </c>
      <c r="J240" s="400"/>
      <c r="K240" s="406">
        <f>(D240*'Inputs and eligible population'!$Q$125)/1000</f>
        <v>0</v>
      </c>
      <c r="L240" s="406">
        <f>(E240*'Inputs and eligible population'!$Q$125)/1000</f>
        <v>0</v>
      </c>
      <c r="M240" s="406">
        <f>(F240*'Inputs and eligible population'!$Q$125)/1000</f>
        <v>0</v>
      </c>
      <c r="N240" s="406">
        <f>(G240*'Inputs and eligible population'!$Q$125)/1000</f>
        <v>0</v>
      </c>
      <c r="O240" s="406">
        <f>(H240*'Inputs and eligible population'!$Q$125)/1000</f>
        <v>0</v>
      </c>
      <c r="P240" s="406">
        <f>(I240*'Inputs and eligible population'!$Q$125)/1000</f>
        <v>0</v>
      </c>
      <c r="Q240" s="260"/>
      <c r="R240" s="260"/>
      <c r="S240" s="260"/>
      <c r="T240" s="260"/>
      <c r="U240" s="260"/>
      <c r="V240" s="260"/>
      <c r="W240" s="260"/>
      <c r="X240" s="260"/>
      <c r="Y240" s="260"/>
      <c r="AI240" s="396"/>
      <c r="AJ240" s="396"/>
      <c r="AK240" s="396"/>
      <c r="AL240" s="396"/>
      <c r="AM240" s="396"/>
    </row>
    <row r="241" spans="1:39" x14ac:dyDescent="0.25">
      <c r="A241" s="400"/>
      <c r="B241" s="496" t="s">
        <v>1136</v>
      </c>
      <c r="C241" s="411">
        <f>'Inputs and eligible population'!G$125</f>
        <v>1</v>
      </c>
      <c r="D241" s="131">
        <f>$C241*'Financial impact (cash)'!D31</f>
        <v>0</v>
      </c>
      <c r="E241" s="131">
        <f>$C241*'Financial impact (cash)'!E31</f>
        <v>0</v>
      </c>
      <c r="F241" s="131">
        <f>$C241*'Financial impact (cash)'!F31</f>
        <v>0</v>
      </c>
      <c r="G241" s="131">
        <f>$C241*'Financial impact (cash)'!G31</f>
        <v>0</v>
      </c>
      <c r="H241" s="131">
        <f>$C241*'Financial impact (cash)'!H31</f>
        <v>0</v>
      </c>
      <c r="I241" s="131">
        <f>$C241*'Financial impact (cash)'!I31</f>
        <v>0</v>
      </c>
      <c r="J241" s="400"/>
      <c r="K241" s="406">
        <f>(D241*'Inputs and eligible population'!$Q$125)/1000</f>
        <v>0</v>
      </c>
      <c r="L241" s="406">
        <f>(E241*'Inputs and eligible population'!$Q$125)/1000</f>
        <v>0</v>
      </c>
      <c r="M241" s="406">
        <f>(F241*'Inputs and eligible population'!$Q$125)/1000</f>
        <v>0</v>
      </c>
      <c r="N241" s="406">
        <f>(G241*'Inputs and eligible population'!$Q$125)/1000</f>
        <v>0</v>
      </c>
      <c r="O241" s="406">
        <f>(H241*'Inputs and eligible population'!$Q$125)/1000</f>
        <v>0</v>
      </c>
      <c r="P241" s="406">
        <f>(I241*'Inputs and eligible population'!$Q$125)/1000</f>
        <v>0</v>
      </c>
      <c r="Q241" s="260"/>
      <c r="R241" s="260"/>
      <c r="S241" s="260"/>
      <c r="T241" s="260"/>
      <c r="U241" s="260"/>
      <c r="V241" s="260"/>
      <c r="W241" s="260"/>
      <c r="X241" s="260"/>
      <c r="Y241" s="260"/>
      <c r="AI241" s="396"/>
      <c r="AJ241" s="396"/>
      <c r="AK241" s="396"/>
      <c r="AL241" s="396"/>
      <c r="AM241" s="396"/>
    </row>
    <row r="242" spans="1:39" x14ac:dyDescent="0.25">
      <c r="A242" s="400"/>
      <c r="B242" s="496" t="s">
        <v>1137</v>
      </c>
      <c r="C242" s="411">
        <f>'Inputs and eligible population'!H$125</f>
        <v>2</v>
      </c>
      <c r="D242" s="131">
        <f>$C242*'Financial impact (cash)'!D32</f>
        <v>0</v>
      </c>
      <c r="E242" s="131">
        <f>$C242*'Financial impact (cash)'!E32</f>
        <v>0</v>
      </c>
      <c r="F242" s="131">
        <f>$C242*'Financial impact (cash)'!F32</f>
        <v>0</v>
      </c>
      <c r="G242" s="131">
        <f>$C242*'Financial impact (cash)'!G32</f>
        <v>0</v>
      </c>
      <c r="H242" s="131">
        <f>$C242*'Financial impact (cash)'!H32</f>
        <v>0</v>
      </c>
      <c r="I242" s="131">
        <f>$C242*'Financial impact (cash)'!I32</f>
        <v>0</v>
      </c>
      <c r="J242" s="400"/>
      <c r="K242" s="406">
        <f>(D242*'Inputs and eligible population'!$Q$125)/1000</f>
        <v>0</v>
      </c>
      <c r="L242" s="406">
        <f>(E242*'Inputs and eligible population'!$Q$125)/1000</f>
        <v>0</v>
      </c>
      <c r="M242" s="406">
        <f>(F242*'Inputs and eligible population'!$Q$125)/1000</f>
        <v>0</v>
      </c>
      <c r="N242" s="406">
        <f>(G242*'Inputs and eligible population'!$Q$125)/1000</f>
        <v>0</v>
      </c>
      <c r="O242" s="406">
        <f>(H242*'Inputs and eligible population'!$Q$125)/1000</f>
        <v>0</v>
      </c>
      <c r="P242" s="406">
        <f>(I242*'Inputs and eligible population'!$Q$125)/1000</f>
        <v>0</v>
      </c>
      <c r="Q242" s="260"/>
      <c r="R242" s="260"/>
      <c r="S242" s="260"/>
      <c r="T242" s="260"/>
      <c r="U242" s="260"/>
      <c r="V242" s="260"/>
      <c r="W242" s="260"/>
      <c r="X242" s="260"/>
      <c r="Y242" s="260"/>
      <c r="AI242" s="396"/>
      <c r="AJ242" s="396"/>
      <c r="AK242" s="396"/>
      <c r="AL242" s="396"/>
      <c r="AM242" s="396"/>
    </row>
    <row r="243" spans="1:39" x14ac:dyDescent="0.25">
      <c r="A243" s="400"/>
      <c r="B243" s="496" t="s">
        <v>1138</v>
      </c>
      <c r="C243" s="411">
        <f>'Inputs and eligible population'!I$125</f>
        <v>1.5</v>
      </c>
      <c r="D243" s="131">
        <f>$C243*'Financial impact (cash)'!D33</f>
        <v>0</v>
      </c>
      <c r="E243" s="131">
        <f>$C243*'Financial impact (cash)'!E33</f>
        <v>0</v>
      </c>
      <c r="F243" s="131">
        <f>$C243*'Financial impact (cash)'!F33</f>
        <v>0</v>
      </c>
      <c r="G243" s="131">
        <f>$C243*'Financial impact (cash)'!G33</f>
        <v>0</v>
      </c>
      <c r="H243" s="131">
        <f>$C243*'Financial impact (cash)'!H33</f>
        <v>0</v>
      </c>
      <c r="I243" s="131">
        <f>$C243*'Financial impact (cash)'!I33</f>
        <v>0</v>
      </c>
      <c r="J243" s="400"/>
      <c r="K243" s="406">
        <f>(D243*'Inputs and eligible population'!$Q$125)/1000</f>
        <v>0</v>
      </c>
      <c r="L243" s="406">
        <f>(E243*'Inputs and eligible population'!$Q$125)/1000</f>
        <v>0</v>
      </c>
      <c r="M243" s="406">
        <f>(F243*'Inputs and eligible population'!$Q$125)/1000</f>
        <v>0</v>
      </c>
      <c r="N243" s="406">
        <f>(G243*'Inputs and eligible population'!$Q$125)/1000</f>
        <v>0</v>
      </c>
      <c r="O243" s="406">
        <f>(H243*'Inputs and eligible population'!$Q$125)/1000</f>
        <v>0</v>
      </c>
      <c r="P243" s="406">
        <f>(I243*'Inputs and eligible population'!$Q$125)/1000</f>
        <v>0</v>
      </c>
      <c r="Q243" s="260"/>
      <c r="R243" s="260"/>
      <c r="S243" s="260"/>
      <c r="T243" s="260"/>
      <c r="U243" s="260"/>
      <c r="V243" s="260"/>
      <c r="W243" s="260"/>
      <c r="X243" s="260"/>
      <c r="Y243" s="260"/>
      <c r="AI243" s="396"/>
      <c r="AJ243" s="396"/>
      <c r="AK243" s="396"/>
      <c r="AL243" s="396"/>
      <c r="AM243" s="396"/>
    </row>
    <row r="244" spans="1:39" x14ac:dyDescent="0.25">
      <c r="A244" s="400"/>
      <c r="B244" s="496" t="s">
        <v>1139</v>
      </c>
      <c r="C244" s="411">
        <f>'Inputs and eligible population'!J$125</f>
        <v>1.5</v>
      </c>
      <c r="D244" s="131">
        <f>$C244*'Financial impact (cash)'!D34</f>
        <v>0</v>
      </c>
      <c r="E244" s="131">
        <f>$C244*'Financial impact (cash)'!E34</f>
        <v>0</v>
      </c>
      <c r="F244" s="131">
        <f>$C244*'Financial impact (cash)'!F34</f>
        <v>0</v>
      </c>
      <c r="G244" s="131">
        <f>$C244*'Financial impact (cash)'!G34</f>
        <v>0</v>
      </c>
      <c r="H244" s="131">
        <f>$C244*'Financial impact (cash)'!H34</f>
        <v>0</v>
      </c>
      <c r="I244" s="131">
        <f>$C244*'Financial impact (cash)'!I34</f>
        <v>0</v>
      </c>
      <c r="J244" s="400"/>
      <c r="K244" s="406">
        <f>(D244*'Inputs and eligible population'!$Q$125)/1000</f>
        <v>0</v>
      </c>
      <c r="L244" s="406">
        <f>(E244*'Inputs and eligible population'!$Q$125)/1000</f>
        <v>0</v>
      </c>
      <c r="M244" s="406">
        <f>(F244*'Inputs and eligible population'!$Q$125)/1000</f>
        <v>0</v>
      </c>
      <c r="N244" s="406">
        <f>(G244*'Inputs and eligible population'!$Q$125)/1000</f>
        <v>0</v>
      </c>
      <c r="O244" s="406">
        <f>(H244*'Inputs and eligible population'!$Q$125)/1000</f>
        <v>0</v>
      </c>
      <c r="P244" s="406">
        <f>(I244*'Inputs and eligible population'!$Q$125)/1000</f>
        <v>0</v>
      </c>
      <c r="Q244" s="260"/>
      <c r="R244" s="260"/>
      <c r="S244" s="260"/>
      <c r="T244" s="260"/>
      <c r="U244" s="260"/>
      <c r="V244" s="260"/>
      <c r="W244" s="260"/>
      <c r="X244" s="260"/>
      <c r="Y244" s="260"/>
      <c r="AI244" s="396"/>
      <c r="AJ244" s="396"/>
      <c r="AK244" s="396"/>
      <c r="AL244" s="396"/>
      <c r="AM244" s="396"/>
    </row>
    <row r="245" spans="1:39" x14ac:dyDescent="0.25">
      <c r="A245" s="400"/>
      <c r="B245" s="496" t="s">
        <v>1140</v>
      </c>
      <c r="C245" s="411">
        <f>'Inputs and eligible population'!K$125</f>
        <v>2</v>
      </c>
      <c r="D245" s="131">
        <f>$C245*'Financial impact (cash)'!D35</f>
        <v>0</v>
      </c>
      <c r="E245" s="131">
        <f>$C245*'Financial impact (cash)'!E35</f>
        <v>0</v>
      </c>
      <c r="F245" s="131">
        <f>$C245*'Financial impact (cash)'!F35</f>
        <v>0</v>
      </c>
      <c r="G245" s="131">
        <f>$C245*'Financial impact (cash)'!G35</f>
        <v>0</v>
      </c>
      <c r="H245" s="131">
        <f>$C245*'Financial impact (cash)'!H35</f>
        <v>0</v>
      </c>
      <c r="I245" s="131">
        <f>$C245*'Financial impact (cash)'!I35</f>
        <v>0</v>
      </c>
      <c r="J245" s="400"/>
      <c r="K245" s="406">
        <f>(D245*'Inputs and eligible population'!$Q$125)/1000</f>
        <v>0</v>
      </c>
      <c r="L245" s="406">
        <f>(E245*'Inputs and eligible population'!$Q$125)/1000</f>
        <v>0</v>
      </c>
      <c r="M245" s="406">
        <f>(F245*'Inputs and eligible population'!$Q$125)/1000</f>
        <v>0</v>
      </c>
      <c r="N245" s="406">
        <f>(G245*'Inputs and eligible population'!$Q$125)/1000</f>
        <v>0</v>
      </c>
      <c r="O245" s="406">
        <f>(H245*'Inputs and eligible population'!$Q$125)/1000</f>
        <v>0</v>
      </c>
      <c r="P245" s="406">
        <f>(I245*'Inputs and eligible population'!$Q$125)/1000</f>
        <v>0</v>
      </c>
      <c r="Q245" s="260"/>
      <c r="R245" s="260"/>
      <c r="S245" s="260"/>
      <c r="T245" s="260"/>
      <c r="U245" s="260"/>
      <c r="V245" s="260"/>
      <c r="W245" s="260"/>
      <c r="X245" s="260"/>
      <c r="Y245" s="260"/>
      <c r="AI245" s="396"/>
      <c r="AJ245" s="396"/>
      <c r="AK245" s="396"/>
      <c r="AL245" s="396"/>
      <c r="AM245" s="396"/>
    </row>
    <row r="246" spans="1:39" x14ac:dyDescent="0.25">
      <c r="A246" s="400"/>
      <c r="B246" s="496" t="s">
        <v>1141</v>
      </c>
      <c r="C246" s="411">
        <f>'Inputs and eligible population'!L$125</f>
        <v>3</v>
      </c>
      <c r="D246" s="131">
        <f>$C246*'Financial impact (cash)'!D36</f>
        <v>0</v>
      </c>
      <c r="E246" s="131">
        <f>$C246*'Financial impact (cash)'!E36</f>
        <v>0</v>
      </c>
      <c r="F246" s="131">
        <f>$C246*'Financial impact (cash)'!F36</f>
        <v>0</v>
      </c>
      <c r="G246" s="131">
        <f>$C246*'Financial impact (cash)'!G36</f>
        <v>0</v>
      </c>
      <c r="H246" s="131">
        <f>$C246*'Financial impact (cash)'!H36</f>
        <v>0</v>
      </c>
      <c r="I246" s="131">
        <f>$C246*'Financial impact (cash)'!I36</f>
        <v>0</v>
      </c>
      <c r="J246" s="400"/>
      <c r="K246" s="406">
        <f>(D246*'Inputs and eligible population'!$Q$125)/1000</f>
        <v>0</v>
      </c>
      <c r="L246" s="406">
        <f>(E246*'Inputs and eligible population'!$Q$125)/1000</f>
        <v>0</v>
      </c>
      <c r="M246" s="406">
        <f>(F246*'Inputs and eligible population'!$Q$125)/1000</f>
        <v>0</v>
      </c>
      <c r="N246" s="406">
        <f>(G246*'Inputs and eligible population'!$Q$125)/1000</f>
        <v>0</v>
      </c>
      <c r="O246" s="406">
        <f>(H246*'Inputs and eligible population'!$Q$125)/1000</f>
        <v>0</v>
      </c>
      <c r="P246" s="406">
        <f>(I246*'Inputs and eligible population'!$Q$125)/1000</f>
        <v>0</v>
      </c>
      <c r="Q246" s="260"/>
      <c r="R246" s="260"/>
      <c r="S246" s="260"/>
      <c r="T246" s="260"/>
      <c r="U246" s="260"/>
      <c r="V246" s="260"/>
      <c r="W246" s="260"/>
      <c r="X246" s="260"/>
      <c r="Y246" s="260"/>
      <c r="AI246" s="396"/>
      <c r="AJ246" s="396"/>
      <c r="AK246" s="396"/>
      <c r="AL246" s="396"/>
      <c r="AM246" s="396"/>
    </row>
    <row r="247" spans="1:39" x14ac:dyDescent="0.25">
      <c r="A247" s="400"/>
      <c r="B247" s="496" t="s">
        <v>1142</v>
      </c>
      <c r="C247" s="411">
        <f>'Inputs and eligible population'!M$125</f>
        <v>1</v>
      </c>
      <c r="D247" s="131">
        <f>$C247*'Financial impact (cash)'!D37</f>
        <v>0</v>
      </c>
      <c r="E247" s="131">
        <f>$C247*'Financial impact (cash)'!E37</f>
        <v>0</v>
      </c>
      <c r="F247" s="131">
        <f>$C247*'Financial impact (cash)'!F37</f>
        <v>0</v>
      </c>
      <c r="G247" s="131">
        <f>$C247*'Financial impact (cash)'!G37</f>
        <v>0</v>
      </c>
      <c r="H247" s="131">
        <f>$C247*'Financial impact (cash)'!H37</f>
        <v>0</v>
      </c>
      <c r="I247" s="131">
        <f>$C247*'Financial impact (cash)'!I37</f>
        <v>0</v>
      </c>
      <c r="J247" s="400"/>
      <c r="K247" s="406">
        <f>(D247*'Inputs and eligible population'!$Q$125)/1000</f>
        <v>0</v>
      </c>
      <c r="L247" s="406">
        <f>(E247*'Inputs and eligible population'!$Q$125)/1000</f>
        <v>0</v>
      </c>
      <c r="M247" s="406">
        <f>(F247*'Inputs and eligible population'!$Q$125)/1000</f>
        <v>0</v>
      </c>
      <c r="N247" s="406">
        <f>(G247*'Inputs and eligible population'!$Q$125)/1000</f>
        <v>0</v>
      </c>
      <c r="O247" s="406">
        <f>(H247*'Inputs and eligible population'!$Q$125)/1000</f>
        <v>0</v>
      </c>
      <c r="P247" s="406">
        <f>(I247*'Inputs and eligible population'!$Q$125)/1000</f>
        <v>0</v>
      </c>
      <c r="Q247" s="260"/>
      <c r="R247" s="260"/>
      <c r="S247" s="260"/>
      <c r="T247" s="260"/>
      <c r="U247" s="260"/>
      <c r="V247" s="260"/>
      <c r="W247" s="260"/>
      <c r="X247" s="260"/>
      <c r="Y247" s="260"/>
      <c r="AI247" s="396"/>
      <c r="AJ247" s="396"/>
      <c r="AK247" s="396"/>
      <c r="AL247" s="396"/>
      <c r="AM247" s="396"/>
    </row>
    <row r="248" spans="1:39" x14ac:dyDescent="0.25">
      <c r="A248" s="400"/>
      <c r="B248" s="394"/>
      <c r="C248" s="327"/>
      <c r="D248" s="313">
        <f t="shared" ref="D248:I248" si="118">SUM(D240:D247)</f>
        <v>0</v>
      </c>
      <c r="E248" s="313">
        <f t="shared" si="118"/>
        <v>0</v>
      </c>
      <c r="F248" s="313">
        <f t="shared" si="118"/>
        <v>0</v>
      </c>
      <c r="G248" s="313">
        <f t="shared" si="118"/>
        <v>0</v>
      </c>
      <c r="H248" s="313">
        <f t="shared" si="118"/>
        <v>0</v>
      </c>
      <c r="I248" s="313">
        <f t="shared" si="118"/>
        <v>0</v>
      </c>
      <c r="J248" s="400"/>
      <c r="K248" s="314">
        <f t="shared" ref="K248:P248" si="119">SUM(K240:K247)</f>
        <v>0</v>
      </c>
      <c r="L248" s="314">
        <f t="shared" si="119"/>
        <v>0</v>
      </c>
      <c r="M248" s="314">
        <f t="shared" si="119"/>
        <v>0</v>
      </c>
      <c r="N248" s="314">
        <f t="shared" si="119"/>
        <v>0</v>
      </c>
      <c r="O248" s="314">
        <f t="shared" si="119"/>
        <v>0</v>
      </c>
      <c r="P248" s="314">
        <f t="shared" si="119"/>
        <v>0</v>
      </c>
      <c r="Q248" s="260"/>
      <c r="R248" s="260"/>
      <c r="S248" s="260"/>
      <c r="T248" s="260"/>
      <c r="U248" s="260"/>
      <c r="V248" s="260"/>
      <c r="W248" s="260"/>
      <c r="X248" s="260"/>
      <c r="Y248" s="260"/>
      <c r="AI248" s="396"/>
      <c r="AJ248" s="396"/>
      <c r="AK248" s="396"/>
      <c r="AL248" s="396"/>
      <c r="AM248" s="396"/>
    </row>
    <row r="249" spans="1:39" x14ac:dyDescent="0.25">
      <c r="A249" s="400"/>
      <c r="B249" s="425"/>
      <c r="C249" s="377"/>
      <c r="D249" s="395" t="s">
        <v>1262</v>
      </c>
      <c r="E249" s="313">
        <f>E248-$D$248</f>
        <v>0</v>
      </c>
      <c r="F249" s="313">
        <f>F248-$D$248</f>
        <v>0</v>
      </c>
      <c r="G249" s="313">
        <f>G248-$D$248</f>
        <v>0</v>
      </c>
      <c r="H249" s="313">
        <f>H248-$D$248</f>
        <v>0</v>
      </c>
      <c r="I249" s="313">
        <f>I248-$D$248</f>
        <v>0</v>
      </c>
      <c r="J249" s="400"/>
      <c r="K249" s="1115"/>
      <c r="L249" s="314">
        <f>L248-$K$235</f>
        <v>0</v>
      </c>
      <c r="M249" s="314">
        <f>M248-$K$235</f>
        <v>0</v>
      </c>
      <c r="N249" s="314">
        <f>N248-$K$235</f>
        <v>0</v>
      </c>
      <c r="O249" s="314">
        <f>O248-$K$235</f>
        <v>0</v>
      </c>
      <c r="P249" s="314">
        <f>P248-$K$235</f>
        <v>0</v>
      </c>
      <c r="U249" s="260"/>
    </row>
    <row r="250" spans="1:39" x14ac:dyDescent="0.25">
      <c r="A250" s="400"/>
      <c r="B250" s="400"/>
      <c r="C250" s="340"/>
      <c r="D250" s="400"/>
      <c r="E250" s="400"/>
      <c r="F250" s="400"/>
      <c r="G250" s="400"/>
      <c r="H250" s="400"/>
      <c r="I250" s="340"/>
      <c r="J250" s="340"/>
      <c r="K250" s="340"/>
      <c r="L250" s="340"/>
      <c r="M250" s="340"/>
      <c r="N250" s="340"/>
      <c r="O250" s="340"/>
      <c r="P250" s="340"/>
      <c r="U250" s="260"/>
    </row>
    <row r="251" spans="1:39" hidden="1" x14ac:dyDescent="0.25">
      <c r="A251" s="400"/>
      <c r="B251" s="400"/>
      <c r="C251" s="340"/>
      <c r="D251" s="400"/>
      <c r="E251" s="400"/>
      <c r="F251" s="400"/>
      <c r="G251" s="400"/>
      <c r="H251" s="400"/>
      <c r="I251" s="340"/>
      <c r="J251" s="340"/>
      <c r="K251" s="340"/>
      <c r="L251" s="340"/>
      <c r="M251" s="340"/>
      <c r="N251" s="340"/>
      <c r="O251" s="340"/>
      <c r="P251" s="340"/>
      <c r="U251" s="260"/>
    </row>
    <row r="252" spans="1:39" hidden="1" x14ac:dyDescent="0.25">
      <c r="A252" s="401"/>
      <c r="B252" s="453" t="s">
        <v>91</v>
      </c>
      <c r="C252" s="437"/>
      <c r="D252" s="438"/>
      <c r="E252" s="439"/>
      <c r="F252" s="440"/>
      <c r="G252" s="440"/>
      <c r="H252" s="440"/>
      <c r="I252" s="643"/>
      <c r="J252" s="652"/>
      <c r="K252" s="401"/>
      <c r="L252" s="401"/>
      <c r="M252" s="401"/>
      <c r="N252" s="401"/>
      <c r="O252" s="401"/>
      <c r="P252" s="401"/>
      <c r="Q252" s="260"/>
      <c r="R252" s="260"/>
      <c r="S252" s="260"/>
      <c r="T252" s="260"/>
      <c r="U252" s="260"/>
      <c r="V252" s="260"/>
      <c r="W252" s="260"/>
      <c r="X252" s="260"/>
      <c r="Y252" s="260"/>
      <c r="AI252" s="396"/>
      <c r="AJ252" s="396"/>
      <c r="AK252" s="396"/>
      <c r="AL252" s="396"/>
      <c r="AM252" s="396"/>
    </row>
    <row r="253" spans="1:39" hidden="1" x14ac:dyDescent="0.25">
      <c r="A253" s="401"/>
      <c r="B253" s="568" t="s">
        <v>826</v>
      </c>
      <c r="C253" s="569"/>
      <c r="D253" s="569"/>
      <c r="E253" s="569"/>
      <c r="F253" s="569"/>
      <c r="G253" s="569"/>
      <c r="H253" s="569"/>
      <c r="I253" s="341"/>
      <c r="J253" s="650"/>
      <c r="K253" s="651"/>
      <c r="L253" s="651"/>
      <c r="M253" s="651"/>
      <c r="N253" s="651"/>
      <c r="O253" s="651"/>
      <c r="P253" s="651"/>
      <c r="Q253" s="260"/>
      <c r="R253" s="260"/>
      <c r="S253" s="260"/>
      <c r="T253" s="260"/>
      <c r="U253" s="260"/>
      <c r="V253" s="260"/>
      <c r="W253" s="260"/>
      <c r="X253" s="260"/>
      <c r="Y253" s="260"/>
      <c r="AI253" s="396"/>
      <c r="AJ253" s="396"/>
      <c r="AK253" s="396"/>
      <c r="AL253" s="396"/>
      <c r="AM253" s="396"/>
    </row>
    <row r="254" spans="1:39" ht="45" hidden="1" x14ac:dyDescent="0.25">
      <c r="A254" s="401"/>
      <c r="B254" s="390" t="s">
        <v>111</v>
      </c>
      <c r="C254" s="328"/>
      <c r="D254" s="629" t="s">
        <v>792</v>
      </c>
      <c r="E254" s="376" t="s">
        <v>56</v>
      </c>
      <c r="F254" s="376" t="s">
        <v>57</v>
      </c>
      <c r="G254" s="290" t="s">
        <v>793</v>
      </c>
      <c r="H254" s="290" t="s">
        <v>794</v>
      </c>
      <c r="I254" s="376" t="s">
        <v>795</v>
      </c>
      <c r="J254" s="401"/>
      <c r="K254" s="629" t="s">
        <v>1248</v>
      </c>
      <c r="L254" s="1114" t="s">
        <v>1249</v>
      </c>
      <c r="M254" s="1114" t="s">
        <v>1250</v>
      </c>
      <c r="N254" s="631" t="s">
        <v>1251</v>
      </c>
      <c r="O254" s="631" t="s">
        <v>1252</v>
      </c>
      <c r="P254" s="1114" t="s">
        <v>1253</v>
      </c>
      <c r="Q254" s="260"/>
      <c r="R254" s="260"/>
      <c r="S254" s="260"/>
      <c r="T254" s="260"/>
      <c r="U254" s="260"/>
      <c r="V254" s="260"/>
      <c r="W254" s="260"/>
      <c r="X254" s="260"/>
      <c r="Y254" s="260"/>
      <c r="AI254" s="396"/>
      <c r="AJ254" s="396"/>
      <c r="AK254" s="396"/>
      <c r="AL254" s="396"/>
      <c r="AM254" s="396"/>
    </row>
    <row r="255" spans="1:39" hidden="1" x14ac:dyDescent="0.25">
      <c r="A255" s="401"/>
      <c r="B255" s="370" t="s">
        <v>136</v>
      </c>
      <c r="C255" s="292"/>
      <c r="D255" s="131" t="e">
        <f>('Unit costs'!$C152*'Financial impact (cash)'!#REF!)+('Unit costs'!$D152*'Financial impact (cash)'!#REF!)+('Unit costs'!$E152*'Financial impact (cash)'!#REF!)</f>
        <v>#REF!</v>
      </c>
      <c r="E255" s="131" t="e">
        <f>('Unit costs'!$C152*'Financial impact (cash)'!#REF!)+('Unit costs'!$D152*'Financial impact (cash)'!#REF!)+('Unit costs'!$E152*'Financial impact (cash)'!#REF!)</f>
        <v>#REF!</v>
      </c>
      <c r="F255" s="131" t="e">
        <f>('Unit costs'!$C152*'Financial impact (cash)'!#REF!)+('Unit costs'!$D152*'Financial impact (cash)'!#REF!)+('Unit costs'!$E152*'Financial impact (cash)'!#REF!)</f>
        <v>#REF!</v>
      </c>
      <c r="G255" s="131" t="e">
        <f>('Unit costs'!$C152*'Financial impact (cash)'!#REF!)+('Unit costs'!$D152*'Financial impact (cash)'!#REF!)+('Unit costs'!$E152*'Financial impact (cash)'!#REF!)</f>
        <v>#REF!</v>
      </c>
      <c r="H255" s="131" t="e">
        <f>('Unit costs'!$C152*'Financial impact (cash)'!#REF!)+('Unit costs'!$D152*'Financial impact (cash)'!#REF!)+('Unit costs'!$E152*'Financial impact (cash)'!#REF!)</f>
        <v>#REF!</v>
      </c>
      <c r="I255" s="131" t="e">
        <f>('Unit costs'!$C152*'Financial impact (cash)'!#REF!)+('Unit costs'!$D152*'Financial impact (cash)'!#REF!)+('Unit costs'!$E152*'Financial impact (cash)'!#REF!)</f>
        <v>#REF!</v>
      </c>
      <c r="J255" s="401"/>
      <c r="K255" s="406" t="e">
        <f>(D255*'Unit costs'!$L$152)/1000</f>
        <v>#REF!</v>
      </c>
      <c r="L255" s="406" t="e">
        <f>(E255*'Unit costs'!$L$152)/1000</f>
        <v>#REF!</v>
      </c>
      <c r="M255" s="406" t="e">
        <f>(F255*'Unit costs'!$L$152)/1000</f>
        <v>#REF!</v>
      </c>
      <c r="N255" s="406" t="e">
        <f>(G255*'Unit costs'!$L$152)/1000</f>
        <v>#REF!</v>
      </c>
      <c r="O255" s="406" t="e">
        <f>(H255*'Unit costs'!$L$152)/1000</f>
        <v>#REF!</v>
      </c>
      <c r="P255" s="406" t="e">
        <f>(I255*'Unit costs'!$L$152)/1000</f>
        <v>#REF!</v>
      </c>
      <c r="Q255" s="260"/>
      <c r="R255" s="260"/>
      <c r="S255" s="260"/>
      <c r="T255" s="260"/>
      <c r="U255" s="260"/>
      <c r="V255" s="260"/>
      <c r="W255" s="260"/>
      <c r="X255" s="260"/>
      <c r="Y255" s="260"/>
      <c r="AI255" s="396"/>
      <c r="AJ255" s="396"/>
      <c r="AK255" s="396"/>
      <c r="AL255" s="396"/>
      <c r="AM255" s="396"/>
    </row>
    <row r="256" spans="1:39" hidden="1" x14ac:dyDescent="0.25">
      <c r="A256" s="401"/>
      <c r="B256" s="370" t="s">
        <v>137</v>
      </c>
      <c r="C256" s="292"/>
      <c r="D256" s="131" t="e">
        <f>('Unit costs'!$C153*'Financial impact (cash)'!#REF!)+('Unit costs'!$D153*'Financial impact (cash)'!#REF!)+('Unit costs'!$E153*'Financial impact (cash)'!#REF!)</f>
        <v>#REF!</v>
      </c>
      <c r="E256" s="131" t="e">
        <f>('Unit costs'!$C153*'Financial impact (cash)'!#REF!)+('Unit costs'!$D153*'Financial impact (cash)'!#REF!)+('Unit costs'!$E153*'Financial impact (cash)'!#REF!)</f>
        <v>#REF!</v>
      </c>
      <c r="F256" s="131" t="e">
        <f>('Unit costs'!$C153*'Financial impact (cash)'!#REF!)+('Unit costs'!$D153*'Financial impact (cash)'!#REF!)+('Unit costs'!$E153*'Financial impact (cash)'!#REF!)</f>
        <v>#REF!</v>
      </c>
      <c r="G256" s="131" t="e">
        <f>('Unit costs'!$C153*'Financial impact (cash)'!#REF!)+('Unit costs'!$D153*'Financial impact (cash)'!#REF!)+('Unit costs'!$E153*'Financial impact (cash)'!#REF!)</f>
        <v>#REF!</v>
      </c>
      <c r="H256" s="131" t="e">
        <f>('Unit costs'!$C153*'Financial impact (cash)'!#REF!)+('Unit costs'!$D153*'Financial impact (cash)'!#REF!)+('Unit costs'!$E153*'Financial impact (cash)'!#REF!)</f>
        <v>#REF!</v>
      </c>
      <c r="I256" s="131" t="e">
        <f>('Unit costs'!$C153*'Financial impact (cash)'!#REF!)+('Unit costs'!$D153*'Financial impact (cash)'!#REF!)+('Unit costs'!$E153*'Financial impact (cash)'!#REF!)</f>
        <v>#REF!</v>
      </c>
      <c r="J256" s="401"/>
      <c r="K256" s="406" t="e">
        <f>(D256*'Unit costs'!$L$152)/1000</f>
        <v>#REF!</v>
      </c>
      <c r="L256" s="406" t="e">
        <f>(E256*'Unit costs'!$L$152)/1000</f>
        <v>#REF!</v>
      </c>
      <c r="M256" s="406" t="e">
        <f>(F256*'Unit costs'!$L$152)/1000</f>
        <v>#REF!</v>
      </c>
      <c r="N256" s="406" t="e">
        <f>(G256*'Unit costs'!$L$152)/1000</f>
        <v>#REF!</v>
      </c>
      <c r="O256" s="406" t="e">
        <f>(H256*'Unit costs'!$L$152)/1000</f>
        <v>#REF!</v>
      </c>
      <c r="P256" s="406" t="e">
        <f>(I256*'Unit costs'!$L$152)/1000</f>
        <v>#REF!</v>
      </c>
      <c r="Q256" s="260"/>
      <c r="R256" s="260"/>
      <c r="S256" s="260"/>
      <c r="T256" s="260"/>
      <c r="U256" s="260"/>
      <c r="V256" s="260"/>
      <c r="W256" s="260"/>
      <c r="X256" s="260"/>
      <c r="Y256" s="260"/>
      <c r="AI256" s="396"/>
      <c r="AJ256" s="396"/>
      <c r="AK256" s="396"/>
      <c r="AL256" s="396"/>
      <c r="AM256" s="396"/>
    </row>
    <row r="257" spans="1:39" hidden="1" x14ac:dyDescent="0.25">
      <c r="A257" s="401"/>
      <c r="B257" s="370" t="s">
        <v>138</v>
      </c>
      <c r="C257" s="292"/>
      <c r="D257" s="131" t="e">
        <f>('Unit costs'!$C154*'Financial impact (cash)'!#REF!)+('Unit costs'!$D154*'Financial impact (cash)'!#REF!)+('Unit costs'!$E154*'Financial impact (cash)'!#REF!)</f>
        <v>#REF!</v>
      </c>
      <c r="E257" s="131" t="e">
        <f>('Unit costs'!$C154*'Financial impact (cash)'!#REF!)+('Unit costs'!$D154*'Financial impact (cash)'!#REF!)+('Unit costs'!$E154*'Financial impact (cash)'!#REF!)</f>
        <v>#REF!</v>
      </c>
      <c r="F257" s="131" t="e">
        <f>('Unit costs'!$C154*'Financial impact (cash)'!#REF!)+('Unit costs'!$D154*'Financial impact (cash)'!#REF!)+('Unit costs'!$E154*'Financial impact (cash)'!#REF!)</f>
        <v>#REF!</v>
      </c>
      <c r="G257" s="131" t="e">
        <f>('Unit costs'!$C154*'Financial impact (cash)'!#REF!)+('Unit costs'!$D154*'Financial impact (cash)'!#REF!)+('Unit costs'!$E154*'Financial impact (cash)'!#REF!)</f>
        <v>#REF!</v>
      </c>
      <c r="H257" s="131" t="e">
        <f>('Unit costs'!$C154*'Financial impact (cash)'!#REF!)+('Unit costs'!$D154*'Financial impact (cash)'!#REF!)+('Unit costs'!$E154*'Financial impact (cash)'!#REF!)</f>
        <v>#REF!</v>
      </c>
      <c r="I257" s="131" t="e">
        <f>('Unit costs'!$C154*'Financial impact (cash)'!#REF!)+('Unit costs'!$D154*'Financial impact (cash)'!#REF!)+('Unit costs'!$E154*'Financial impact (cash)'!#REF!)</f>
        <v>#REF!</v>
      </c>
      <c r="J257" s="401"/>
      <c r="K257" s="406" t="e">
        <f>(D257*'Unit costs'!$L$152)/1000</f>
        <v>#REF!</v>
      </c>
      <c r="L257" s="406" t="e">
        <f>(E257*'Unit costs'!$L$152)/1000</f>
        <v>#REF!</v>
      </c>
      <c r="M257" s="406" t="e">
        <f>(F257*'Unit costs'!$L$152)/1000</f>
        <v>#REF!</v>
      </c>
      <c r="N257" s="406" t="e">
        <f>(G257*'Unit costs'!$L$152)/1000</f>
        <v>#REF!</v>
      </c>
      <c r="O257" s="406" t="e">
        <f>(H257*'Unit costs'!$L$152)/1000</f>
        <v>#REF!</v>
      </c>
      <c r="P257" s="406" t="e">
        <f>(I257*'Unit costs'!$L$152)/1000</f>
        <v>#REF!</v>
      </c>
      <c r="Q257" s="260"/>
      <c r="R257" s="260"/>
      <c r="S257" s="260"/>
      <c r="T257" s="260"/>
      <c r="U257" s="260"/>
      <c r="V257" s="260"/>
      <c r="W257" s="260"/>
      <c r="X257" s="260"/>
      <c r="Y257" s="260"/>
      <c r="AI257" s="396"/>
      <c r="AJ257" s="396"/>
      <c r="AK257" s="396"/>
      <c r="AL257" s="396"/>
      <c r="AM257" s="396"/>
    </row>
    <row r="258" spans="1:39" hidden="1" x14ac:dyDescent="0.25">
      <c r="A258" s="401"/>
      <c r="B258" s="370" t="s">
        <v>139</v>
      </c>
      <c r="C258" s="292"/>
      <c r="D258" s="131" t="e">
        <f>('Unit costs'!$C155*'Financial impact (cash)'!#REF!)+('Unit costs'!$D155*'Financial impact (cash)'!#REF!)+('Unit costs'!$E155*'Financial impact (cash)'!#REF!)</f>
        <v>#REF!</v>
      </c>
      <c r="E258" s="131" t="e">
        <f>('Unit costs'!$C155*'Financial impact (cash)'!#REF!)+('Unit costs'!$D155*'Financial impact (cash)'!#REF!)+('Unit costs'!$E155*'Financial impact (cash)'!#REF!)</f>
        <v>#REF!</v>
      </c>
      <c r="F258" s="131" t="e">
        <f>('Unit costs'!$C155*'Financial impact (cash)'!#REF!)+('Unit costs'!$D155*'Financial impact (cash)'!#REF!)+('Unit costs'!$E155*'Financial impact (cash)'!#REF!)</f>
        <v>#REF!</v>
      </c>
      <c r="G258" s="131" t="e">
        <f>('Unit costs'!$C155*'Financial impact (cash)'!#REF!)+('Unit costs'!$D155*'Financial impact (cash)'!#REF!)+('Unit costs'!$E155*'Financial impact (cash)'!#REF!)</f>
        <v>#REF!</v>
      </c>
      <c r="H258" s="131" t="e">
        <f>('Unit costs'!$C155*'Financial impact (cash)'!#REF!)+('Unit costs'!$D155*'Financial impact (cash)'!#REF!)+('Unit costs'!$E155*'Financial impact (cash)'!#REF!)</f>
        <v>#REF!</v>
      </c>
      <c r="I258" s="131" t="e">
        <f>('Unit costs'!$C155*'Financial impact (cash)'!#REF!)+('Unit costs'!$D155*'Financial impact (cash)'!#REF!)+('Unit costs'!$E155*'Financial impact (cash)'!#REF!)</f>
        <v>#REF!</v>
      </c>
      <c r="J258" s="401"/>
      <c r="K258" s="406" t="e">
        <f>(D258*'Unit costs'!$L$152)/1000</f>
        <v>#REF!</v>
      </c>
      <c r="L258" s="406" t="e">
        <f>(E258*'Unit costs'!$L$152)/1000</f>
        <v>#REF!</v>
      </c>
      <c r="M258" s="406" t="e">
        <f>(F258*'Unit costs'!$L$152)/1000</f>
        <v>#REF!</v>
      </c>
      <c r="N258" s="406" t="e">
        <f>(G258*'Unit costs'!$L$152)/1000</f>
        <v>#REF!</v>
      </c>
      <c r="O258" s="406" t="e">
        <f>(H258*'Unit costs'!$L$152)/1000</f>
        <v>#REF!</v>
      </c>
      <c r="P258" s="406" t="e">
        <f>(I258*'Unit costs'!$L$152)/1000</f>
        <v>#REF!</v>
      </c>
      <c r="Q258" s="260"/>
      <c r="R258" s="260"/>
      <c r="S258" s="260"/>
      <c r="T258" s="260"/>
      <c r="U258" s="260"/>
      <c r="V258" s="260"/>
      <c r="W258" s="260"/>
      <c r="X258" s="260"/>
      <c r="Y258" s="260"/>
      <c r="AI258" s="396"/>
      <c r="AJ258" s="396"/>
      <c r="AK258" s="396"/>
      <c r="AL258" s="396"/>
      <c r="AM258" s="396"/>
    </row>
    <row r="259" spans="1:39" hidden="1" x14ac:dyDescent="0.25">
      <c r="A259" s="401"/>
      <c r="B259" s="370" t="s">
        <v>1286</v>
      </c>
      <c r="C259" s="292"/>
      <c r="D259" s="131" t="e">
        <f>('Unit costs'!$C156*'Financial impact (cash)'!#REF!)+('Unit costs'!$D156*'Financial impact (cash)'!#REF!)+('Unit costs'!$E156*'Financial impact (cash)'!#REF!)</f>
        <v>#REF!</v>
      </c>
      <c r="E259" s="131" t="e">
        <f>('Unit costs'!$C156*'Financial impact (cash)'!#REF!)+('Unit costs'!$D156*'Financial impact (cash)'!#REF!)+('Unit costs'!$E156*'Financial impact (cash)'!#REF!)</f>
        <v>#REF!</v>
      </c>
      <c r="F259" s="131" t="e">
        <f>('Unit costs'!$C156*'Financial impact (cash)'!#REF!)+('Unit costs'!$D156*'Financial impact (cash)'!#REF!)+('Unit costs'!$E156*'Financial impact (cash)'!#REF!)</f>
        <v>#REF!</v>
      </c>
      <c r="G259" s="131" t="e">
        <f>('Unit costs'!$C156*'Financial impact (cash)'!#REF!)+('Unit costs'!$D156*'Financial impact (cash)'!#REF!)+('Unit costs'!$E156*'Financial impact (cash)'!#REF!)</f>
        <v>#REF!</v>
      </c>
      <c r="H259" s="131" t="e">
        <f>('Unit costs'!$C156*'Financial impact (cash)'!#REF!)+('Unit costs'!$D156*'Financial impact (cash)'!#REF!)+('Unit costs'!$E156*'Financial impact (cash)'!#REF!)</f>
        <v>#REF!</v>
      </c>
      <c r="I259" s="131" t="e">
        <f>('Unit costs'!$C156*'Financial impact (cash)'!#REF!)+('Unit costs'!$D156*'Financial impact (cash)'!#REF!)+('Unit costs'!$E156*'Financial impact (cash)'!#REF!)</f>
        <v>#REF!</v>
      </c>
      <c r="J259" s="401"/>
      <c r="K259" s="406" t="e">
        <f>(D259*'Unit costs'!$L$152)/1000</f>
        <v>#REF!</v>
      </c>
      <c r="L259" s="406" t="e">
        <f>(E259*'Unit costs'!$L$152)/1000</f>
        <v>#REF!</v>
      </c>
      <c r="M259" s="406" t="e">
        <f>(F259*'Unit costs'!$L$152)/1000</f>
        <v>#REF!</v>
      </c>
      <c r="N259" s="406" t="e">
        <f>(G259*'Unit costs'!$L$152)/1000</f>
        <v>#REF!</v>
      </c>
      <c r="O259" s="406" t="e">
        <f>(H259*'Unit costs'!$L$152)/1000</f>
        <v>#REF!</v>
      </c>
      <c r="P259" s="406" t="e">
        <f>(I259*'Unit costs'!$L$152)/1000</f>
        <v>#REF!</v>
      </c>
      <c r="Q259" s="260"/>
      <c r="R259" s="260"/>
      <c r="S259" s="260"/>
      <c r="T259" s="260"/>
      <c r="U259" s="260"/>
      <c r="V259" s="260"/>
      <c r="W259" s="260"/>
      <c r="X259" s="260"/>
      <c r="Y259" s="260"/>
      <c r="AI259" s="396"/>
      <c r="AJ259" s="396"/>
      <c r="AK259" s="396"/>
      <c r="AL259" s="396"/>
      <c r="AM259" s="396"/>
    </row>
    <row r="260" spans="1:39" hidden="1" x14ac:dyDescent="0.25">
      <c r="A260" s="401"/>
      <c r="B260" s="370" t="s">
        <v>141</v>
      </c>
      <c r="C260" s="292"/>
      <c r="D260" s="131" t="e">
        <f>('Unit costs'!$C157*'Financial impact (cash)'!#REF!)+('Unit costs'!$D157*'Financial impact (cash)'!#REF!)+('Unit costs'!$E157*'Financial impact (cash)'!#REF!)</f>
        <v>#REF!</v>
      </c>
      <c r="E260" s="131" t="e">
        <f>('Unit costs'!$C157*'Financial impact (cash)'!#REF!)+('Unit costs'!$D157*'Financial impact (cash)'!#REF!)+('Unit costs'!$E157*'Financial impact (cash)'!#REF!)</f>
        <v>#REF!</v>
      </c>
      <c r="F260" s="131" t="e">
        <f>('Unit costs'!$C157*'Financial impact (cash)'!#REF!)+('Unit costs'!$D157*'Financial impact (cash)'!#REF!)+('Unit costs'!$E157*'Financial impact (cash)'!#REF!)</f>
        <v>#REF!</v>
      </c>
      <c r="G260" s="131" t="e">
        <f>('Unit costs'!$C157*'Financial impact (cash)'!#REF!)+('Unit costs'!$D157*'Financial impact (cash)'!#REF!)+('Unit costs'!$E157*'Financial impact (cash)'!#REF!)</f>
        <v>#REF!</v>
      </c>
      <c r="H260" s="131" t="e">
        <f>('Unit costs'!$C157*'Financial impact (cash)'!#REF!)+('Unit costs'!$D157*'Financial impact (cash)'!#REF!)+('Unit costs'!$E157*'Financial impact (cash)'!#REF!)</f>
        <v>#REF!</v>
      </c>
      <c r="I260" s="131" t="e">
        <f>('Unit costs'!$C157*'Financial impact (cash)'!#REF!)+('Unit costs'!$D157*'Financial impact (cash)'!#REF!)+('Unit costs'!$E157*'Financial impact (cash)'!#REF!)</f>
        <v>#REF!</v>
      </c>
      <c r="J260" s="401"/>
      <c r="K260" s="406" t="e">
        <f>(D260*'Unit costs'!$L$152)/1000</f>
        <v>#REF!</v>
      </c>
      <c r="L260" s="406" t="e">
        <f>(E260*'Unit costs'!$L$152)/1000</f>
        <v>#REF!</v>
      </c>
      <c r="M260" s="406" t="e">
        <f>(F260*'Unit costs'!$L$152)/1000</f>
        <v>#REF!</v>
      </c>
      <c r="N260" s="406" t="e">
        <f>(G260*'Unit costs'!$L$152)/1000</f>
        <v>#REF!</v>
      </c>
      <c r="O260" s="406" t="e">
        <f>(H260*'Unit costs'!$L$152)/1000</f>
        <v>#REF!</v>
      </c>
      <c r="P260" s="406" t="e">
        <f>(I260*'Unit costs'!$L$152)/1000</f>
        <v>#REF!</v>
      </c>
      <c r="Q260" s="260"/>
      <c r="R260" s="260"/>
      <c r="S260" s="260"/>
      <c r="T260" s="260"/>
      <c r="U260" s="260"/>
      <c r="V260" s="260"/>
      <c r="W260" s="260"/>
      <c r="X260" s="260"/>
      <c r="Y260" s="260"/>
      <c r="AI260" s="396"/>
      <c r="AJ260" s="396"/>
      <c r="AK260" s="396"/>
      <c r="AL260" s="396"/>
      <c r="AM260" s="396"/>
    </row>
    <row r="261" spans="1:39" hidden="1" x14ac:dyDescent="0.25">
      <c r="A261" s="401"/>
      <c r="B261" s="370" t="s">
        <v>142</v>
      </c>
      <c r="C261" s="292"/>
      <c r="D261" s="131" t="e">
        <f>('Unit costs'!$C158*'Financial impact (cash)'!#REF!)+('Unit costs'!$D158*'Financial impact (cash)'!#REF!)+('Unit costs'!$E158*'Financial impact (cash)'!#REF!)</f>
        <v>#REF!</v>
      </c>
      <c r="E261" s="131" t="e">
        <f>('Unit costs'!$C158*'Financial impact (cash)'!#REF!)+('Unit costs'!$D158*'Financial impact (cash)'!#REF!)+('Unit costs'!$E158*'Financial impact (cash)'!#REF!)</f>
        <v>#REF!</v>
      </c>
      <c r="F261" s="131" t="e">
        <f>('Unit costs'!$C158*'Financial impact (cash)'!#REF!)+('Unit costs'!$D158*'Financial impact (cash)'!#REF!)+('Unit costs'!$E158*'Financial impact (cash)'!#REF!)</f>
        <v>#REF!</v>
      </c>
      <c r="G261" s="131" t="e">
        <f>('Unit costs'!$C158*'Financial impact (cash)'!#REF!)+('Unit costs'!$D158*'Financial impact (cash)'!#REF!)+('Unit costs'!$E158*'Financial impact (cash)'!#REF!)</f>
        <v>#REF!</v>
      </c>
      <c r="H261" s="131" t="e">
        <f>('Unit costs'!$C158*'Financial impact (cash)'!#REF!)+('Unit costs'!$D158*'Financial impact (cash)'!#REF!)+('Unit costs'!$E158*'Financial impact (cash)'!#REF!)</f>
        <v>#REF!</v>
      </c>
      <c r="I261" s="131" t="e">
        <f>('Unit costs'!$C158*'Financial impact (cash)'!#REF!)+('Unit costs'!$D158*'Financial impact (cash)'!#REF!)+('Unit costs'!$E158*'Financial impact (cash)'!#REF!)</f>
        <v>#REF!</v>
      </c>
      <c r="J261" s="401"/>
      <c r="K261" s="406" t="e">
        <f>(D261*'Unit costs'!$L$152)/1000</f>
        <v>#REF!</v>
      </c>
      <c r="L261" s="406" t="e">
        <f>(E261*'Unit costs'!$L$152)/1000</f>
        <v>#REF!</v>
      </c>
      <c r="M261" s="406" t="e">
        <f>(F261*'Unit costs'!$L$152)/1000</f>
        <v>#REF!</v>
      </c>
      <c r="N261" s="406" t="e">
        <f>(G261*'Unit costs'!$L$152)/1000</f>
        <v>#REF!</v>
      </c>
      <c r="O261" s="406" t="e">
        <f>(H261*'Unit costs'!$L$152)/1000</f>
        <v>#REF!</v>
      </c>
      <c r="P261" s="406" t="e">
        <f>(I261*'Unit costs'!$L$152)/1000</f>
        <v>#REF!</v>
      </c>
      <c r="Q261" s="260"/>
      <c r="R261" s="260"/>
      <c r="S261" s="260"/>
      <c r="T261" s="260"/>
      <c r="U261" s="260"/>
      <c r="V261" s="260"/>
      <c r="W261" s="260"/>
      <c r="X261" s="260"/>
      <c r="Y261" s="260"/>
      <c r="AI261" s="396"/>
      <c r="AJ261" s="396"/>
      <c r="AK261" s="396"/>
      <c r="AL261" s="396"/>
      <c r="AM261" s="396"/>
    </row>
    <row r="262" spans="1:39" hidden="1" x14ac:dyDescent="0.25">
      <c r="A262" s="401"/>
      <c r="B262" s="391"/>
      <c r="C262" s="328"/>
      <c r="D262" s="313" t="e">
        <f t="shared" ref="D262:I262" si="120">SUM(D255:D261)</f>
        <v>#REF!</v>
      </c>
      <c r="E262" s="313" t="e">
        <f t="shared" si="120"/>
        <v>#REF!</v>
      </c>
      <c r="F262" s="313" t="e">
        <f t="shared" si="120"/>
        <v>#REF!</v>
      </c>
      <c r="G262" s="313" t="e">
        <f t="shared" si="120"/>
        <v>#REF!</v>
      </c>
      <c r="H262" s="313" t="e">
        <f t="shared" si="120"/>
        <v>#REF!</v>
      </c>
      <c r="I262" s="313" t="e">
        <f t="shared" si="120"/>
        <v>#REF!</v>
      </c>
      <c r="J262" s="401"/>
      <c r="K262" s="407" t="e">
        <f>SUM(K255:K261)</f>
        <v>#REF!</v>
      </c>
      <c r="L262" s="407" t="e">
        <f t="shared" ref="L262:P262" si="121">SUM(L255:L261)</f>
        <v>#REF!</v>
      </c>
      <c r="M262" s="407" t="e">
        <f t="shared" si="121"/>
        <v>#REF!</v>
      </c>
      <c r="N262" s="407" t="e">
        <f t="shared" si="121"/>
        <v>#REF!</v>
      </c>
      <c r="O262" s="407" t="e">
        <f t="shared" si="121"/>
        <v>#REF!</v>
      </c>
      <c r="P262" s="407" t="e">
        <f t="shared" si="121"/>
        <v>#REF!</v>
      </c>
      <c r="Q262" s="260"/>
      <c r="R262" s="260"/>
      <c r="S262" s="260"/>
      <c r="T262" s="260"/>
      <c r="U262" s="260"/>
      <c r="V262" s="260"/>
      <c r="W262" s="260"/>
      <c r="X262" s="260"/>
      <c r="Y262" s="260"/>
      <c r="AI262" s="396"/>
      <c r="AJ262" s="396"/>
      <c r="AK262" s="396"/>
      <c r="AL262" s="396"/>
      <c r="AM262" s="396"/>
    </row>
    <row r="263" spans="1:39" hidden="1" x14ac:dyDescent="0.25">
      <c r="A263" s="401"/>
      <c r="B263" s="425"/>
      <c r="C263" s="328"/>
      <c r="D263" s="395" t="s">
        <v>827</v>
      </c>
      <c r="E263" s="313" t="e">
        <f>E262-$D$262</f>
        <v>#REF!</v>
      </c>
      <c r="F263" s="313" t="e">
        <f>F262-$D$262</f>
        <v>#REF!</v>
      </c>
      <c r="G263" s="313" t="e">
        <f>G262-$D$262</f>
        <v>#REF!</v>
      </c>
      <c r="H263" s="313" t="e">
        <f>H262-$D$262</f>
        <v>#REF!</v>
      </c>
      <c r="I263" s="313" t="e">
        <f>I262-$D$262</f>
        <v>#REF!</v>
      </c>
      <c r="J263" s="401"/>
      <c r="K263" s="657"/>
      <c r="L263" s="407" t="e">
        <f>L262-$K$262</f>
        <v>#REF!</v>
      </c>
      <c r="M263" s="407" t="e">
        <f t="shared" ref="M263:P263" si="122">M262-$K$262</f>
        <v>#REF!</v>
      </c>
      <c r="N263" s="407" t="e">
        <f t="shared" si="122"/>
        <v>#REF!</v>
      </c>
      <c r="O263" s="407" t="e">
        <f t="shared" si="122"/>
        <v>#REF!</v>
      </c>
      <c r="P263" s="407" t="e">
        <f t="shared" si="122"/>
        <v>#REF!</v>
      </c>
    </row>
    <row r="264" spans="1:39" hidden="1" x14ac:dyDescent="0.25">
      <c r="A264" s="401"/>
      <c r="B264" s="401"/>
      <c r="C264" s="401"/>
      <c r="D264" s="401"/>
      <c r="E264" s="401"/>
      <c r="F264" s="401"/>
      <c r="G264" s="401"/>
      <c r="H264" s="401"/>
      <c r="I264" s="401"/>
      <c r="J264" s="401"/>
      <c r="K264" s="401"/>
      <c r="L264" s="401"/>
      <c r="M264" s="401"/>
      <c r="N264" s="401"/>
      <c r="O264" s="401"/>
      <c r="P264" s="401"/>
    </row>
    <row r="265" spans="1:39" x14ac:dyDescent="0.25">
      <c r="B265"/>
    </row>
    <row r="266" spans="1:39" x14ac:dyDescent="0.25">
      <c r="B266"/>
    </row>
    <row r="267" spans="1:39" x14ac:dyDescent="0.25">
      <c r="B267"/>
    </row>
    <row r="268" spans="1:39" x14ac:dyDescent="0.25">
      <c r="B268"/>
    </row>
    <row r="269" spans="1:39" x14ac:dyDescent="0.25">
      <c r="B269"/>
    </row>
  </sheetData>
  <sheetProtection algorithmName="SHA-512" hashValue="XQBxZzIGHtuvOvr5f++twLZEvqbZu8nrLBY85PuVa2J4Isfn5MtDKWkriqOlgBdiBn0XZYrxdjIpGtHnSpJXMw==" saltValue="RccmAKqmzjxa7RH+WaIxZg==" spinCount="100000" sheet="1" objects="1" scenarios="1"/>
  <protectedRanges>
    <protectedRange sqref="B255:B261" name="Range1"/>
    <protectedRange sqref="E15:J18" name="Range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87"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55"/>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3" width="15.140625" customWidth="1"/>
    <col min="4" max="9" width="12.5703125" customWidth="1"/>
    <col min="10" max="10" width="1.85546875" customWidth="1"/>
    <col min="11" max="17" width="11.7109375" customWidth="1"/>
    <col min="18" max="18" width="11.42578125" customWidth="1"/>
    <col min="19" max="19" width="11.7109375" customWidth="1"/>
    <col min="20" max="25" width="10.85546875" customWidth="1"/>
    <col min="27" max="40" width="0" hidden="1" customWidth="1"/>
  </cols>
  <sheetData>
    <row r="1" spans="1:39" ht="76.5" customHeight="1" x14ac:dyDescent="0.25">
      <c r="B1" s="274" t="str">
        <f>'Unit costs'!B1</f>
        <v>Tumour profiling tests to guide adjuvant chemotherapy decisions in lymph node positive early breast cancer</v>
      </c>
      <c r="C1" s="130"/>
      <c r="D1" s="130"/>
      <c r="F1" s="130"/>
      <c r="G1" s="130"/>
      <c r="H1" s="130"/>
      <c r="I1" s="130"/>
      <c r="J1" s="130"/>
      <c r="K1" s="130"/>
      <c r="L1" s="130"/>
      <c r="M1" s="130"/>
      <c r="N1" s="130"/>
      <c r="O1" s="130"/>
      <c r="Q1" s="130"/>
      <c r="R1" s="130"/>
      <c r="S1" s="130"/>
      <c r="T1" s="130"/>
      <c r="U1" s="130"/>
      <c r="V1" s="130"/>
      <c r="W1" s="130"/>
      <c r="X1" s="130"/>
      <c r="Y1" s="130"/>
    </row>
    <row r="2" spans="1:39" ht="42.6" customHeight="1" x14ac:dyDescent="0.25">
      <c r="B2" s="330" t="s">
        <v>1222</v>
      </c>
      <c r="C2" s="130" t="s">
        <v>104</v>
      </c>
      <c r="D2" s="130" t="s">
        <v>104</v>
      </c>
      <c r="E2" s="727"/>
      <c r="F2" s="130" t="s">
        <v>104</v>
      </c>
      <c r="G2" s="130" t="s">
        <v>104</v>
      </c>
      <c r="H2" s="130" t="s">
        <v>104</v>
      </c>
      <c r="I2" s="130" t="s">
        <v>104</v>
      </c>
      <c r="J2" s="130"/>
      <c r="K2" s="130"/>
      <c r="L2" s="130"/>
      <c r="M2" s="130"/>
      <c r="N2" s="130"/>
      <c r="O2" s="130"/>
      <c r="P2" s="130"/>
      <c r="Q2" s="130"/>
      <c r="R2" s="130"/>
      <c r="S2" s="130"/>
      <c r="T2" s="130"/>
      <c r="U2" s="130"/>
      <c r="V2" s="130"/>
      <c r="W2" s="130"/>
      <c r="X2" s="130"/>
      <c r="Y2" s="130"/>
    </row>
    <row r="3" spans="1:39" ht="14.45" customHeight="1" x14ac:dyDescent="0.25">
      <c r="B3" s="257" t="s">
        <v>104</v>
      </c>
      <c r="C3" s="260" t="s">
        <v>104</v>
      </c>
      <c r="D3" s="260" t="s">
        <v>104</v>
      </c>
      <c r="F3" s="260" t="s">
        <v>104</v>
      </c>
      <c r="G3" s="260" t="s">
        <v>104</v>
      </c>
      <c r="H3" s="260" t="s">
        <v>104</v>
      </c>
      <c r="I3" s="260" t="s">
        <v>104</v>
      </c>
      <c r="J3" s="130"/>
      <c r="K3" s="130"/>
      <c r="L3" s="130"/>
      <c r="M3" s="130"/>
      <c r="N3" s="130"/>
      <c r="O3" s="130"/>
      <c r="P3" s="260"/>
      <c r="Q3" s="260"/>
      <c r="R3" s="260"/>
      <c r="S3" s="260"/>
      <c r="T3" s="260"/>
      <c r="U3" s="260"/>
      <c r="V3" s="260"/>
      <c r="W3" s="260"/>
      <c r="X3" s="260"/>
      <c r="Y3" s="260"/>
    </row>
    <row r="4" spans="1:39" ht="14.45" customHeight="1" x14ac:dyDescent="0.25">
      <c r="B4" t="s">
        <v>798</v>
      </c>
      <c r="C4" s="260"/>
      <c r="D4" s="260"/>
      <c r="F4" s="260"/>
      <c r="G4" s="260"/>
      <c r="H4" s="260"/>
      <c r="I4" s="260"/>
      <c r="J4" s="260"/>
      <c r="K4" s="260"/>
      <c r="L4" s="260"/>
      <c r="M4" s="260"/>
      <c r="N4" s="260"/>
      <c r="O4" s="260"/>
      <c r="P4" s="260"/>
      <c r="Q4" s="260"/>
      <c r="R4" s="260"/>
      <c r="S4" s="260"/>
      <c r="T4" s="260"/>
      <c r="U4" s="260"/>
      <c r="V4" s="260"/>
      <c r="W4" s="260"/>
      <c r="X4" s="260"/>
      <c r="Y4" s="260"/>
    </row>
    <row r="5" spans="1:39" ht="14.45" customHeight="1" x14ac:dyDescent="0.25">
      <c r="B5" s="4"/>
      <c r="F5" s="260"/>
      <c r="G5" s="260"/>
      <c r="H5" s="260"/>
      <c r="I5" s="260"/>
      <c r="J5" s="260"/>
      <c r="K5" s="260"/>
      <c r="L5" s="260"/>
      <c r="M5" s="260"/>
      <c r="N5" s="260"/>
      <c r="O5" s="260"/>
      <c r="P5" s="260"/>
      <c r="Q5" s="260"/>
      <c r="R5" s="260"/>
      <c r="S5" s="260"/>
      <c r="T5" s="260"/>
      <c r="U5" s="260"/>
      <c r="V5" s="260"/>
      <c r="W5" s="260"/>
      <c r="X5" s="260"/>
      <c r="Y5" s="260"/>
    </row>
    <row r="6" spans="1:39" ht="45" x14ac:dyDescent="0.25">
      <c r="B6" s="378" t="s">
        <v>145</v>
      </c>
      <c r="C6" s="328"/>
      <c r="D6" s="629" t="s">
        <v>792</v>
      </c>
      <c r="E6" s="376" t="s">
        <v>56</v>
      </c>
      <c r="F6" s="376" t="s">
        <v>57</v>
      </c>
      <c r="G6" s="290" t="s">
        <v>793</v>
      </c>
      <c r="H6" s="290" t="s">
        <v>794</v>
      </c>
      <c r="I6" s="376" t="s">
        <v>795</v>
      </c>
      <c r="K6" s="629" t="s">
        <v>792</v>
      </c>
      <c r="L6" s="376" t="s">
        <v>56</v>
      </c>
      <c r="M6" s="376" t="s">
        <v>57</v>
      </c>
      <c r="N6" s="290" t="s">
        <v>793</v>
      </c>
      <c r="O6" s="290" t="s">
        <v>794</v>
      </c>
      <c r="P6" s="376" t="s">
        <v>795</v>
      </c>
      <c r="Q6" s="260"/>
      <c r="R6" s="260"/>
      <c r="S6" s="260"/>
      <c r="T6" s="260"/>
      <c r="U6" s="260"/>
      <c r="V6" s="260"/>
      <c r="W6" s="260"/>
      <c r="X6" s="260"/>
      <c r="Y6" s="260"/>
      <c r="AI6" s="396"/>
      <c r="AJ6" s="396"/>
      <c r="AK6" s="396"/>
      <c r="AL6" s="396"/>
      <c r="AM6" s="396"/>
    </row>
    <row r="7" spans="1:39" x14ac:dyDescent="0.25">
      <c r="B7" s="343" t="s">
        <v>145</v>
      </c>
      <c r="C7" s="292"/>
      <c r="D7" s="544">
        <f>'Inputs and eligible population'!F46</f>
        <v>3325.6486634478779</v>
      </c>
      <c r="E7" s="309">
        <f>'Inputs and eligible population'!G$46</f>
        <v>3325.6486634478779</v>
      </c>
      <c r="F7" s="309">
        <f>'Inputs and eligible population'!H$46</f>
        <v>3325.6486634478779</v>
      </c>
      <c r="G7" s="309">
        <f>'Inputs and eligible population'!I$46</f>
        <v>3325.6486634478779</v>
      </c>
      <c r="H7" s="309">
        <f>'Inputs and eligible population'!J$46</f>
        <v>3325.6486634478779</v>
      </c>
      <c r="I7" s="309">
        <f>'Inputs and eligible population'!K$46</f>
        <v>3325.6486634478779</v>
      </c>
      <c r="O7" s="260"/>
      <c r="P7" s="260"/>
      <c r="Q7" s="260"/>
      <c r="R7" s="260"/>
      <c r="S7" s="260"/>
      <c r="T7" s="260"/>
      <c r="U7" s="260"/>
      <c r="V7" s="260"/>
      <c r="W7" s="260"/>
      <c r="X7" s="260"/>
      <c r="Y7" s="260"/>
      <c r="AI7" s="396"/>
      <c r="AJ7" s="396"/>
      <c r="AK7" s="396"/>
      <c r="AL7" s="396"/>
      <c r="AM7" s="396"/>
    </row>
    <row r="8" spans="1:39" x14ac:dyDescent="0.25">
      <c r="B8"/>
      <c r="O8" s="260"/>
      <c r="P8" s="260"/>
      <c r="Q8" s="260"/>
      <c r="R8" s="260"/>
      <c r="S8" s="260"/>
      <c r="T8" s="260"/>
      <c r="U8" s="260"/>
      <c r="V8" s="260"/>
      <c r="W8" s="260"/>
      <c r="X8" s="260"/>
      <c r="Y8" s="260"/>
      <c r="AI8" s="396"/>
      <c r="AJ8" s="396"/>
      <c r="AK8" s="396"/>
      <c r="AL8" s="396"/>
      <c r="AM8" s="396"/>
    </row>
    <row r="9" spans="1:39" x14ac:dyDescent="0.25">
      <c r="B9" s="390" t="s">
        <v>799</v>
      </c>
      <c r="C9" s="653"/>
      <c r="D9" s="653"/>
      <c r="E9" s="654"/>
      <c r="F9" s="653"/>
      <c r="G9" s="655"/>
      <c r="H9" s="656"/>
      <c r="I9" s="1013"/>
      <c r="J9" s="1012"/>
      <c r="K9" s="374" t="s">
        <v>149</v>
      </c>
      <c r="L9" s="374" t="s">
        <v>149</v>
      </c>
      <c r="M9" s="374" t="s">
        <v>149</v>
      </c>
      <c r="N9" s="374" t="s">
        <v>149</v>
      </c>
      <c r="O9" s="374" t="s">
        <v>149</v>
      </c>
      <c r="P9" s="374" t="s">
        <v>149</v>
      </c>
      <c r="Q9" s="872"/>
      <c r="R9" s="260"/>
      <c r="S9" s="260"/>
      <c r="T9" s="260"/>
      <c r="U9" s="260"/>
      <c r="V9" s="260"/>
      <c r="W9" s="260"/>
      <c r="X9" s="260"/>
      <c r="Y9" s="260"/>
      <c r="AI9" s="396"/>
      <c r="AJ9" s="396"/>
      <c r="AK9" s="396"/>
      <c r="AL9" s="396"/>
      <c r="AM9" s="396"/>
    </row>
    <row r="10" spans="1:39" x14ac:dyDescent="0.25">
      <c r="A10" s="692"/>
      <c r="B10" s="667" t="str">
        <f>B29</f>
        <v>First attendances</v>
      </c>
      <c r="C10" s="644"/>
      <c r="D10" s="626">
        <f t="shared" ref="D10:I10" si="0">D39</f>
        <v>0</v>
      </c>
      <c r="E10" s="626">
        <f t="shared" si="0"/>
        <v>0</v>
      </c>
      <c r="F10" s="626">
        <f t="shared" si="0"/>
        <v>0</v>
      </c>
      <c r="G10" s="626">
        <f t="shared" si="0"/>
        <v>0</v>
      </c>
      <c r="H10" s="626">
        <f t="shared" si="0"/>
        <v>0</v>
      </c>
      <c r="I10" s="626">
        <f t="shared" si="0"/>
        <v>0</v>
      </c>
      <c r="K10" s="406">
        <f t="shared" ref="K10:P10" si="1">K39</f>
        <v>0</v>
      </c>
      <c r="L10" s="406">
        <f t="shared" si="1"/>
        <v>0</v>
      </c>
      <c r="M10" s="406">
        <f t="shared" si="1"/>
        <v>0</v>
      </c>
      <c r="N10" s="406">
        <f t="shared" si="1"/>
        <v>0</v>
      </c>
      <c r="O10" s="406">
        <f t="shared" si="1"/>
        <v>0</v>
      </c>
      <c r="P10" s="406">
        <f t="shared" si="1"/>
        <v>0</v>
      </c>
      <c r="Q10" s="872"/>
      <c r="R10" s="260"/>
      <c r="S10" s="260"/>
      <c r="T10" s="260"/>
      <c r="U10" s="260"/>
      <c r="V10" s="260"/>
      <c r="W10" s="260"/>
      <c r="X10" s="260"/>
      <c r="Y10" s="260"/>
      <c r="AI10" s="396"/>
      <c r="AJ10" s="396"/>
      <c r="AK10" s="396"/>
      <c r="AL10" s="396"/>
      <c r="AM10" s="396"/>
    </row>
    <row r="11" spans="1:39" x14ac:dyDescent="0.25">
      <c r="A11" s="692"/>
      <c r="B11" s="667" t="str">
        <f>B42</f>
        <v>Follow up attendances</v>
      </c>
      <c r="C11" s="644"/>
      <c r="D11" s="1127">
        <f t="shared" ref="D11:I11" si="2">D52</f>
        <v>0</v>
      </c>
      <c r="E11" s="1127">
        <f t="shared" si="2"/>
        <v>0</v>
      </c>
      <c r="F11" s="1127">
        <f t="shared" si="2"/>
        <v>0</v>
      </c>
      <c r="G11" s="1127">
        <f t="shared" si="2"/>
        <v>0</v>
      </c>
      <c r="H11" s="1127">
        <f t="shared" si="2"/>
        <v>0</v>
      </c>
      <c r="I11" s="1127">
        <f t="shared" si="2"/>
        <v>0</v>
      </c>
      <c r="K11" s="406">
        <f t="shared" ref="K11:P11" si="3">K52</f>
        <v>0</v>
      </c>
      <c r="L11" s="406">
        <f t="shared" si="3"/>
        <v>0</v>
      </c>
      <c r="M11" s="406">
        <f t="shared" si="3"/>
        <v>0</v>
      </c>
      <c r="N11" s="406">
        <f t="shared" si="3"/>
        <v>0</v>
      </c>
      <c r="O11" s="406">
        <f t="shared" si="3"/>
        <v>0</v>
      </c>
      <c r="P11" s="406">
        <f t="shared" si="3"/>
        <v>0</v>
      </c>
      <c r="Q11" s="872"/>
      <c r="R11" s="260"/>
      <c r="S11" s="260"/>
      <c r="T11" s="260"/>
      <c r="U11" s="260"/>
      <c r="V11" s="260"/>
      <c r="W11" s="260"/>
      <c r="X11" s="260"/>
      <c r="Y11" s="260"/>
      <c r="AI11" s="396"/>
      <c r="AJ11" s="396"/>
      <c r="AK11" s="396"/>
      <c r="AL11" s="396"/>
      <c r="AM11" s="396"/>
    </row>
    <row r="12" spans="1:39" x14ac:dyDescent="0.25">
      <c r="A12" s="692"/>
      <c r="B12" s="1108" t="s">
        <v>1256</v>
      </c>
      <c r="C12" s="1128"/>
      <c r="D12" s="627">
        <f t="shared" ref="D12:I12" si="4">D79</f>
        <v>0</v>
      </c>
      <c r="E12" s="627">
        <f t="shared" si="4"/>
        <v>0</v>
      </c>
      <c r="F12" s="627">
        <f t="shared" si="4"/>
        <v>0</v>
      </c>
      <c r="G12" s="627">
        <f t="shared" si="4"/>
        <v>0</v>
      </c>
      <c r="H12" s="627">
        <f t="shared" si="4"/>
        <v>0</v>
      </c>
      <c r="I12" s="627">
        <f t="shared" si="4"/>
        <v>0</v>
      </c>
      <c r="J12" s="692"/>
      <c r="K12" s="1120"/>
      <c r="L12" s="1120"/>
      <c r="M12" s="1120"/>
      <c r="N12" s="1120"/>
      <c r="O12" s="1120"/>
      <c r="P12" s="1120"/>
      <c r="Q12" s="260"/>
      <c r="R12" s="260"/>
      <c r="S12" s="260"/>
      <c r="T12" s="260"/>
      <c r="U12" s="260"/>
      <c r="V12" s="260"/>
      <c r="W12" s="260"/>
      <c r="X12" s="260"/>
      <c r="Y12" s="260"/>
      <c r="AI12" s="396"/>
      <c r="AJ12" s="396"/>
      <c r="AK12" s="396"/>
      <c r="AL12" s="396"/>
      <c r="AM12" s="396"/>
    </row>
    <row r="13" spans="1:39" x14ac:dyDescent="0.25">
      <c r="A13" s="692"/>
      <c r="B13" s="1129" t="str">
        <f>'Inputs and eligible population'!D112</f>
        <v>Preparation time before administration
(hours)</v>
      </c>
      <c r="C13" s="659"/>
      <c r="D13" s="627">
        <f t="shared" ref="D13:I13" si="5">D92</f>
        <v>0</v>
      </c>
      <c r="E13" s="627">
        <f t="shared" si="5"/>
        <v>0</v>
      </c>
      <c r="F13" s="627">
        <f t="shared" si="5"/>
        <v>0</v>
      </c>
      <c r="G13" s="627">
        <f t="shared" si="5"/>
        <v>0</v>
      </c>
      <c r="H13" s="627">
        <f t="shared" si="5"/>
        <v>0</v>
      </c>
      <c r="I13" s="627">
        <f t="shared" si="5"/>
        <v>0</v>
      </c>
      <c r="J13" s="692"/>
      <c r="K13" s="1120"/>
      <c r="L13" s="1120"/>
      <c r="M13" s="1120"/>
      <c r="N13" s="1120"/>
      <c r="O13" s="1120"/>
      <c r="P13" s="1120"/>
      <c r="Q13" s="260"/>
      <c r="R13" s="260"/>
      <c r="S13" s="260"/>
      <c r="T13" s="260"/>
      <c r="U13" s="260"/>
      <c r="V13" s="260"/>
      <c r="W13" s="260"/>
      <c r="X13" s="260"/>
      <c r="Y13" s="260"/>
      <c r="AI13" s="396"/>
      <c r="AJ13" s="396"/>
      <c r="AK13" s="396"/>
      <c r="AL13" s="396"/>
      <c r="AM13" s="396"/>
    </row>
    <row r="14" spans="1:39" x14ac:dyDescent="0.25">
      <c r="A14" s="692"/>
      <c r="B14" s="1108" t="s">
        <v>166</v>
      </c>
      <c r="C14" s="659"/>
      <c r="D14" s="627">
        <f t="shared" ref="D14:I14" si="6">D105</f>
        <v>0</v>
      </c>
      <c r="E14" s="627">
        <f t="shared" si="6"/>
        <v>0</v>
      </c>
      <c r="F14" s="627">
        <f t="shared" si="6"/>
        <v>0</v>
      </c>
      <c r="G14" s="627">
        <f t="shared" si="6"/>
        <v>0</v>
      </c>
      <c r="H14" s="627">
        <f t="shared" si="6"/>
        <v>0</v>
      </c>
      <c r="I14" s="627">
        <f t="shared" si="6"/>
        <v>0</v>
      </c>
      <c r="J14" s="692"/>
      <c r="K14" s="1120"/>
      <c r="L14" s="1120"/>
      <c r="M14" s="1120"/>
      <c r="N14" s="1120"/>
      <c r="O14" s="1120"/>
      <c r="P14" s="1120"/>
      <c r="Q14" s="260"/>
      <c r="R14" s="260"/>
      <c r="S14" s="260"/>
      <c r="T14" s="260"/>
      <c r="U14" s="260"/>
      <c r="V14" s="260"/>
      <c r="W14" s="260"/>
      <c r="X14" s="260"/>
      <c r="Y14" s="260"/>
      <c r="AI14" s="396"/>
      <c r="AJ14" s="396"/>
      <c r="AK14" s="396"/>
      <c r="AL14" s="396"/>
      <c r="AM14" s="396"/>
    </row>
    <row r="15" spans="1:39" x14ac:dyDescent="0.25">
      <c r="B15" s="1130" t="s">
        <v>1245</v>
      </c>
      <c r="C15" s="1105"/>
      <c r="D15" s="628">
        <f t="shared" ref="D15:I15" si="7">D119</f>
        <v>0</v>
      </c>
      <c r="E15" s="1113">
        <f t="shared" si="7"/>
        <v>0</v>
      </c>
      <c r="F15" s="1113">
        <f t="shared" si="7"/>
        <v>0</v>
      </c>
      <c r="G15" s="1113">
        <f t="shared" si="7"/>
        <v>0</v>
      </c>
      <c r="H15" s="1113">
        <f t="shared" si="7"/>
        <v>0</v>
      </c>
      <c r="I15" s="1113">
        <f t="shared" si="7"/>
        <v>0</v>
      </c>
      <c r="J15" s="1103"/>
      <c r="K15" s="1120"/>
      <c r="L15" s="1120"/>
      <c r="M15" s="1120"/>
      <c r="N15" s="1120"/>
      <c r="O15" s="1120"/>
      <c r="P15" s="1120"/>
      <c r="Q15" s="692"/>
    </row>
    <row r="16" spans="1:39" x14ac:dyDescent="0.25">
      <c r="B16" s="1104" t="s">
        <v>1246</v>
      </c>
      <c r="C16" s="1131"/>
      <c r="D16" s="628">
        <f t="shared" ref="D16:I16" si="8">D132</f>
        <v>0</v>
      </c>
      <c r="E16" s="1113">
        <f t="shared" si="8"/>
        <v>0</v>
      </c>
      <c r="F16" s="1113">
        <f t="shared" si="8"/>
        <v>0</v>
      </c>
      <c r="G16" s="1113">
        <f t="shared" si="8"/>
        <v>0</v>
      </c>
      <c r="H16" s="1113">
        <f t="shared" si="8"/>
        <v>0</v>
      </c>
      <c r="I16" s="1113">
        <f t="shared" si="8"/>
        <v>0</v>
      </c>
      <c r="J16" s="1103"/>
      <c r="K16" s="1120"/>
      <c r="L16" s="1120"/>
      <c r="M16" s="1120"/>
      <c r="N16" s="1120"/>
      <c r="O16" s="1120"/>
      <c r="P16" s="1120"/>
      <c r="Q16" s="692"/>
    </row>
    <row r="17" spans="1:39" x14ac:dyDescent="0.25">
      <c r="B17" s="1104" t="s">
        <v>1266</v>
      </c>
      <c r="C17" s="1131"/>
      <c r="D17" s="628">
        <f t="shared" ref="D17:I17" si="9">D145</f>
        <v>0</v>
      </c>
      <c r="E17" s="1113">
        <f t="shared" si="9"/>
        <v>0</v>
      </c>
      <c r="F17" s="1113">
        <f t="shared" si="9"/>
        <v>0</v>
      </c>
      <c r="G17" s="1113">
        <f t="shared" si="9"/>
        <v>0</v>
      </c>
      <c r="H17" s="1113">
        <f t="shared" si="9"/>
        <v>0</v>
      </c>
      <c r="I17" s="1113">
        <f t="shared" si="9"/>
        <v>0</v>
      </c>
      <c r="J17" s="1103"/>
      <c r="K17" s="1120"/>
      <c r="L17" s="1120"/>
      <c r="M17" s="1120"/>
      <c r="N17" s="1120"/>
      <c r="O17" s="1120"/>
      <c r="P17" s="1120"/>
      <c r="Q17" s="692"/>
    </row>
    <row r="18" spans="1:39" x14ac:dyDescent="0.25">
      <c r="B18" s="1104" t="s">
        <v>1265</v>
      </c>
      <c r="C18" s="1131"/>
      <c r="D18" s="628">
        <f t="shared" ref="D18:I18" si="10">D158</f>
        <v>0</v>
      </c>
      <c r="E18" s="1113">
        <f t="shared" si="10"/>
        <v>0</v>
      </c>
      <c r="F18" s="1113">
        <f t="shared" si="10"/>
        <v>0</v>
      </c>
      <c r="G18" s="1113">
        <f t="shared" si="10"/>
        <v>0</v>
      </c>
      <c r="H18" s="1113">
        <f t="shared" si="10"/>
        <v>0</v>
      </c>
      <c r="I18" s="1113">
        <f t="shared" si="10"/>
        <v>0</v>
      </c>
      <c r="J18" s="1103"/>
      <c r="K18" s="1120"/>
      <c r="L18" s="1120"/>
      <c r="M18" s="1120"/>
      <c r="N18" s="1120"/>
      <c r="O18" s="1120"/>
      <c r="P18" s="1120"/>
      <c r="Q18" s="692"/>
    </row>
    <row r="19" spans="1:39" x14ac:dyDescent="0.25">
      <c r="A19" s="692"/>
      <c r="B19" s="1104" t="s">
        <v>1267</v>
      </c>
      <c r="C19" s="1102"/>
      <c r="D19" s="628">
        <f t="shared" ref="D19:I19" si="11">D171</f>
        <v>0</v>
      </c>
      <c r="E19" s="1132">
        <f t="shared" si="11"/>
        <v>0</v>
      </c>
      <c r="F19" s="1132">
        <f t="shared" si="11"/>
        <v>0</v>
      </c>
      <c r="G19" s="1132">
        <f t="shared" si="11"/>
        <v>0</v>
      </c>
      <c r="H19" s="1132">
        <f t="shared" si="11"/>
        <v>0</v>
      </c>
      <c r="I19" s="1132">
        <f t="shared" si="11"/>
        <v>0</v>
      </c>
      <c r="K19" s="1120"/>
      <c r="L19" s="1120"/>
      <c r="M19" s="1120"/>
      <c r="N19" s="1120"/>
      <c r="O19" s="1120"/>
      <c r="P19" s="1120"/>
      <c r="Q19" s="260"/>
      <c r="R19" s="260"/>
      <c r="S19" s="260"/>
      <c r="T19" s="260"/>
      <c r="U19" s="260"/>
      <c r="V19" s="260"/>
      <c r="W19" s="260"/>
      <c r="X19" s="260"/>
      <c r="Y19" s="260"/>
      <c r="AI19" s="396"/>
      <c r="AJ19" s="396"/>
      <c r="AK19" s="396"/>
      <c r="AL19" s="396"/>
      <c r="AM19" s="396"/>
    </row>
    <row r="20" spans="1:39" x14ac:dyDescent="0.25">
      <c r="A20" s="692"/>
      <c r="B20" s="1133" t="s">
        <v>85</v>
      </c>
      <c r="C20" s="660"/>
      <c r="D20" s="634">
        <f t="shared" ref="D20:I20" si="12">D185</f>
        <v>0</v>
      </c>
      <c r="E20" s="634">
        <f t="shared" si="12"/>
        <v>0</v>
      </c>
      <c r="F20" s="634">
        <f t="shared" si="12"/>
        <v>0</v>
      </c>
      <c r="G20" s="634">
        <f t="shared" si="12"/>
        <v>0</v>
      </c>
      <c r="H20" s="634">
        <f t="shared" si="12"/>
        <v>0</v>
      </c>
      <c r="I20" s="634">
        <f t="shared" si="12"/>
        <v>0</v>
      </c>
      <c r="K20" s="406">
        <f t="shared" ref="K20:P20" si="13">K185</f>
        <v>0</v>
      </c>
      <c r="L20" s="406">
        <f t="shared" si="13"/>
        <v>0</v>
      </c>
      <c r="M20" s="406">
        <f t="shared" si="13"/>
        <v>0</v>
      </c>
      <c r="N20" s="406">
        <f t="shared" si="13"/>
        <v>0</v>
      </c>
      <c r="O20" s="406">
        <f t="shared" si="13"/>
        <v>0</v>
      </c>
      <c r="P20" s="406">
        <f t="shared" si="13"/>
        <v>0</v>
      </c>
      <c r="Q20" s="260"/>
      <c r="R20" s="260"/>
      <c r="S20" s="260"/>
      <c r="T20" s="260"/>
      <c r="U20" s="260"/>
      <c r="V20" s="260"/>
      <c r="W20" s="260"/>
      <c r="X20" s="260"/>
      <c r="Y20" s="260"/>
      <c r="AI20" s="396"/>
      <c r="AJ20" s="396"/>
      <c r="AK20" s="396"/>
      <c r="AL20" s="396"/>
      <c r="AM20" s="396"/>
    </row>
    <row r="21" spans="1:39" x14ac:dyDescent="0.25">
      <c r="A21" s="692"/>
      <c r="B21" s="1134" t="s">
        <v>1205</v>
      </c>
      <c r="C21" s="661"/>
      <c r="D21" s="635">
        <f t="shared" ref="D21:I21" si="14">D208</f>
        <v>0</v>
      </c>
      <c r="E21" s="635">
        <f t="shared" si="14"/>
        <v>0</v>
      </c>
      <c r="F21" s="635">
        <f t="shared" si="14"/>
        <v>0</v>
      </c>
      <c r="G21" s="635">
        <f t="shared" si="14"/>
        <v>0</v>
      </c>
      <c r="H21" s="635">
        <f t="shared" si="14"/>
        <v>0</v>
      </c>
      <c r="I21" s="635">
        <f t="shared" si="14"/>
        <v>0</v>
      </c>
      <c r="K21" s="406">
        <f t="shared" ref="K21:P21" si="15">K208</f>
        <v>0</v>
      </c>
      <c r="L21" s="406">
        <f t="shared" si="15"/>
        <v>0</v>
      </c>
      <c r="M21" s="406">
        <f t="shared" si="15"/>
        <v>0</v>
      </c>
      <c r="N21" s="406">
        <f t="shared" si="15"/>
        <v>0</v>
      </c>
      <c r="O21" s="406">
        <f t="shared" si="15"/>
        <v>0</v>
      </c>
      <c r="P21" s="406">
        <f t="shared" si="15"/>
        <v>0</v>
      </c>
      <c r="Q21" s="260"/>
      <c r="R21" s="260"/>
      <c r="S21" s="260"/>
      <c r="T21" s="260"/>
      <c r="U21" s="260"/>
      <c r="V21" s="260"/>
      <c r="W21" s="260"/>
      <c r="X21" s="260"/>
      <c r="Y21" s="260"/>
      <c r="AI21" s="396"/>
      <c r="AJ21" s="396"/>
      <c r="AK21" s="396"/>
      <c r="AL21" s="396"/>
      <c r="AM21" s="396"/>
    </row>
    <row r="22" spans="1:39" x14ac:dyDescent="0.25">
      <c r="A22" s="692"/>
      <c r="B22" s="1134" t="s">
        <v>1200</v>
      </c>
      <c r="C22" s="661"/>
      <c r="D22" s="635">
        <f t="shared" ref="D22:I22" si="16">D221</f>
        <v>0</v>
      </c>
      <c r="E22" s="635">
        <f t="shared" si="16"/>
        <v>0</v>
      </c>
      <c r="F22" s="635">
        <f t="shared" si="16"/>
        <v>0</v>
      </c>
      <c r="G22" s="635">
        <f t="shared" si="16"/>
        <v>0</v>
      </c>
      <c r="H22" s="635">
        <f t="shared" si="16"/>
        <v>0</v>
      </c>
      <c r="I22" s="635">
        <f t="shared" si="16"/>
        <v>0</v>
      </c>
      <c r="K22" s="406">
        <f t="shared" ref="K22:P22" si="17">K221</f>
        <v>0</v>
      </c>
      <c r="L22" s="406">
        <f t="shared" si="17"/>
        <v>0</v>
      </c>
      <c r="M22" s="406">
        <f t="shared" si="17"/>
        <v>0</v>
      </c>
      <c r="N22" s="406">
        <f t="shared" si="17"/>
        <v>0</v>
      </c>
      <c r="O22" s="406">
        <f t="shared" si="17"/>
        <v>0</v>
      </c>
      <c r="P22" s="406">
        <f t="shared" si="17"/>
        <v>0</v>
      </c>
      <c r="Q22" s="260"/>
      <c r="R22" s="260"/>
      <c r="S22" s="260"/>
      <c r="T22" s="260"/>
      <c r="U22" s="260"/>
      <c r="V22" s="260"/>
      <c r="W22" s="260"/>
      <c r="X22" s="260"/>
      <c r="Y22" s="260"/>
      <c r="AI22" s="396"/>
      <c r="AJ22" s="396"/>
      <c r="AK22" s="396"/>
      <c r="AL22" s="396"/>
      <c r="AM22" s="396"/>
    </row>
    <row r="23" spans="1:39" x14ac:dyDescent="0.25">
      <c r="A23" s="692"/>
      <c r="B23" s="1126" t="s">
        <v>1207</v>
      </c>
      <c r="C23" s="661"/>
      <c r="D23" s="635">
        <f t="shared" ref="D23:I23" si="18">D234</f>
        <v>0</v>
      </c>
      <c r="E23" s="635">
        <f t="shared" si="18"/>
        <v>0</v>
      </c>
      <c r="F23" s="635">
        <f t="shared" si="18"/>
        <v>0</v>
      </c>
      <c r="G23" s="635">
        <f t="shared" si="18"/>
        <v>0</v>
      </c>
      <c r="H23" s="635">
        <f t="shared" si="18"/>
        <v>0</v>
      </c>
      <c r="I23" s="635">
        <f t="shared" si="18"/>
        <v>0</v>
      </c>
      <c r="K23" s="406">
        <f t="shared" ref="K23:P23" si="19">K234</f>
        <v>0</v>
      </c>
      <c r="L23" s="406">
        <f t="shared" si="19"/>
        <v>0</v>
      </c>
      <c r="M23" s="406">
        <f t="shared" si="19"/>
        <v>0</v>
      </c>
      <c r="N23" s="406">
        <f t="shared" si="19"/>
        <v>0</v>
      </c>
      <c r="O23" s="406">
        <f t="shared" si="19"/>
        <v>0</v>
      </c>
      <c r="P23" s="406">
        <f t="shared" si="19"/>
        <v>0</v>
      </c>
      <c r="Q23" s="260"/>
      <c r="R23" s="260"/>
      <c r="S23" s="260"/>
      <c r="T23" s="260"/>
      <c r="U23" s="260"/>
      <c r="V23" s="260"/>
      <c r="W23" s="260"/>
      <c r="X23" s="260"/>
      <c r="Y23" s="260"/>
      <c r="AI23" s="396"/>
      <c r="AJ23" s="396"/>
      <c r="AK23" s="396"/>
      <c r="AL23" s="396"/>
      <c r="AM23" s="396"/>
    </row>
    <row r="24" spans="1:39" x14ac:dyDescent="0.25">
      <c r="B24" s="368"/>
      <c r="D24" s="396"/>
      <c r="F24" s="260"/>
      <c r="G24" s="260"/>
      <c r="H24" s="260"/>
      <c r="I24" s="260"/>
      <c r="J24" s="260"/>
      <c r="K24" s="407">
        <f t="shared" ref="K24:P24" si="20">SUM(K10:K23)</f>
        <v>0</v>
      </c>
      <c r="L24" s="407">
        <f t="shared" si="20"/>
        <v>0</v>
      </c>
      <c r="M24" s="407">
        <f t="shared" si="20"/>
        <v>0</v>
      </c>
      <c r="N24" s="407">
        <f t="shared" si="20"/>
        <v>0</v>
      </c>
      <c r="O24" s="407">
        <f t="shared" si="20"/>
        <v>0</v>
      </c>
      <c r="P24" s="407">
        <f t="shared" si="20"/>
        <v>0</v>
      </c>
      <c r="Q24" s="260"/>
      <c r="R24" s="260"/>
      <c r="S24" s="260"/>
      <c r="T24" s="260"/>
      <c r="U24" s="260"/>
      <c r="V24" s="260"/>
      <c r="W24" s="260"/>
      <c r="X24" s="260"/>
      <c r="Y24" s="260"/>
    </row>
    <row r="25" spans="1:39" x14ac:dyDescent="0.25">
      <c r="B25" s="368"/>
      <c r="D25" s="396"/>
      <c r="F25" s="260"/>
      <c r="G25" s="260"/>
      <c r="H25" s="260"/>
      <c r="I25" s="260"/>
      <c r="J25" s="260"/>
      <c r="K25" s="1122"/>
      <c r="L25" s="1122"/>
      <c r="M25" s="1122"/>
      <c r="N25" s="1122"/>
      <c r="O25" s="1122"/>
      <c r="P25" s="1122"/>
      <c r="Q25" s="260"/>
      <c r="R25" s="260"/>
      <c r="S25" s="260"/>
      <c r="T25" s="260"/>
      <c r="U25" s="260"/>
      <c r="V25" s="260"/>
      <c r="W25" s="260"/>
      <c r="X25" s="260"/>
      <c r="Y25" s="260"/>
    </row>
    <row r="26" spans="1:39" x14ac:dyDescent="0.25">
      <c r="B26" s="538" t="s">
        <v>800</v>
      </c>
      <c r="C26" s="539"/>
      <c r="D26" s="539"/>
      <c r="E26" s="540"/>
      <c r="F26" s="539"/>
      <c r="G26" s="541"/>
      <c r="H26" s="542"/>
      <c r="I26" s="542"/>
      <c r="J26" s="542"/>
      <c r="K26" s="542"/>
      <c r="L26" s="542"/>
      <c r="M26" s="542"/>
      <c r="N26" s="542"/>
      <c r="O26" s="542"/>
      <c r="P26" s="1138"/>
      <c r="Q26" s="260"/>
      <c r="R26" s="260"/>
      <c r="S26" s="260"/>
      <c r="T26" s="260"/>
      <c r="U26" s="260"/>
      <c r="V26" s="260"/>
      <c r="W26" s="260"/>
      <c r="X26" s="260"/>
      <c r="Y26" s="260"/>
      <c r="AI26" s="396"/>
      <c r="AJ26" s="396"/>
      <c r="AK26" s="396"/>
      <c r="AL26" s="396"/>
      <c r="AM26" s="396"/>
    </row>
    <row r="27" spans="1:39" x14ac:dyDescent="0.25">
      <c r="A27" s="412"/>
      <c r="B27" s="443"/>
      <c r="C27" s="417"/>
      <c r="D27" s="418"/>
      <c r="E27" s="419"/>
      <c r="F27" s="412"/>
      <c r="G27" s="412"/>
      <c r="H27" s="332"/>
      <c r="I27" s="332"/>
      <c r="J27" s="332"/>
      <c r="K27" s="332"/>
      <c r="L27" s="332"/>
      <c r="M27" s="332"/>
      <c r="N27" s="332"/>
      <c r="O27" s="332"/>
      <c r="P27" s="332"/>
      <c r="Q27" s="260"/>
      <c r="R27" s="260"/>
      <c r="S27" s="260"/>
      <c r="T27" s="260"/>
      <c r="U27" s="260"/>
      <c r="V27" s="260"/>
      <c r="W27" s="260"/>
      <c r="X27" s="260"/>
      <c r="Y27" s="260"/>
      <c r="AI27" s="396"/>
      <c r="AJ27" s="396"/>
      <c r="AK27" s="396"/>
      <c r="AL27" s="396"/>
      <c r="AM27" s="396"/>
    </row>
    <row r="28" spans="1:39" x14ac:dyDescent="0.25">
      <c r="A28" s="412"/>
      <c r="B28" s="442" t="s">
        <v>801</v>
      </c>
      <c r="C28" s="413"/>
      <c r="D28" s="413"/>
      <c r="E28" s="414"/>
      <c r="F28" s="415"/>
      <c r="G28" s="416"/>
      <c r="H28" s="416"/>
      <c r="I28" s="644"/>
      <c r="J28" s="645"/>
      <c r="K28" s="412"/>
      <c r="L28" s="412"/>
      <c r="M28" s="412"/>
      <c r="N28" s="412"/>
      <c r="O28" s="412"/>
      <c r="P28" s="412"/>
      <c r="Q28" s="260"/>
      <c r="R28" s="260"/>
      <c r="U28" s="260"/>
    </row>
    <row r="29" spans="1:39" x14ac:dyDescent="0.25">
      <c r="A29" s="420"/>
      <c r="B29" s="555" t="s">
        <v>161</v>
      </c>
      <c r="C29" s="556"/>
      <c r="D29" s="556"/>
      <c r="E29" s="556"/>
      <c r="F29" s="556"/>
      <c r="G29" s="556"/>
      <c r="H29" s="556"/>
      <c r="I29" s="331"/>
      <c r="J29" s="332"/>
      <c r="K29" s="332"/>
      <c r="L29" s="332"/>
      <c r="M29" s="332"/>
      <c r="N29" s="332"/>
      <c r="O29" s="332"/>
      <c r="P29" s="332"/>
      <c r="Q29" s="260"/>
      <c r="R29" s="260"/>
      <c r="S29" s="260"/>
      <c r="T29" s="260"/>
      <c r="U29" s="260"/>
      <c r="V29" s="260"/>
      <c r="W29" s="260"/>
      <c r="X29" s="260"/>
      <c r="Y29" s="260"/>
      <c r="AI29" s="396"/>
      <c r="AJ29" s="396"/>
      <c r="AK29" s="396"/>
      <c r="AL29" s="396"/>
      <c r="AM29" s="396"/>
    </row>
    <row r="30" spans="1:39" ht="45" x14ac:dyDescent="0.25">
      <c r="A30" s="420"/>
      <c r="B30" s="441" t="s">
        <v>111</v>
      </c>
      <c r="C30" s="291" t="s">
        <v>802</v>
      </c>
      <c r="D30" s="629" t="s">
        <v>792</v>
      </c>
      <c r="E30" s="376" t="s">
        <v>56</v>
      </c>
      <c r="F30" s="376" t="s">
        <v>57</v>
      </c>
      <c r="G30" s="290" t="s">
        <v>793</v>
      </c>
      <c r="H30" s="290" t="s">
        <v>794</v>
      </c>
      <c r="I30" s="376" t="s">
        <v>795</v>
      </c>
      <c r="J30" s="639"/>
      <c r="K30" s="629" t="s">
        <v>1248</v>
      </c>
      <c r="L30" s="1114" t="s">
        <v>1249</v>
      </c>
      <c r="M30" s="1114" t="s">
        <v>1250</v>
      </c>
      <c r="N30" s="631" t="s">
        <v>1251</v>
      </c>
      <c r="O30" s="631" t="s">
        <v>1252</v>
      </c>
      <c r="P30" s="1114" t="s">
        <v>1253</v>
      </c>
      <c r="Q30" s="872"/>
      <c r="R30" s="260"/>
      <c r="S30" s="260"/>
      <c r="T30" s="260"/>
      <c r="U30" s="260"/>
      <c r="V30" s="260"/>
      <c r="W30" s="260"/>
      <c r="X30" s="260"/>
      <c r="Y30" s="260"/>
      <c r="AI30" s="396"/>
      <c r="AJ30" s="396"/>
      <c r="AK30" s="396"/>
      <c r="AL30" s="396"/>
      <c r="AM30" s="396"/>
    </row>
    <row r="31" spans="1:39" x14ac:dyDescent="0.25">
      <c r="A31" s="420"/>
      <c r="B31" s="496" t="s">
        <v>1135</v>
      </c>
      <c r="C31" s="578">
        <f>'Inputs and eligible population'!F114</f>
        <v>1</v>
      </c>
      <c r="D31" s="131">
        <f>$C31*'Financial impact (cash)'!D30</f>
        <v>0</v>
      </c>
      <c r="E31" s="131">
        <f>$C31*'Financial impact (cash)'!E30</f>
        <v>0</v>
      </c>
      <c r="F31" s="131">
        <f>$C31*'Financial impact (cash)'!F30</f>
        <v>0</v>
      </c>
      <c r="G31" s="131">
        <f>$C31*'Financial impact (cash)'!G30</f>
        <v>0</v>
      </c>
      <c r="H31" s="131">
        <f>$C31*'Financial impact (cash)'!H30</f>
        <v>0</v>
      </c>
      <c r="I31" s="131">
        <f>$C31*'Financial impact (cash)'!I30</f>
        <v>0</v>
      </c>
      <c r="J31" s="639"/>
      <c r="K31" s="406">
        <f>(D31*'Unit costs'!$D$120)/1000</f>
        <v>0</v>
      </c>
      <c r="L31" s="406">
        <f>(E31*'Unit costs'!$D$120)/1000</f>
        <v>0</v>
      </c>
      <c r="M31" s="406">
        <f>(F31*'Unit costs'!$D$120)/1000</f>
        <v>0</v>
      </c>
      <c r="N31" s="406">
        <f>(G31*'Unit costs'!$D$120)/1000</f>
        <v>0</v>
      </c>
      <c r="O31" s="406">
        <f>(H31*'Unit costs'!$D$120)/1000</f>
        <v>0</v>
      </c>
      <c r="P31" s="406">
        <f>(I31*'Unit costs'!$D$120)/1000</f>
        <v>0</v>
      </c>
      <c r="Q31" s="692"/>
      <c r="R31" s="260"/>
      <c r="S31" s="260"/>
      <c r="T31" s="260"/>
      <c r="U31" s="260"/>
      <c r="V31" s="260"/>
      <c r="W31" s="260"/>
      <c r="X31" s="260"/>
      <c r="Y31" s="260"/>
      <c r="AI31" s="396"/>
      <c r="AJ31" s="396"/>
      <c r="AK31" s="396"/>
      <c r="AL31" s="396"/>
      <c r="AM31" s="396"/>
    </row>
    <row r="32" spans="1:39" x14ac:dyDescent="0.25">
      <c r="A32" s="420"/>
      <c r="B32" s="496" t="s">
        <v>1136</v>
      </c>
      <c r="C32" s="578">
        <f>'Inputs and eligible population'!G114</f>
        <v>1</v>
      </c>
      <c r="D32" s="131">
        <f>$C32*'Financial impact (cash)'!D31</f>
        <v>0</v>
      </c>
      <c r="E32" s="131">
        <f>$C32*'Financial impact (cash)'!E31</f>
        <v>0</v>
      </c>
      <c r="F32" s="131">
        <f>$C32*'Financial impact (cash)'!F31</f>
        <v>0</v>
      </c>
      <c r="G32" s="131">
        <f>$C32*'Financial impact (cash)'!G31</f>
        <v>0</v>
      </c>
      <c r="H32" s="131">
        <f>$C32*'Financial impact (cash)'!H31</f>
        <v>0</v>
      </c>
      <c r="I32" s="131">
        <f>$C32*'Financial impact (cash)'!I31</f>
        <v>0</v>
      </c>
      <c r="J32" s="639"/>
      <c r="K32" s="406">
        <f>(D32*'Unit costs'!$D$120)/1000</f>
        <v>0</v>
      </c>
      <c r="L32" s="406">
        <f>(E32*'Unit costs'!$D$120)/1000</f>
        <v>0</v>
      </c>
      <c r="M32" s="406">
        <f>(F32*'Unit costs'!$D$120)/1000</f>
        <v>0</v>
      </c>
      <c r="N32" s="406">
        <f>(G32*'Unit costs'!$D$120)/1000</f>
        <v>0</v>
      </c>
      <c r="O32" s="406">
        <f>(H32*'Unit costs'!$D$120)/1000</f>
        <v>0</v>
      </c>
      <c r="P32" s="406">
        <f>(I32*'Unit costs'!$D$120)/1000</f>
        <v>0</v>
      </c>
      <c r="Q32" s="692"/>
      <c r="R32" s="260"/>
      <c r="S32" s="260"/>
      <c r="T32" s="260"/>
      <c r="U32" s="260"/>
      <c r="V32" s="260"/>
      <c r="W32" s="260"/>
      <c r="X32" s="260"/>
      <c r="Y32" s="260"/>
      <c r="AI32" s="396"/>
      <c r="AJ32" s="396"/>
      <c r="AK32" s="396"/>
      <c r="AL32" s="396"/>
      <c r="AM32" s="396"/>
    </row>
    <row r="33" spans="1:39" x14ac:dyDescent="0.25">
      <c r="A33" s="420"/>
      <c r="B33" s="496" t="s">
        <v>1137</v>
      </c>
      <c r="C33" s="578">
        <f>'Inputs and eligible population'!H114</f>
        <v>1</v>
      </c>
      <c r="D33" s="131">
        <f>$C33*'Financial impact (cash)'!D32</f>
        <v>0</v>
      </c>
      <c r="E33" s="131">
        <f>$C33*'Financial impact (cash)'!E32</f>
        <v>0</v>
      </c>
      <c r="F33" s="131">
        <f>$C33*'Financial impact (cash)'!F32</f>
        <v>0</v>
      </c>
      <c r="G33" s="131">
        <f>$C33*'Financial impact (cash)'!G32</f>
        <v>0</v>
      </c>
      <c r="H33" s="131">
        <f>$C33*'Financial impact (cash)'!H32</f>
        <v>0</v>
      </c>
      <c r="I33" s="131">
        <f>$C33*'Financial impact (cash)'!I32</f>
        <v>0</v>
      </c>
      <c r="J33" s="639"/>
      <c r="K33" s="406">
        <f>(D33*'Unit costs'!$D$120)/1000</f>
        <v>0</v>
      </c>
      <c r="L33" s="406">
        <f>(E33*'Unit costs'!$D$120)/1000</f>
        <v>0</v>
      </c>
      <c r="M33" s="406">
        <f>(F33*'Unit costs'!$D$120)/1000</f>
        <v>0</v>
      </c>
      <c r="N33" s="406">
        <f>(G33*'Unit costs'!$D$120)/1000</f>
        <v>0</v>
      </c>
      <c r="O33" s="406">
        <f>(H33*'Unit costs'!$D$120)/1000</f>
        <v>0</v>
      </c>
      <c r="P33" s="406">
        <f>(I33*'Unit costs'!$D$120)/1000</f>
        <v>0</v>
      </c>
      <c r="Q33" s="692"/>
      <c r="R33" s="260"/>
      <c r="S33" s="260"/>
      <c r="T33" s="260"/>
      <c r="U33" s="260"/>
      <c r="V33" s="260"/>
      <c r="W33" s="260"/>
      <c r="X33" s="260"/>
      <c r="Y33" s="260"/>
      <c r="AI33" s="396"/>
      <c r="AJ33" s="396"/>
      <c r="AK33" s="396"/>
      <c r="AL33" s="396"/>
      <c r="AM33" s="396"/>
    </row>
    <row r="34" spans="1:39" x14ac:dyDescent="0.25">
      <c r="A34" s="420"/>
      <c r="B34" s="496" t="s">
        <v>1138</v>
      </c>
      <c r="C34" s="578">
        <f>'Inputs and eligible population'!I114</f>
        <v>1</v>
      </c>
      <c r="D34" s="131">
        <f>$C34*'Financial impact (cash)'!D33</f>
        <v>0</v>
      </c>
      <c r="E34" s="131">
        <f>$C34*'Financial impact (cash)'!E33</f>
        <v>0</v>
      </c>
      <c r="F34" s="131">
        <f>$C34*'Financial impact (cash)'!F33</f>
        <v>0</v>
      </c>
      <c r="G34" s="131">
        <f>$C34*'Financial impact (cash)'!G33</f>
        <v>0</v>
      </c>
      <c r="H34" s="131">
        <f>$C34*'Financial impact (cash)'!H33</f>
        <v>0</v>
      </c>
      <c r="I34" s="131">
        <f>$C34*'Financial impact (cash)'!I33</f>
        <v>0</v>
      </c>
      <c r="J34" s="639"/>
      <c r="K34" s="406">
        <f>(D34*'Unit costs'!$D$120)/1000</f>
        <v>0</v>
      </c>
      <c r="L34" s="406">
        <f>(E34*'Unit costs'!$D$120)/1000</f>
        <v>0</v>
      </c>
      <c r="M34" s="406">
        <f>(F34*'Unit costs'!$D$120)/1000</f>
        <v>0</v>
      </c>
      <c r="N34" s="406">
        <f>(G34*'Unit costs'!$D$120)/1000</f>
        <v>0</v>
      </c>
      <c r="O34" s="406">
        <f>(H34*'Unit costs'!$D$120)/1000</f>
        <v>0</v>
      </c>
      <c r="P34" s="406">
        <f>(I34*'Unit costs'!$D$120)/1000</f>
        <v>0</v>
      </c>
      <c r="Q34" s="692"/>
      <c r="R34" s="260"/>
      <c r="S34" s="260"/>
      <c r="T34" s="260"/>
      <c r="U34" s="260"/>
      <c r="V34" s="260"/>
      <c r="W34" s="260"/>
      <c r="X34" s="260"/>
      <c r="Y34" s="260"/>
      <c r="AI34" s="396"/>
      <c r="AJ34" s="396"/>
      <c r="AK34" s="396"/>
      <c r="AL34" s="396"/>
      <c r="AM34" s="396"/>
    </row>
    <row r="35" spans="1:39" x14ac:dyDescent="0.25">
      <c r="A35" s="420"/>
      <c r="B35" s="496" t="s">
        <v>1139</v>
      </c>
      <c r="C35" s="578">
        <f>'Inputs and eligible population'!J114</f>
        <v>1</v>
      </c>
      <c r="D35" s="131">
        <f>$C35*'Financial impact (cash)'!D34</f>
        <v>0</v>
      </c>
      <c r="E35" s="131">
        <f>$C35*'Financial impact (cash)'!E34</f>
        <v>0</v>
      </c>
      <c r="F35" s="131">
        <f>$C35*'Financial impact (cash)'!F34</f>
        <v>0</v>
      </c>
      <c r="G35" s="131">
        <f>$C35*'Financial impact (cash)'!G34</f>
        <v>0</v>
      </c>
      <c r="H35" s="131">
        <f>$C35*'Financial impact (cash)'!H34</f>
        <v>0</v>
      </c>
      <c r="I35" s="131">
        <f>$C35*'Financial impact (cash)'!I34</f>
        <v>0</v>
      </c>
      <c r="J35" s="639"/>
      <c r="K35" s="406">
        <f>(D35*'Unit costs'!$D$120)/1000</f>
        <v>0</v>
      </c>
      <c r="L35" s="406">
        <f>(E35*'Unit costs'!$D$120)/1000</f>
        <v>0</v>
      </c>
      <c r="M35" s="406">
        <f>(F35*'Unit costs'!$D$120)/1000</f>
        <v>0</v>
      </c>
      <c r="N35" s="406">
        <f>(G35*'Unit costs'!$D$120)/1000</f>
        <v>0</v>
      </c>
      <c r="O35" s="406">
        <f>(H35*'Unit costs'!$D$120)/1000</f>
        <v>0</v>
      </c>
      <c r="P35" s="406">
        <f>(I35*'Unit costs'!$D$120)/1000</f>
        <v>0</v>
      </c>
      <c r="Q35" s="692"/>
      <c r="R35" s="260"/>
      <c r="S35" s="260"/>
      <c r="T35" s="260"/>
      <c r="U35" s="260"/>
      <c r="V35" s="260"/>
      <c r="W35" s="260"/>
      <c r="X35" s="260"/>
      <c r="Y35" s="260"/>
      <c r="AI35" s="396"/>
      <c r="AJ35" s="396"/>
      <c r="AK35" s="396"/>
      <c r="AL35" s="396"/>
      <c r="AM35" s="396"/>
    </row>
    <row r="36" spans="1:39" x14ac:dyDescent="0.25">
      <c r="A36" s="420"/>
      <c r="B36" s="496" t="s">
        <v>1140</v>
      </c>
      <c r="C36" s="578">
        <f>'Inputs and eligible population'!K114</f>
        <v>1</v>
      </c>
      <c r="D36" s="131">
        <f>$C36*'Financial impact (cash)'!D35</f>
        <v>0</v>
      </c>
      <c r="E36" s="131">
        <f>$C36*'Financial impact (cash)'!E35</f>
        <v>0</v>
      </c>
      <c r="F36" s="131">
        <f>$C36*'Financial impact (cash)'!F35</f>
        <v>0</v>
      </c>
      <c r="G36" s="131">
        <f>$C36*'Financial impact (cash)'!G35</f>
        <v>0</v>
      </c>
      <c r="H36" s="131">
        <f>$C36*'Financial impact (cash)'!H35</f>
        <v>0</v>
      </c>
      <c r="I36" s="131">
        <f>$C36*'Financial impact (cash)'!I35</f>
        <v>0</v>
      </c>
      <c r="J36" s="639"/>
      <c r="K36" s="406">
        <f>(D36*'Unit costs'!$D$120)/1000</f>
        <v>0</v>
      </c>
      <c r="L36" s="406">
        <f>(E36*'Unit costs'!$D$120)/1000</f>
        <v>0</v>
      </c>
      <c r="M36" s="406">
        <f>(F36*'Unit costs'!$D$120)/1000</f>
        <v>0</v>
      </c>
      <c r="N36" s="406">
        <f>(G36*'Unit costs'!$D$120)/1000</f>
        <v>0</v>
      </c>
      <c r="O36" s="406">
        <f>(H36*'Unit costs'!$D$120)/1000</f>
        <v>0</v>
      </c>
      <c r="P36" s="406">
        <f>(I36*'Unit costs'!$D$120)/1000</f>
        <v>0</v>
      </c>
      <c r="Q36" s="692"/>
      <c r="R36" s="260"/>
      <c r="S36" s="260"/>
      <c r="T36" s="260"/>
      <c r="U36" s="260"/>
      <c r="V36" s="260"/>
      <c r="W36" s="260"/>
      <c r="X36" s="260"/>
      <c r="Y36" s="260"/>
      <c r="AI36" s="396"/>
      <c r="AJ36" s="396"/>
      <c r="AK36" s="396"/>
      <c r="AL36" s="396"/>
      <c r="AM36" s="396"/>
    </row>
    <row r="37" spans="1:39" x14ac:dyDescent="0.25">
      <c r="A37" s="420"/>
      <c r="B37" s="496" t="s">
        <v>1141</v>
      </c>
      <c r="C37" s="578">
        <f>'Inputs and eligible population'!L114</f>
        <v>1</v>
      </c>
      <c r="D37" s="131">
        <f>$C37*'Financial impact (cash)'!D36</f>
        <v>0</v>
      </c>
      <c r="E37" s="131">
        <f>$C37*'Financial impact (cash)'!E36</f>
        <v>0</v>
      </c>
      <c r="F37" s="131">
        <f>$C37*'Financial impact (cash)'!F36</f>
        <v>0</v>
      </c>
      <c r="G37" s="131">
        <f>$C37*'Financial impact (cash)'!G36</f>
        <v>0</v>
      </c>
      <c r="H37" s="131">
        <f>$C37*'Financial impact (cash)'!H36</f>
        <v>0</v>
      </c>
      <c r="I37" s="131">
        <f>$C37*'Financial impact (cash)'!I36</f>
        <v>0</v>
      </c>
      <c r="J37" s="639"/>
      <c r="K37" s="406">
        <f>(D37*'Unit costs'!$D$120)/1000</f>
        <v>0</v>
      </c>
      <c r="L37" s="406">
        <f>(E37*'Unit costs'!$D$120)/1000</f>
        <v>0</v>
      </c>
      <c r="M37" s="406">
        <f>(F37*'Unit costs'!$D$120)/1000</f>
        <v>0</v>
      </c>
      <c r="N37" s="406">
        <f>(G37*'Unit costs'!$D$120)/1000</f>
        <v>0</v>
      </c>
      <c r="O37" s="406">
        <f>(H37*'Unit costs'!$D$120)/1000</f>
        <v>0</v>
      </c>
      <c r="P37" s="406">
        <f>(I37*'Unit costs'!$D$120)/1000</f>
        <v>0</v>
      </c>
      <c r="Q37" s="692"/>
      <c r="R37" s="260"/>
      <c r="S37" s="260"/>
      <c r="T37" s="260"/>
      <c r="U37" s="260"/>
      <c r="V37" s="260"/>
      <c r="W37" s="260"/>
      <c r="X37" s="260"/>
      <c r="Y37" s="260"/>
      <c r="AI37" s="396"/>
      <c r="AJ37" s="396"/>
      <c r="AK37" s="396"/>
      <c r="AL37" s="396"/>
      <c r="AM37" s="396"/>
    </row>
    <row r="38" spans="1:39" x14ac:dyDescent="0.25">
      <c r="A38" s="420"/>
      <c r="B38" s="496" t="s">
        <v>1142</v>
      </c>
      <c r="C38" s="1072">
        <f>'Inputs and eligible population'!M114</f>
        <v>1</v>
      </c>
      <c r="D38" s="131">
        <f>$C38*'Financial impact (cash)'!D37</f>
        <v>0</v>
      </c>
      <c r="E38" s="131">
        <f>$C38*'Financial impact (cash)'!E37</f>
        <v>0</v>
      </c>
      <c r="F38" s="131">
        <f>$C38*'Financial impact (cash)'!F37</f>
        <v>0</v>
      </c>
      <c r="G38" s="131">
        <f>$C38*'Financial impact (cash)'!G37</f>
        <v>0</v>
      </c>
      <c r="H38" s="131">
        <f>$C38*'Financial impact (cash)'!H37</f>
        <v>0</v>
      </c>
      <c r="I38" s="131">
        <f>$C38*'Financial impact (cash)'!I37</f>
        <v>0</v>
      </c>
      <c r="J38" s="639"/>
      <c r="K38" s="406">
        <f>(D38*'Unit costs'!$D$120)/1000</f>
        <v>0</v>
      </c>
      <c r="L38" s="406">
        <f>(E38*'Unit costs'!$D$120)/1000</f>
        <v>0</v>
      </c>
      <c r="M38" s="406">
        <f>(F38*'Unit costs'!$D$120)/1000</f>
        <v>0</v>
      </c>
      <c r="N38" s="406">
        <f>(G38*'Unit costs'!$D$120)/1000</f>
        <v>0</v>
      </c>
      <c r="O38" s="406">
        <f>(H38*'Unit costs'!$D$120)/1000</f>
        <v>0</v>
      </c>
      <c r="P38" s="406">
        <f>(I38*'Unit costs'!$D$120)/1000</f>
        <v>0</v>
      </c>
      <c r="Q38" s="692"/>
      <c r="R38" s="260"/>
      <c r="S38" s="260"/>
      <c r="T38" s="260"/>
      <c r="U38" s="260"/>
      <c r="V38" s="260"/>
      <c r="W38" s="260"/>
      <c r="X38" s="260"/>
      <c r="Y38" s="260"/>
      <c r="AI38" s="396"/>
      <c r="AJ38" s="396"/>
      <c r="AK38" s="396"/>
      <c r="AL38" s="396"/>
      <c r="AM38" s="396"/>
    </row>
    <row r="39" spans="1:39" x14ac:dyDescent="0.25">
      <c r="A39" s="420"/>
      <c r="B39" s="1110" t="s">
        <v>1255</v>
      </c>
      <c r="C39" s="1111"/>
      <c r="D39" s="309">
        <f t="shared" ref="D39:I39" si="21">SUM(D31:D38)</f>
        <v>0</v>
      </c>
      <c r="E39" s="309">
        <f t="shared" si="21"/>
        <v>0</v>
      </c>
      <c r="F39" s="309">
        <f t="shared" si="21"/>
        <v>0</v>
      </c>
      <c r="G39" s="309">
        <f t="shared" si="21"/>
        <v>0</v>
      </c>
      <c r="H39" s="309">
        <f t="shared" si="21"/>
        <v>0</v>
      </c>
      <c r="I39" s="309">
        <f t="shared" si="21"/>
        <v>0</v>
      </c>
      <c r="J39" s="639"/>
      <c r="K39" s="1112">
        <f t="shared" ref="K39:P39" si="22">SUM(K31:K38)</f>
        <v>0</v>
      </c>
      <c r="L39" s="1112">
        <f t="shared" si="22"/>
        <v>0</v>
      </c>
      <c r="M39" s="1112">
        <f t="shared" si="22"/>
        <v>0</v>
      </c>
      <c r="N39" s="1112">
        <f t="shared" si="22"/>
        <v>0</v>
      </c>
      <c r="O39" s="1112">
        <f t="shared" si="22"/>
        <v>0</v>
      </c>
      <c r="P39" s="1112">
        <f t="shared" si="22"/>
        <v>0</v>
      </c>
      <c r="Q39" s="692"/>
      <c r="R39" s="260"/>
      <c r="S39" s="260"/>
      <c r="T39" s="260"/>
      <c r="U39" s="260"/>
      <c r="V39" s="260"/>
      <c r="W39" s="260"/>
      <c r="X39" s="260"/>
      <c r="Y39" s="260"/>
      <c r="AI39" s="396"/>
      <c r="AJ39" s="396"/>
      <c r="AK39" s="396"/>
      <c r="AL39" s="396"/>
      <c r="AM39" s="396"/>
    </row>
    <row r="40" spans="1:39" x14ac:dyDescent="0.25">
      <c r="A40" s="420"/>
      <c r="B40" s="377"/>
      <c r="C40" s="377"/>
      <c r="D40" s="395" t="s">
        <v>803</v>
      </c>
      <c r="E40" s="313">
        <f>E39-$D$39</f>
        <v>0</v>
      </c>
      <c r="F40" s="313">
        <f>F39-$D$39</f>
        <v>0</v>
      </c>
      <c r="G40" s="313">
        <f>G39-$D$39</f>
        <v>0</v>
      </c>
      <c r="H40" s="313">
        <f>H39-$D$39</f>
        <v>0</v>
      </c>
      <c r="I40" s="313">
        <f>I39-$D$39</f>
        <v>0</v>
      </c>
      <c r="J40" s="639"/>
      <c r="K40" s="1228"/>
      <c r="L40" s="1112">
        <f>L39-$K$39</f>
        <v>0</v>
      </c>
      <c r="M40" s="1112">
        <f>M39-$K$39</f>
        <v>0</v>
      </c>
      <c r="N40" s="1112">
        <f>N39-$K$39</f>
        <v>0</v>
      </c>
      <c r="O40" s="1112">
        <f>O39-$K$39</f>
        <v>0</v>
      </c>
      <c r="P40" s="1112">
        <f>P39-$K$39</f>
        <v>0</v>
      </c>
      <c r="Q40" s="692"/>
      <c r="R40" s="260"/>
      <c r="S40" s="260"/>
      <c r="T40" s="260"/>
      <c r="U40" s="260"/>
      <c r="V40" s="260"/>
      <c r="W40" s="260"/>
      <c r="X40" s="260"/>
      <c r="Y40" s="260"/>
      <c r="AI40" s="396"/>
      <c r="AJ40" s="396"/>
      <c r="AK40" s="396"/>
      <c r="AL40" s="396"/>
      <c r="AM40" s="396"/>
    </row>
    <row r="41" spans="1:39" x14ac:dyDescent="0.25">
      <c r="A41" s="412"/>
      <c r="B41" s="443"/>
      <c r="C41" s="417"/>
      <c r="D41" s="418"/>
      <c r="E41" s="419"/>
      <c r="F41" s="412"/>
      <c r="G41" s="412"/>
      <c r="H41" s="412"/>
      <c r="I41" s="416"/>
      <c r="J41" s="332"/>
      <c r="K41" s="332"/>
      <c r="L41" s="332"/>
      <c r="M41" s="332"/>
      <c r="N41" s="332"/>
      <c r="O41" s="332"/>
      <c r="P41" s="332"/>
      <c r="Q41" s="692"/>
      <c r="R41" s="260"/>
      <c r="S41" s="260"/>
      <c r="T41" s="260"/>
      <c r="U41" s="260"/>
      <c r="V41" s="260"/>
      <c r="W41" s="260"/>
      <c r="X41" s="260"/>
      <c r="Y41" s="260"/>
      <c r="AI41" s="396"/>
      <c r="AJ41" s="396"/>
      <c r="AK41" s="396"/>
      <c r="AL41" s="396"/>
      <c r="AM41" s="396"/>
    </row>
    <row r="42" spans="1:39" x14ac:dyDescent="0.25">
      <c r="A42" s="412"/>
      <c r="B42" s="751" t="s">
        <v>162</v>
      </c>
      <c r="C42" s="556"/>
      <c r="D42" s="556"/>
      <c r="E42" s="556"/>
      <c r="F42" s="556"/>
      <c r="G42" s="556"/>
      <c r="H42" s="556"/>
      <c r="I42" s="331"/>
      <c r="J42" s="332"/>
      <c r="K42" s="332"/>
      <c r="L42" s="332"/>
      <c r="M42" s="332"/>
      <c r="N42" s="332"/>
      <c r="O42" s="332"/>
      <c r="P42" s="332"/>
      <c r="Q42" s="692"/>
      <c r="R42" s="260"/>
      <c r="S42" s="260"/>
      <c r="T42" s="260"/>
      <c r="U42" s="260"/>
      <c r="V42" s="260"/>
      <c r="W42" s="260"/>
      <c r="X42" s="260"/>
      <c r="Y42" s="260"/>
      <c r="AI42" s="396"/>
      <c r="AJ42" s="396"/>
      <c r="AK42" s="396"/>
      <c r="AL42" s="396"/>
      <c r="AM42" s="396"/>
    </row>
    <row r="43" spans="1:39" ht="45" x14ac:dyDescent="0.25">
      <c r="A43" s="412"/>
      <c r="B43" s="393" t="s">
        <v>111</v>
      </c>
      <c r="C43" s="291" t="s">
        <v>802</v>
      </c>
      <c r="D43" s="629" t="s">
        <v>792</v>
      </c>
      <c r="E43" s="376" t="s">
        <v>56</v>
      </c>
      <c r="F43" s="376" t="s">
        <v>57</v>
      </c>
      <c r="G43" s="290" t="s">
        <v>793</v>
      </c>
      <c r="H43" s="290" t="s">
        <v>794</v>
      </c>
      <c r="I43" s="376" t="s">
        <v>795</v>
      </c>
      <c r="J43" s="332"/>
      <c r="K43" s="629" t="s">
        <v>1248</v>
      </c>
      <c r="L43" s="1114" t="s">
        <v>1249</v>
      </c>
      <c r="M43" s="1114" t="s">
        <v>1250</v>
      </c>
      <c r="N43" s="631" t="s">
        <v>1251</v>
      </c>
      <c r="O43" s="631" t="s">
        <v>1252</v>
      </c>
      <c r="P43" s="1114" t="s">
        <v>1253</v>
      </c>
      <c r="Q43" s="692"/>
      <c r="R43" s="260"/>
      <c r="S43" s="260"/>
      <c r="T43" s="260"/>
      <c r="U43" s="260"/>
      <c r="V43" s="260"/>
      <c r="W43" s="260"/>
      <c r="X43" s="260"/>
      <c r="Y43" s="260"/>
      <c r="AI43" s="396"/>
      <c r="AJ43" s="396"/>
      <c r="AK43" s="396"/>
      <c r="AL43" s="396"/>
      <c r="AM43" s="396"/>
    </row>
    <row r="44" spans="1:39" x14ac:dyDescent="0.25">
      <c r="A44" s="412"/>
      <c r="B44" s="496" t="s">
        <v>1135</v>
      </c>
      <c r="C44" s="276">
        <f>'Inputs and eligible population'!F115</f>
        <v>5</v>
      </c>
      <c r="D44" s="131">
        <f>'Capacity (local prices) '!$C44*'Financial impact (cash)'!D30</f>
        <v>0</v>
      </c>
      <c r="E44" s="131">
        <f>'Capacity (local prices) '!$C44*'Financial impact (cash)'!E30</f>
        <v>0</v>
      </c>
      <c r="F44" s="131">
        <f>'Capacity (local prices) '!$C44*'Financial impact (cash)'!F30</f>
        <v>0</v>
      </c>
      <c r="G44" s="131">
        <f>'Capacity (local prices) '!$C44*'Financial impact (cash)'!G30</f>
        <v>0</v>
      </c>
      <c r="H44" s="131">
        <f>'Capacity (local prices) '!$C44*'Financial impact (cash)'!H30</f>
        <v>0</v>
      </c>
      <c r="I44" s="131">
        <f>'Capacity (local prices) '!$C44*'Financial impact (cash)'!I30</f>
        <v>0</v>
      </c>
      <c r="J44" s="332"/>
      <c r="K44" s="406">
        <f>(D44*'Unit costs'!$D$121)/1000</f>
        <v>0</v>
      </c>
      <c r="L44" s="406">
        <f>(E44*'Unit costs'!$D$121)/1000</f>
        <v>0</v>
      </c>
      <c r="M44" s="406">
        <f>(F44*'Unit costs'!$D$121)/1000</f>
        <v>0</v>
      </c>
      <c r="N44" s="406">
        <f>(G44*'Unit costs'!$D$121)/1000</f>
        <v>0</v>
      </c>
      <c r="O44" s="406">
        <f>(H44*'Unit costs'!$D$121)/1000</f>
        <v>0</v>
      </c>
      <c r="P44" s="406">
        <f>(I44*'Unit costs'!$D$121)/1000</f>
        <v>0</v>
      </c>
      <c r="Q44" s="692"/>
      <c r="R44" s="260"/>
      <c r="S44" s="260"/>
      <c r="T44" s="260"/>
      <c r="U44" s="260"/>
      <c r="V44" s="260"/>
      <c r="W44" s="260"/>
      <c r="X44" s="260"/>
      <c r="Y44" s="260"/>
      <c r="AI44" s="396"/>
      <c r="AJ44" s="396"/>
      <c r="AK44" s="396"/>
      <c r="AL44" s="396"/>
      <c r="AM44" s="396"/>
    </row>
    <row r="45" spans="1:39" x14ac:dyDescent="0.25">
      <c r="A45" s="412"/>
      <c r="B45" s="496" t="s">
        <v>1136</v>
      </c>
      <c r="C45" s="276">
        <f>'Inputs and eligible population'!G115</f>
        <v>3</v>
      </c>
      <c r="D45" s="131">
        <f>'Capacity (local prices) '!$C45*'Financial impact (cash)'!D31</f>
        <v>0</v>
      </c>
      <c r="E45" s="131">
        <f>'Capacity (local prices) '!$C45*'Financial impact (cash)'!E31</f>
        <v>0</v>
      </c>
      <c r="F45" s="131">
        <f>'Capacity (local prices) '!$C45*'Financial impact (cash)'!F31</f>
        <v>0</v>
      </c>
      <c r="G45" s="131">
        <f>'Capacity (local prices) '!$C45*'Financial impact (cash)'!G31</f>
        <v>0</v>
      </c>
      <c r="H45" s="131">
        <f>'Capacity (local prices) '!$C45*'Financial impact (cash)'!H31</f>
        <v>0</v>
      </c>
      <c r="I45" s="131">
        <f>'Capacity (local prices) '!$C45*'Financial impact (cash)'!I31</f>
        <v>0</v>
      </c>
      <c r="J45" s="332"/>
      <c r="K45" s="406">
        <f>(D45*'Unit costs'!$D$121)/1000</f>
        <v>0</v>
      </c>
      <c r="L45" s="406">
        <f>(E45*'Unit costs'!$D$121)/1000</f>
        <v>0</v>
      </c>
      <c r="M45" s="406">
        <f>(F45*'Unit costs'!$D$121)/1000</f>
        <v>0</v>
      </c>
      <c r="N45" s="406">
        <f>(G45*'Unit costs'!$D$121)/1000</f>
        <v>0</v>
      </c>
      <c r="O45" s="406">
        <f>(H45*'Unit costs'!$D$121)/1000</f>
        <v>0</v>
      </c>
      <c r="P45" s="406">
        <f>(I45*'Unit costs'!$D$121)/1000</f>
        <v>0</v>
      </c>
      <c r="Q45" s="692"/>
      <c r="R45" s="260"/>
      <c r="S45" s="260"/>
      <c r="T45" s="260"/>
      <c r="U45" s="260"/>
      <c r="V45" s="260"/>
      <c r="W45" s="260"/>
      <c r="X45" s="260"/>
      <c r="Y45" s="260"/>
      <c r="AI45" s="396"/>
      <c r="AJ45" s="396"/>
      <c r="AK45" s="396"/>
      <c r="AL45" s="396"/>
      <c r="AM45" s="396"/>
    </row>
    <row r="46" spans="1:39" x14ac:dyDescent="0.25">
      <c r="A46" s="412"/>
      <c r="B46" s="496" t="s">
        <v>1137</v>
      </c>
      <c r="C46" s="276">
        <f>'Inputs and eligible population'!H115</f>
        <v>7</v>
      </c>
      <c r="D46" s="131">
        <f>'Capacity (local prices) '!$C46*'Financial impact (cash)'!D32</f>
        <v>0</v>
      </c>
      <c r="E46" s="131">
        <f>'Capacity (local prices) '!$C46*'Financial impact (cash)'!E32</f>
        <v>0</v>
      </c>
      <c r="F46" s="131">
        <f>'Capacity (local prices) '!$C46*'Financial impact (cash)'!F32</f>
        <v>0</v>
      </c>
      <c r="G46" s="131">
        <f>'Capacity (local prices) '!$C46*'Financial impact (cash)'!G32</f>
        <v>0</v>
      </c>
      <c r="H46" s="131">
        <f>'Capacity (local prices) '!$C46*'Financial impact (cash)'!H32</f>
        <v>0</v>
      </c>
      <c r="I46" s="131">
        <f>'Capacity (local prices) '!$C46*'Financial impact (cash)'!I32</f>
        <v>0</v>
      </c>
      <c r="J46" s="332"/>
      <c r="K46" s="406">
        <f>(D46*'Unit costs'!$D$121)/1000</f>
        <v>0</v>
      </c>
      <c r="L46" s="406">
        <f>(E46*'Unit costs'!$D$121)/1000</f>
        <v>0</v>
      </c>
      <c r="M46" s="406">
        <f>(F46*'Unit costs'!$D$121)/1000</f>
        <v>0</v>
      </c>
      <c r="N46" s="406">
        <f>(G46*'Unit costs'!$D$121)/1000</f>
        <v>0</v>
      </c>
      <c r="O46" s="406">
        <f>(H46*'Unit costs'!$D$121)/1000</f>
        <v>0</v>
      </c>
      <c r="P46" s="406">
        <f>(I46*'Unit costs'!$D$121)/1000</f>
        <v>0</v>
      </c>
      <c r="Q46" s="692"/>
      <c r="R46" s="260"/>
      <c r="S46" s="260"/>
      <c r="T46" s="260"/>
      <c r="U46" s="260"/>
      <c r="V46" s="260"/>
      <c r="W46" s="260"/>
      <c r="X46" s="260"/>
      <c r="Y46" s="260"/>
      <c r="AI46" s="396"/>
      <c r="AJ46" s="396"/>
      <c r="AK46" s="396"/>
      <c r="AL46" s="396"/>
      <c r="AM46" s="396"/>
    </row>
    <row r="47" spans="1:39" x14ac:dyDescent="0.25">
      <c r="A47" s="412"/>
      <c r="B47" s="496" t="s">
        <v>1138</v>
      </c>
      <c r="C47" s="276">
        <f>'Inputs and eligible population'!I115</f>
        <v>5</v>
      </c>
      <c r="D47" s="131">
        <f>'Capacity (local prices) '!$C47*'Financial impact (cash)'!D33</f>
        <v>0</v>
      </c>
      <c r="E47" s="131">
        <f>'Capacity (local prices) '!$C47*'Financial impact (cash)'!E33</f>
        <v>0</v>
      </c>
      <c r="F47" s="131">
        <f>'Capacity (local prices) '!$C47*'Financial impact (cash)'!F33</f>
        <v>0</v>
      </c>
      <c r="G47" s="131">
        <f>'Capacity (local prices) '!$C47*'Financial impact (cash)'!G33</f>
        <v>0</v>
      </c>
      <c r="H47" s="131">
        <f>'Capacity (local prices) '!$C47*'Financial impact (cash)'!H33</f>
        <v>0</v>
      </c>
      <c r="I47" s="131">
        <f>'Capacity (local prices) '!$C47*'Financial impact (cash)'!I33</f>
        <v>0</v>
      </c>
      <c r="J47" s="332"/>
      <c r="K47" s="406">
        <f>(D47*'Unit costs'!$D$121)/1000</f>
        <v>0</v>
      </c>
      <c r="L47" s="406">
        <f>(E47*'Unit costs'!$D$121)/1000</f>
        <v>0</v>
      </c>
      <c r="M47" s="406">
        <f>(F47*'Unit costs'!$D$121)/1000</f>
        <v>0</v>
      </c>
      <c r="N47" s="406">
        <f>(G47*'Unit costs'!$D$121)/1000</f>
        <v>0</v>
      </c>
      <c r="O47" s="406">
        <f>(H47*'Unit costs'!$D$121)/1000</f>
        <v>0</v>
      </c>
      <c r="P47" s="406">
        <f>(I47*'Unit costs'!$D$121)/1000</f>
        <v>0</v>
      </c>
      <c r="Q47" s="692"/>
      <c r="R47" s="260"/>
      <c r="S47" s="260"/>
      <c r="T47" s="260"/>
      <c r="U47" s="260"/>
      <c r="V47" s="260"/>
      <c r="W47" s="260"/>
      <c r="X47" s="260"/>
      <c r="Y47" s="260"/>
      <c r="AI47" s="396"/>
      <c r="AJ47" s="396"/>
      <c r="AK47" s="396"/>
      <c r="AL47" s="396"/>
      <c r="AM47" s="396"/>
    </row>
    <row r="48" spans="1:39" x14ac:dyDescent="0.25">
      <c r="A48" s="412"/>
      <c r="B48" s="496" t="s">
        <v>1139</v>
      </c>
      <c r="C48" s="276">
        <f>'Inputs and eligible population'!J115</f>
        <v>5</v>
      </c>
      <c r="D48" s="131">
        <f>'Capacity (local prices) '!$C48*'Financial impact (cash)'!D34</f>
        <v>0</v>
      </c>
      <c r="E48" s="131">
        <f>'Capacity (local prices) '!$C48*'Financial impact (cash)'!E34</f>
        <v>0</v>
      </c>
      <c r="F48" s="131">
        <f>'Capacity (local prices) '!$C48*'Financial impact (cash)'!F34</f>
        <v>0</v>
      </c>
      <c r="G48" s="131">
        <f>'Capacity (local prices) '!$C48*'Financial impact (cash)'!G34</f>
        <v>0</v>
      </c>
      <c r="H48" s="131">
        <f>'Capacity (local prices) '!$C48*'Financial impact (cash)'!H34</f>
        <v>0</v>
      </c>
      <c r="I48" s="131">
        <f>'Capacity (local prices) '!$C48*'Financial impact (cash)'!I34</f>
        <v>0</v>
      </c>
      <c r="J48" s="332"/>
      <c r="K48" s="406">
        <f>(D48*'Unit costs'!$D$121)/1000</f>
        <v>0</v>
      </c>
      <c r="L48" s="406">
        <f>(E48*'Unit costs'!$D$121)/1000</f>
        <v>0</v>
      </c>
      <c r="M48" s="406">
        <f>(F48*'Unit costs'!$D$121)/1000</f>
        <v>0</v>
      </c>
      <c r="N48" s="406">
        <f>(G48*'Unit costs'!$D$121)/1000</f>
        <v>0</v>
      </c>
      <c r="O48" s="406">
        <f>(H48*'Unit costs'!$D$121)/1000</f>
        <v>0</v>
      </c>
      <c r="P48" s="406">
        <f>(I48*'Unit costs'!$D$121)/1000</f>
        <v>0</v>
      </c>
      <c r="Q48" s="692"/>
      <c r="R48" s="260"/>
      <c r="S48" s="260"/>
      <c r="T48" s="260"/>
      <c r="U48" s="260"/>
      <c r="V48" s="260"/>
      <c r="W48" s="260"/>
      <c r="X48" s="260"/>
      <c r="Y48" s="260"/>
      <c r="AI48" s="396"/>
      <c r="AJ48" s="396"/>
      <c r="AK48" s="396"/>
      <c r="AL48" s="396"/>
      <c r="AM48" s="396"/>
    </row>
    <row r="49" spans="1:39" x14ac:dyDescent="0.25">
      <c r="A49" s="412"/>
      <c r="B49" s="496" t="s">
        <v>1140</v>
      </c>
      <c r="C49" s="276">
        <f>'Inputs and eligible population'!K115</f>
        <v>3</v>
      </c>
      <c r="D49" s="131">
        <f>'Capacity (local prices) '!$C49*'Financial impact (cash)'!D35</f>
        <v>0</v>
      </c>
      <c r="E49" s="131">
        <f>'Capacity (local prices) '!$C49*'Financial impact (cash)'!E35</f>
        <v>0</v>
      </c>
      <c r="F49" s="131">
        <f>'Capacity (local prices) '!$C49*'Financial impact (cash)'!F35</f>
        <v>0</v>
      </c>
      <c r="G49" s="131">
        <f>'Capacity (local prices) '!$C49*'Financial impact (cash)'!G35</f>
        <v>0</v>
      </c>
      <c r="H49" s="131">
        <f>'Capacity (local prices) '!$C49*'Financial impact (cash)'!H35</f>
        <v>0</v>
      </c>
      <c r="I49" s="131">
        <f>'Capacity (local prices) '!$C49*'Financial impact (cash)'!I35</f>
        <v>0</v>
      </c>
      <c r="J49" s="332"/>
      <c r="K49" s="406">
        <f>(D49*'Unit costs'!$D$121)/1000</f>
        <v>0</v>
      </c>
      <c r="L49" s="406">
        <f>(E49*'Unit costs'!$D$121)/1000</f>
        <v>0</v>
      </c>
      <c r="M49" s="406">
        <f>(F49*'Unit costs'!$D$121)/1000</f>
        <v>0</v>
      </c>
      <c r="N49" s="406">
        <f>(G49*'Unit costs'!$D$121)/1000</f>
        <v>0</v>
      </c>
      <c r="O49" s="406">
        <f>(H49*'Unit costs'!$D$121)/1000</f>
        <v>0</v>
      </c>
      <c r="P49" s="406">
        <f>(I49*'Unit costs'!$D$121)/1000</f>
        <v>0</v>
      </c>
      <c r="Q49" s="692"/>
      <c r="R49" s="260"/>
      <c r="S49" s="260"/>
      <c r="T49" s="260"/>
      <c r="U49" s="260"/>
      <c r="V49" s="260"/>
      <c r="W49" s="260"/>
      <c r="X49" s="260"/>
      <c r="Y49" s="260"/>
      <c r="AI49" s="396"/>
      <c r="AJ49" s="396"/>
      <c r="AK49" s="396"/>
      <c r="AL49" s="396"/>
      <c r="AM49" s="396"/>
    </row>
    <row r="50" spans="1:39" x14ac:dyDescent="0.25">
      <c r="A50" s="412"/>
      <c r="B50" s="496" t="s">
        <v>1141</v>
      </c>
      <c r="C50" s="276">
        <f>'Inputs and eligible population'!L115</f>
        <v>11</v>
      </c>
      <c r="D50" s="131">
        <f>'Capacity (local prices) '!$C50*'Financial impact (cash)'!D36</f>
        <v>0</v>
      </c>
      <c r="E50" s="131">
        <f>'Capacity (local prices) '!$C50*'Financial impact (cash)'!E36</f>
        <v>0</v>
      </c>
      <c r="F50" s="131">
        <f>'Capacity (local prices) '!$C50*'Financial impact (cash)'!F36</f>
        <v>0</v>
      </c>
      <c r="G50" s="131">
        <f>'Capacity (local prices) '!$C50*'Financial impact (cash)'!G36</f>
        <v>0</v>
      </c>
      <c r="H50" s="131">
        <f>'Capacity (local prices) '!$C50*'Financial impact (cash)'!H36</f>
        <v>0</v>
      </c>
      <c r="I50" s="131">
        <f>'Capacity (local prices) '!$C50*'Financial impact (cash)'!I36</f>
        <v>0</v>
      </c>
      <c r="J50" s="332"/>
      <c r="K50" s="406">
        <f>(D50*'Unit costs'!$D$121)/1000</f>
        <v>0</v>
      </c>
      <c r="L50" s="406">
        <f>(E50*'Unit costs'!$D$121)/1000</f>
        <v>0</v>
      </c>
      <c r="M50" s="406">
        <f>(F50*'Unit costs'!$D$121)/1000</f>
        <v>0</v>
      </c>
      <c r="N50" s="406">
        <f>(G50*'Unit costs'!$D$121)/1000</f>
        <v>0</v>
      </c>
      <c r="O50" s="406">
        <f>(H50*'Unit costs'!$D$121)/1000</f>
        <v>0</v>
      </c>
      <c r="P50" s="406">
        <f>(I50*'Unit costs'!$D$121)/1000</f>
        <v>0</v>
      </c>
      <c r="Q50" s="692"/>
      <c r="R50" s="260"/>
      <c r="S50" s="260"/>
      <c r="T50" s="260"/>
      <c r="U50" s="260"/>
      <c r="V50" s="260"/>
      <c r="W50" s="260"/>
      <c r="X50" s="260"/>
      <c r="Y50" s="260"/>
      <c r="AI50" s="396"/>
      <c r="AJ50" s="396"/>
      <c r="AK50" s="396"/>
      <c r="AL50" s="396"/>
      <c r="AM50" s="396"/>
    </row>
    <row r="51" spans="1:39" x14ac:dyDescent="0.25">
      <c r="A51" s="412"/>
      <c r="B51" s="496" t="s">
        <v>1142</v>
      </c>
      <c r="C51" s="276">
        <f>'Inputs and eligible population'!M115</f>
        <v>3</v>
      </c>
      <c r="D51" s="131">
        <f>'Capacity (local prices) '!$C51*'Financial impact (cash)'!D37</f>
        <v>0</v>
      </c>
      <c r="E51" s="131">
        <f>'Capacity (local prices) '!$C51*'Financial impact (cash)'!E37</f>
        <v>0</v>
      </c>
      <c r="F51" s="131">
        <f>'Capacity (local prices) '!$C51*'Financial impact (cash)'!F37</f>
        <v>0</v>
      </c>
      <c r="G51" s="131">
        <f>'Capacity (local prices) '!$C51*'Financial impact (cash)'!G37</f>
        <v>0</v>
      </c>
      <c r="H51" s="131">
        <f>'Capacity (local prices) '!$C51*'Financial impact (cash)'!H37</f>
        <v>0</v>
      </c>
      <c r="I51" s="131">
        <f>'Capacity (local prices) '!$C51*'Financial impact (cash)'!I37</f>
        <v>0</v>
      </c>
      <c r="J51" s="332"/>
      <c r="K51" s="406">
        <f>(D51*'Unit costs'!$D$121)/1000</f>
        <v>0</v>
      </c>
      <c r="L51" s="406">
        <f>(E51*'Unit costs'!$D$121)/1000</f>
        <v>0</v>
      </c>
      <c r="M51" s="406">
        <f>(F51*'Unit costs'!$D$121)/1000</f>
        <v>0</v>
      </c>
      <c r="N51" s="406">
        <f>(G51*'Unit costs'!$D$121)/1000</f>
        <v>0</v>
      </c>
      <c r="O51" s="406">
        <f>(H51*'Unit costs'!$D$121)/1000</f>
        <v>0</v>
      </c>
      <c r="P51" s="406">
        <f>(I51*'Unit costs'!$D$121)/1000</f>
        <v>0</v>
      </c>
      <c r="Q51" s="692"/>
      <c r="R51" s="260"/>
      <c r="S51" s="260"/>
      <c r="T51" s="260"/>
      <c r="U51" s="260"/>
      <c r="V51" s="260"/>
      <c r="W51" s="260"/>
      <c r="X51" s="260"/>
      <c r="Y51" s="260"/>
      <c r="AI51" s="396"/>
      <c r="AJ51" s="396"/>
      <c r="AK51" s="396"/>
      <c r="AL51" s="396"/>
      <c r="AM51" s="396"/>
    </row>
    <row r="52" spans="1:39" x14ac:dyDescent="0.25">
      <c r="A52" s="420"/>
      <c r="B52" s="750" t="s">
        <v>1254</v>
      </c>
      <c r="C52" s="394"/>
      <c r="D52" s="313">
        <f t="shared" ref="D52:I52" si="23">SUM(D44:D51)</f>
        <v>0</v>
      </c>
      <c r="E52" s="313">
        <f t="shared" si="23"/>
        <v>0</v>
      </c>
      <c r="F52" s="313">
        <f t="shared" si="23"/>
        <v>0</v>
      </c>
      <c r="G52" s="313">
        <f t="shared" si="23"/>
        <v>0</v>
      </c>
      <c r="H52" s="313">
        <f t="shared" si="23"/>
        <v>0</v>
      </c>
      <c r="I52" s="313">
        <f t="shared" si="23"/>
        <v>0</v>
      </c>
      <c r="J52" s="639"/>
      <c r="K52" s="1112">
        <f t="shared" ref="K52:P52" si="24">SUM(K44:K51)</f>
        <v>0</v>
      </c>
      <c r="L52" s="1112">
        <f t="shared" si="24"/>
        <v>0</v>
      </c>
      <c r="M52" s="1112">
        <f t="shared" si="24"/>
        <v>0</v>
      </c>
      <c r="N52" s="1112">
        <f t="shared" si="24"/>
        <v>0</v>
      </c>
      <c r="O52" s="1112">
        <f t="shared" si="24"/>
        <v>0</v>
      </c>
      <c r="P52" s="1112">
        <f t="shared" si="24"/>
        <v>0</v>
      </c>
      <c r="Q52" s="692"/>
      <c r="R52" s="260"/>
      <c r="S52" s="260"/>
      <c r="T52" s="260"/>
      <c r="U52" s="260"/>
      <c r="V52" s="260"/>
      <c r="W52" s="260"/>
      <c r="X52" s="260"/>
      <c r="Y52" s="260"/>
      <c r="AI52" s="396"/>
      <c r="AJ52" s="396"/>
      <c r="AK52" s="396"/>
      <c r="AL52" s="396"/>
      <c r="AM52" s="396"/>
    </row>
    <row r="53" spans="1:39" x14ac:dyDescent="0.25">
      <c r="A53" s="420"/>
      <c r="B53" s="377"/>
      <c r="C53" s="377"/>
      <c r="D53" s="395" t="s">
        <v>803</v>
      </c>
      <c r="E53" s="313">
        <f>E52-$D$52</f>
        <v>0</v>
      </c>
      <c r="F53" s="313">
        <f>F52-$D$52</f>
        <v>0</v>
      </c>
      <c r="G53" s="313">
        <f>G52-$D$52</f>
        <v>0</v>
      </c>
      <c r="H53" s="313">
        <f>H52-$D$52</f>
        <v>0</v>
      </c>
      <c r="I53" s="313">
        <f>I52-$D$52</f>
        <v>0</v>
      </c>
      <c r="J53" s="639"/>
      <c r="K53" s="1228"/>
      <c r="L53" s="1112">
        <f>L52-$K$52</f>
        <v>0</v>
      </c>
      <c r="M53" s="1112">
        <f>M52-$K$52</f>
        <v>0</v>
      </c>
      <c r="N53" s="1112">
        <f>N52-$K$52</f>
        <v>0</v>
      </c>
      <c r="O53" s="1112">
        <f>O52-$K$52</f>
        <v>0</v>
      </c>
      <c r="P53" s="1112">
        <f>P52-$K$52</f>
        <v>0</v>
      </c>
      <c r="Q53" s="872"/>
      <c r="R53" s="260"/>
      <c r="S53" s="260"/>
      <c r="T53" s="260"/>
      <c r="U53" s="260"/>
      <c r="V53" s="260"/>
      <c r="W53" s="260"/>
      <c r="X53" s="260"/>
      <c r="Y53" s="260"/>
      <c r="AI53" s="396"/>
      <c r="AJ53" s="396"/>
      <c r="AK53" s="396"/>
      <c r="AL53" s="396"/>
      <c r="AM53" s="396"/>
    </row>
    <row r="54" spans="1:39" x14ac:dyDescent="0.25">
      <c r="A54" s="412"/>
      <c r="B54" s="443"/>
      <c r="C54" s="417"/>
      <c r="D54" s="418"/>
      <c r="E54" s="419"/>
      <c r="F54" s="412"/>
      <c r="G54" s="412"/>
      <c r="H54" s="412"/>
      <c r="I54" s="412"/>
      <c r="J54" s="332"/>
      <c r="K54" s="332"/>
      <c r="L54" s="332"/>
      <c r="M54" s="332"/>
      <c r="N54" s="332"/>
      <c r="O54" s="332"/>
      <c r="P54" s="332"/>
      <c r="Q54" s="260"/>
      <c r="R54" s="260"/>
      <c r="S54" s="260"/>
      <c r="T54" s="260"/>
      <c r="U54" s="260"/>
      <c r="V54" s="260"/>
      <c r="W54" s="260"/>
      <c r="X54" s="260"/>
      <c r="Y54" s="260"/>
      <c r="AI54" s="396"/>
      <c r="AJ54" s="396"/>
      <c r="AK54" s="396"/>
      <c r="AL54" s="396"/>
      <c r="AM54" s="396"/>
    </row>
    <row r="55" spans="1:39" x14ac:dyDescent="0.25">
      <c r="A55" s="420"/>
      <c r="B55" s="555" t="s">
        <v>159</v>
      </c>
      <c r="C55" s="556"/>
      <c r="D55" s="556"/>
      <c r="E55" s="556"/>
      <c r="F55" s="556"/>
      <c r="G55" s="556"/>
      <c r="H55" s="556"/>
      <c r="I55" s="556"/>
      <c r="J55" s="639"/>
      <c r="K55" s="332"/>
      <c r="L55" s="332"/>
      <c r="M55" s="332"/>
      <c r="N55" s="332"/>
      <c r="O55" s="332"/>
      <c r="P55" s="332"/>
      <c r="Q55" s="260"/>
      <c r="R55" s="260"/>
      <c r="S55" s="260"/>
      <c r="T55" s="260"/>
      <c r="U55" s="260"/>
      <c r="V55" s="260"/>
      <c r="W55" s="260"/>
      <c r="X55" s="260"/>
      <c r="Y55" s="260"/>
      <c r="AI55" s="396"/>
      <c r="AJ55" s="396"/>
      <c r="AK55" s="396"/>
      <c r="AL55" s="396"/>
      <c r="AM55" s="396"/>
    </row>
    <row r="56" spans="1:39" ht="45" x14ac:dyDescent="0.25">
      <c r="A56" s="420"/>
      <c r="B56" s="441" t="s">
        <v>111</v>
      </c>
      <c r="C56" s="291" t="s">
        <v>804</v>
      </c>
      <c r="D56" s="629" t="s">
        <v>792</v>
      </c>
      <c r="E56" s="376" t="s">
        <v>56</v>
      </c>
      <c r="F56" s="376" t="s">
        <v>57</v>
      </c>
      <c r="G56" s="290" t="s">
        <v>793</v>
      </c>
      <c r="H56" s="290" t="s">
        <v>794</v>
      </c>
      <c r="I56" s="376" t="s">
        <v>795</v>
      </c>
      <c r="J56" s="639"/>
      <c r="K56" s="332"/>
      <c r="L56" s="332"/>
      <c r="M56" s="332"/>
      <c r="N56" s="332"/>
      <c r="O56" s="332"/>
      <c r="P56" s="332"/>
      <c r="U56" s="260"/>
      <c r="AI56" s="396"/>
      <c r="AJ56" s="396"/>
      <c r="AK56" s="396"/>
      <c r="AL56" s="396"/>
      <c r="AM56" s="396"/>
    </row>
    <row r="57" spans="1:39" x14ac:dyDescent="0.25">
      <c r="A57" s="420"/>
      <c r="B57" s="496" t="s">
        <v>1135</v>
      </c>
      <c r="C57" s="131">
        <f>'Inputs and eligible population'!F110</f>
        <v>6</v>
      </c>
      <c r="D57" s="131">
        <f>$C57*'Financial impact (cash)'!D30</f>
        <v>0</v>
      </c>
      <c r="E57" s="131">
        <f>$C57*'Financial impact (cash)'!E30</f>
        <v>0</v>
      </c>
      <c r="F57" s="131">
        <f>$C57*'Financial impact (cash)'!F30</f>
        <v>0</v>
      </c>
      <c r="G57" s="131">
        <f>$C57*'Financial impact (cash)'!G30</f>
        <v>0</v>
      </c>
      <c r="H57" s="131">
        <f>$C57*'Financial impact (cash)'!H30</f>
        <v>0</v>
      </c>
      <c r="I57" s="131">
        <f>$C57*'Financial impact (cash)'!I30</f>
        <v>0</v>
      </c>
      <c r="J57" s="639"/>
      <c r="K57" s="332"/>
      <c r="L57" s="332"/>
      <c r="M57" s="332"/>
      <c r="N57" s="332"/>
      <c r="O57" s="332"/>
      <c r="P57" s="332"/>
      <c r="U57" s="260"/>
      <c r="AI57" s="396"/>
      <c r="AJ57" s="396"/>
      <c r="AK57" s="396"/>
      <c r="AL57" s="396"/>
      <c r="AM57" s="396"/>
    </row>
    <row r="58" spans="1:39" x14ac:dyDescent="0.25">
      <c r="A58" s="420"/>
      <c r="B58" s="496" t="s">
        <v>1136</v>
      </c>
      <c r="C58" s="131">
        <f>'Inputs and eligible population'!G110</f>
        <v>4</v>
      </c>
      <c r="D58" s="131">
        <f>$C58*'Financial impact (cash)'!D31</f>
        <v>0</v>
      </c>
      <c r="E58" s="131">
        <f>$C58*'Financial impact (cash)'!E31</f>
        <v>0</v>
      </c>
      <c r="F58" s="131">
        <f>$C58*'Financial impact (cash)'!F31</f>
        <v>0</v>
      </c>
      <c r="G58" s="131">
        <f>$C58*'Financial impact (cash)'!G31</f>
        <v>0</v>
      </c>
      <c r="H58" s="131">
        <f>$C58*'Financial impact (cash)'!H31</f>
        <v>0</v>
      </c>
      <c r="I58" s="131">
        <f>$C58*'Financial impact (cash)'!I31</f>
        <v>0</v>
      </c>
      <c r="J58" s="639"/>
      <c r="K58" s="332"/>
      <c r="L58" s="332"/>
      <c r="M58" s="332"/>
      <c r="N58" s="332"/>
      <c r="O58" s="332"/>
      <c r="P58" s="332"/>
      <c r="U58" s="260"/>
      <c r="AI58" s="396"/>
      <c r="AJ58" s="396"/>
      <c r="AK58" s="396"/>
      <c r="AL58" s="396"/>
      <c r="AM58" s="396"/>
    </row>
    <row r="59" spans="1:39" x14ac:dyDescent="0.25">
      <c r="A59" s="420"/>
      <c r="B59" s="496" t="s">
        <v>1137</v>
      </c>
      <c r="C59" s="131">
        <f>'Inputs and eligible population'!H110</f>
        <v>8</v>
      </c>
      <c r="D59" s="131">
        <f>$C59*'Financial impact (cash)'!D32</f>
        <v>0</v>
      </c>
      <c r="E59" s="131">
        <f>$C59*'Financial impact (cash)'!E32</f>
        <v>0</v>
      </c>
      <c r="F59" s="131">
        <f>$C59*'Financial impact (cash)'!F32</f>
        <v>0</v>
      </c>
      <c r="G59" s="131">
        <f>$C59*'Financial impact (cash)'!G32</f>
        <v>0</v>
      </c>
      <c r="H59" s="131">
        <f>$C59*'Financial impact (cash)'!H32</f>
        <v>0</v>
      </c>
      <c r="I59" s="131">
        <f>$C59*'Financial impact (cash)'!I32</f>
        <v>0</v>
      </c>
      <c r="J59" s="639"/>
      <c r="K59" s="332"/>
      <c r="L59" s="332"/>
      <c r="M59" s="332"/>
      <c r="N59" s="332"/>
      <c r="O59" s="332"/>
      <c r="P59" s="332"/>
      <c r="U59" s="260"/>
      <c r="AI59" s="396"/>
      <c r="AJ59" s="396"/>
      <c r="AK59" s="396"/>
      <c r="AL59" s="396"/>
      <c r="AM59" s="396"/>
    </row>
    <row r="60" spans="1:39" x14ac:dyDescent="0.25">
      <c r="A60" s="420"/>
      <c r="B60" s="496" t="s">
        <v>1138</v>
      </c>
      <c r="C60" s="131">
        <f>'Inputs and eligible population'!I110</f>
        <v>6</v>
      </c>
      <c r="D60" s="131">
        <f>$C60*'Financial impact (cash)'!D33</f>
        <v>0</v>
      </c>
      <c r="E60" s="131">
        <f>$C60*'Financial impact (cash)'!E33</f>
        <v>0</v>
      </c>
      <c r="F60" s="131">
        <f>$C60*'Financial impact (cash)'!F33</f>
        <v>0</v>
      </c>
      <c r="G60" s="131">
        <f>$C60*'Financial impact (cash)'!G33</f>
        <v>0</v>
      </c>
      <c r="H60" s="131">
        <f>$C60*'Financial impact (cash)'!H33</f>
        <v>0</v>
      </c>
      <c r="I60" s="131">
        <f>$C60*'Financial impact (cash)'!I33</f>
        <v>0</v>
      </c>
      <c r="J60" s="639"/>
      <c r="K60" s="332"/>
      <c r="L60" s="332"/>
      <c r="M60" s="332"/>
      <c r="N60" s="332"/>
      <c r="O60" s="332"/>
      <c r="P60" s="332"/>
      <c r="U60" s="260"/>
      <c r="AI60" s="396"/>
      <c r="AJ60" s="396"/>
      <c r="AK60" s="396"/>
      <c r="AL60" s="396"/>
      <c r="AM60" s="396"/>
    </row>
    <row r="61" spans="1:39" x14ac:dyDescent="0.25">
      <c r="A61" s="420"/>
      <c r="B61" s="496" t="s">
        <v>1139</v>
      </c>
      <c r="C61" s="131">
        <f>'Inputs and eligible population'!J110</f>
        <v>6</v>
      </c>
      <c r="D61" s="131">
        <f>$C61*'Financial impact (cash)'!D34</f>
        <v>0</v>
      </c>
      <c r="E61" s="131">
        <f>$C61*'Financial impact (cash)'!E34</f>
        <v>0</v>
      </c>
      <c r="F61" s="131">
        <f>$C61*'Financial impact (cash)'!F34</f>
        <v>0</v>
      </c>
      <c r="G61" s="131">
        <f>$C61*'Financial impact (cash)'!G34</f>
        <v>0</v>
      </c>
      <c r="H61" s="131">
        <f>$C61*'Financial impact (cash)'!H34</f>
        <v>0</v>
      </c>
      <c r="I61" s="131">
        <f>$C61*'Financial impact (cash)'!I34</f>
        <v>0</v>
      </c>
      <c r="J61" s="639"/>
      <c r="K61" s="332"/>
      <c r="L61" s="332"/>
      <c r="M61" s="332"/>
      <c r="N61" s="332"/>
      <c r="O61" s="332"/>
      <c r="P61" s="332"/>
      <c r="U61" s="260"/>
      <c r="AI61" s="396"/>
      <c r="AJ61" s="396"/>
      <c r="AK61" s="396"/>
      <c r="AL61" s="396"/>
      <c r="AM61" s="396"/>
    </row>
    <row r="62" spans="1:39" x14ac:dyDescent="0.25">
      <c r="A62" s="420"/>
      <c r="B62" s="496" t="s">
        <v>1140</v>
      </c>
      <c r="C62" s="131">
        <f>'Inputs and eligible population'!K110</f>
        <v>8</v>
      </c>
      <c r="D62" s="131">
        <f>$C62*'Financial impact (cash)'!D35</f>
        <v>0</v>
      </c>
      <c r="E62" s="131">
        <f>$C62*'Financial impact (cash)'!E35</f>
        <v>0</v>
      </c>
      <c r="F62" s="131">
        <f>$C62*'Financial impact (cash)'!F35</f>
        <v>0</v>
      </c>
      <c r="G62" s="131">
        <f>$C62*'Financial impact (cash)'!G35</f>
        <v>0</v>
      </c>
      <c r="H62" s="131">
        <f>$C62*'Financial impact (cash)'!H35</f>
        <v>0</v>
      </c>
      <c r="I62" s="131">
        <f>$C62*'Financial impact (cash)'!I35</f>
        <v>0</v>
      </c>
      <c r="J62" s="639"/>
      <c r="K62" s="332"/>
      <c r="L62" s="332"/>
      <c r="M62" s="332"/>
      <c r="N62" s="332"/>
      <c r="O62" s="332"/>
      <c r="P62" s="332"/>
      <c r="U62" s="260"/>
      <c r="AI62" s="396"/>
      <c r="AJ62" s="396"/>
      <c r="AK62" s="396"/>
      <c r="AL62" s="396"/>
      <c r="AM62" s="396"/>
    </row>
    <row r="63" spans="1:39" x14ac:dyDescent="0.25">
      <c r="A63" s="420"/>
      <c r="B63" s="496" t="s">
        <v>1141</v>
      </c>
      <c r="C63" s="131">
        <f>'Inputs and eligible population'!L110</f>
        <v>12</v>
      </c>
      <c r="D63" s="131">
        <f>$C63*'Financial impact (cash)'!D36</f>
        <v>0</v>
      </c>
      <c r="E63" s="131">
        <f>$C63*'Financial impact (cash)'!E36</f>
        <v>0</v>
      </c>
      <c r="F63" s="131">
        <f>$C63*'Financial impact (cash)'!F36</f>
        <v>0</v>
      </c>
      <c r="G63" s="131">
        <f>$C63*'Financial impact (cash)'!G36</f>
        <v>0</v>
      </c>
      <c r="H63" s="131">
        <f>$C63*'Financial impact (cash)'!H36</f>
        <v>0</v>
      </c>
      <c r="I63" s="131">
        <f>$C63*'Financial impact (cash)'!I36</f>
        <v>0</v>
      </c>
      <c r="J63" s="639"/>
      <c r="K63" s="332"/>
      <c r="L63" s="332"/>
      <c r="M63" s="332"/>
      <c r="N63" s="332"/>
      <c r="O63" s="332"/>
      <c r="P63" s="332"/>
      <c r="U63" s="260"/>
      <c r="AI63" s="396"/>
      <c r="AJ63" s="396"/>
      <c r="AK63" s="396"/>
      <c r="AL63" s="396"/>
      <c r="AM63" s="396"/>
    </row>
    <row r="64" spans="1:39" x14ac:dyDescent="0.25">
      <c r="A64" s="420"/>
      <c r="B64" s="496" t="s">
        <v>1142</v>
      </c>
      <c r="C64" s="131">
        <f>'Inputs and eligible population'!M110</f>
        <v>4</v>
      </c>
      <c r="D64" s="131">
        <f>$C64*'Financial impact (cash)'!D37</f>
        <v>0</v>
      </c>
      <c r="E64" s="131">
        <f>$C64*'Financial impact (cash)'!E37</f>
        <v>0</v>
      </c>
      <c r="F64" s="131">
        <f>$C64*'Financial impact (cash)'!F37</f>
        <v>0</v>
      </c>
      <c r="G64" s="131">
        <f>$C64*'Financial impact (cash)'!G37</f>
        <v>0</v>
      </c>
      <c r="H64" s="131">
        <f>$C64*'Financial impact (cash)'!H37</f>
        <v>0</v>
      </c>
      <c r="I64" s="131">
        <f>$C64*'Financial impact (cash)'!I37</f>
        <v>0</v>
      </c>
      <c r="J64" s="639"/>
      <c r="K64" s="332"/>
      <c r="L64" s="332"/>
      <c r="M64" s="332"/>
      <c r="N64" s="332"/>
      <c r="O64" s="332"/>
      <c r="P64" s="332"/>
      <c r="U64" s="260"/>
      <c r="AI64" s="396"/>
      <c r="AJ64" s="396"/>
      <c r="AK64" s="396"/>
      <c r="AL64" s="396"/>
      <c r="AM64" s="396"/>
    </row>
    <row r="65" spans="1:39" x14ac:dyDescent="0.25">
      <c r="A65" s="420"/>
      <c r="B65" s="444"/>
      <c r="C65" s="444"/>
      <c r="D65" s="313">
        <f t="shared" ref="D65:I65" si="25">SUM(D57:D64)</f>
        <v>0</v>
      </c>
      <c r="E65" s="313">
        <f t="shared" si="25"/>
        <v>0</v>
      </c>
      <c r="F65" s="313">
        <f t="shared" si="25"/>
        <v>0</v>
      </c>
      <c r="G65" s="313">
        <f t="shared" si="25"/>
        <v>0</v>
      </c>
      <c r="H65" s="313">
        <f t="shared" si="25"/>
        <v>0</v>
      </c>
      <c r="I65" s="313">
        <f t="shared" si="25"/>
        <v>0</v>
      </c>
      <c r="J65" s="412"/>
      <c r="K65" s="412"/>
      <c r="L65" s="412"/>
      <c r="M65" s="412"/>
      <c r="N65" s="412"/>
      <c r="O65" s="412"/>
      <c r="P65" s="412"/>
      <c r="U65" s="260"/>
      <c r="AI65" s="396"/>
      <c r="AJ65" s="396"/>
      <c r="AK65" s="396"/>
      <c r="AL65" s="396"/>
      <c r="AM65" s="396"/>
    </row>
    <row r="66" spans="1:39" x14ac:dyDescent="0.25">
      <c r="A66" s="420"/>
      <c r="B66" s="377"/>
      <c r="C66" s="377"/>
      <c r="D66" s="395" t="s">
        <v>805</v>
      </c>
      <c r="E66" s="313">
        <f>E65-$D$65</f>
        <v>0</v>
      </c>
      <c r="F66" s="313">
        <f>F65-$D$65</f>
        <v>0</v>
      </c>
      <c r="G66" s="313">
        <f>G65-$D$65</f>
        <v>0</v>
      </c>
      <c r="H66" s="313">
        <f>H65-$D$65</f>
        <v>0</v>
      </c>
      <c r="I66" s="313">
        <f>I65-$D$65</f>
        <v>0</v>
      </c>
      <c r="J66" s="412"/>
      <c r="K66" s="412"/>
      <c r="L66" s="412"/>
      <c r="M66" s="412"/>
      <c r="N66" s="412"/>
      <c r="O66" s="412"/>
      <c r="P66" s="412"/>
      <c r="R66" s="260"/>
      <c r="S66" s="260"/>
      <c r="T66" s="260"/>
      <c r="U66" s="260"/>
      <c r="V66" s="260"/>
      <c r="W66" s="260"/>
      <c r="X66" s="260"/>
      <c r="Y66" s="260"/>
      <c r="AI66" s="396"/>
      <c r="AJ66" s="396"/>
      <c r="AK66" s="396"/>
      <c r="AL66" s="396"/>
      <c r="AM66" s="396"/>
    </row>
    <row r="67" spans="1:39" x14ac:dyDescent="0.25">
      <c r="A67" s="412"/>
      <c r="B67" s="443"/>
      <c r="C67" s="418"/>
      <c r="D67" s="418"/>
      <c r="E67" s="419"/>
      <c r="F67" s="412"/>
      <c r="G67" s="412"/>
      <c r="H67" s="332"/>
      <c r="I67" s="332"/>
      <c r="J67" s="332"/>
      <c r="K67" s="332"/>
      <c r="L67" s="332"/>
      <c r="M67" s="332"/>
      <c r="N67" s="332"/>
      <c r="O67" s="332"/>
      <c r="P67" s="332"/>
      <c r="R67" s="260"/>
      <c r="S67" s="260"/>
      <c r="T67" s="260"/>
      <c r="U67" s="260"/>
      <c r="V67" s="260"/>
      <c r="W67" s="260"/>
      <c r="X67" s="260"/>
      <c r="Y67" s="260"/>
      <c r="AI67" s="396"/>
      <c r="AJ67" s="396"/>
      <c r="AK67" s="396"/>
      <c r="AL67" s="396"/>
      <c r="AM67" s="396"/>
    </row>
    <row r="68" spans="1:39" x14ac:dyDescent="0.25">
      <c r="A68" s="397"/>
      <c r="B68" s="445" t="s">
        <v>806</v>
      </c>
      <c r="C68" s="421"/>
      <c r="D68" s="421"/>
      <c r="E68" s="422"/>
      <c r="F68" s="423"/>
      <c r="G68" s="424"/>
      <c r="H68" s="424"/>
      <c r="I68" s="424"/>
      <c r="J68" s="646"/>
      <c r="K68" s="397"/>
      <c r="L68" s="397"/>
      <c r="M68" s="397"/>
      <c r="N68" s="397"/>
      <c r="O68" s="397"/>
      <c r="P68" s="334"/>
      <c r="U68" s="260"/>
    </row>
    <row r="69" spans="1:39" x14ac:dyDescent="0.25">
      <c r="A69" s="397"/>
      <c r="B69" s="557" t="s">
        <v>1264</v>
      </c>
      <c r="C69" s="558"/>
      <c r="D69" s="558"/>
      <c r="E69" s="558"/>
      <c r="F69" s="558"/>
      <c r="G69" s="558"/>
      <c r="H69" s="558"/>
      <c r="I69" s="333"/>
      <c r="J69" s="641"/>
      <c r="K69" s="397"/>
      <c r="L69" s="397"/>
      <c r="M69" s="397"/>
      <c r="N69" s="397"/>
      <c r="O69" s="397"/>
      <c r="P69" s="334"/>
      <c r="U69" s="260"/>
    </row>
    <row r="70" spans="1:39" ht="45" x14ac:dyDescent="0.25">
      <c r="A70" s="397"/>
      <c r="B70" s="393" t="s">
        <v>111</v>
      </c>
      <c r="C70" s="291" t="s">
        <v>1241</v>
      </c>
      <c r="D70" s="629" t="s">
        <v>792</v>
      </c>
      <c r="E70" s="376" t="s">
        <v>56</v>
      </c>
      <c r="F70" s="376" t="s">
        <v>57</v>
      </c>
      <c r="G70" s="290" t="s">
        <v>793</v>
      </c>
      <c r="H70" s="290" t="s">
        <v>794</v>
      </c>
      <c r="I70" s="376" t="s">
        <v>795</v>
      </c>
      <c r="J70" s="397"/>
      <c r="K70" s="397"/>
      <c r="L70" s="397"/>
      <c r="M70" s="397"/>
      <c r="N70" s="397"/>
      <c r="O70" s="397"/>
      <c r="P70" s="334"/>
      <c r="U70" s="260"/>
    </row>
    <row r="71" spans="1:39" x14ac:dyDescent="0.25">
      <c r="A71" s="397"/>
      <c r="B71" s="496" t="s">
        <v>1135</v>
      </c>
      <c r="C71" s="1095">
        <f>'Inputs and eligible population'!F111</f>
        <v>0.83333333333333337</v>
      </c>
      <c r="D71" s="131">
        <f t="shared" ref="D71:I78" si="26">$C71*D57</f>
        <v>0</v>
      </c>
      <c r="E71" s="131">
        <f t="shared" si="26"/>
        <v>0</v>
      </c>
      <c r="F71" s="131">
        <f t="shared" si="26"/>
        <v>0</v>
      </c>
      <c r="G71" s="131">
        <f t="shared" si="26"/>
        <v>0</v>
      </c>
      <c r="H71" s="131">
        <f t="shared" si="26"/>
        <v>0</v>
      </c>
      <c r="I71" s="131">
        <f t="shared" si="26"/>
        <v>0</v>
      </c>
      <c r="J71" s="397"/>
      <c r="K71" s="397"/>
      <c r="L71" s="397"/>
      <c r="M71" s="397"/>
      <c r="N71" s="397"/>
      <c r="O71" s="397"/>
      <c r="P71" s="334"/>
      <c r="R71" s="260"/>
      <c r="S71" s="260"/>
      <c r="T71" s="260"/>
      <c r="U71" s="260"/>
      <c r="V71" s="260"/>
      <c r="W71" s="260"/>
      <c r="X71" s="260"/>
      <c r="Y71" s="260"/>
      <c r="AI71" s="396"/>
      <c r="AJ71" s="396"/>
      <c r="AK71" s="396"/>
      <c r="AL71" s="396"/>
      <c r="AM71" s="396"/>
    </row>
    <row r="72" spans="1:39" x14ac:dyDescent="0.25">
      <c r="A72" s="397"/>
      <c r="B72" s="496" t="s">
        <v>1136</v>
      </c>
      <c r="C72" s="1095">
        <f>'Inputs and eligible population'!G111</f>
        <v>1.0825</v>
      </c>
      <c r="D72" s="131">
        <f t="shared" si="26"/>
        <v>0</v>
      </c>
      <c r="E72" s="131">
        <f t="shared" si="26"/>
        <v>0</v>
      </c>
      <c r="F72" s="131">
        <f t="shared" si="26"/>
        <v>0</v>
      </c>
      <c r="G72" s="131">
        <f t="shared" si="26"/>
        <v>0</v>
      </c>
      <c r="H72" s="131">
        <f t="shared" si="26"/>
        <v>0</v>
      </c>
      <c r="I72" s="131">
        <f t="shared" si="26"/>
        <v>0</v>
      </c>
      <c r="J72" s="397"/>
      <c r="K72" s="397"/>
      <c r="L72" s="397"/>
      <c r="M72" s="397"/>
      <c r="N72" s="397"/>
      <c r="O72" s="397"/>
      <c r="P72" s="334"/>
      <c r="R72" s="260"/>
      <c r="S72" s="260"/>
      <c r="T72" s="260"/>
      <c r="U72" s="260"/>
      <c r="V72" s="260"/>
      <c r="W72" s="260"/>
      <c r="X72" s="260"/>
      <c r="Y72" s="260"/>
      <c r="AI72" s="396"/>
      <c r="AJ72" s="396"/>
      <c r="AK72" s="396"/>
      <c r="AL72" s="396"/>
      <c r="AM72" s="396"/>
    </row>
    <row r="73" spans="1:39" x14ac:dyDescent="0.25">
      <c r="A73" s="397"/>
      <c r="B73" s="496" t="s">
        <v>1137</v>
      </c>
      <c r="C73" s="1095">
        <f>'Inputs and eligible population'!H111</f>
        <v>0.33374999999999999</v>
      </c>
      <c r="D73" s="131">
        <f t="shared" si="26"/>
        <v>0</v>
      </c>
      <c r="E73" s="131">
        <f t="shared" si="26"/>
        <v>0</v>
      </c>
      <c r="F73" s="131">
        <f t="shared" si="26"/>
        <v>0</v>
      </c>
      <c r="G73" s="131">
        <f t="shared" si="26"/>
        <v>0</v>
      </c>
      <c r="H73" s="131">
        <f t="shared" si="26"/>
        <v>0</v>
      </c>
      <c r="I73" s="131">
        <f t="shared" si="26"/>
        <v>0</v>
      </c>
      <c r="J73" s="397"/>
      <c r="K73" s="397"/>
      <c r="L73" s="397"/>
      <c r="M73" s="397"/>
      <c r="N73" s="397"/>
      <c r="O73" s="397"/>
      <c r="P73" s="334"/>
      <c r="R73" s="260"/>
      <c r="S73" s="260"/>
      <c r="T73" s="260"/>
      <c r="U73" s="260"/>
      <c r="V73" s="260"/>
      <c r="W73" s="260"/>
      <c r="X73" s="260"/>
      <c r="Y73" s="260"/>
      <c r="AI73" s="396"/>
      <c r="AJ73" s="396"/>
      <c r="AK73" s="396"/>
      <c r="AL73" s="396"/>
      <c r="AM73" s="396"/>
    </row>
    <row r="74" spans="1:39" x14ac:dyDescent="0.25">
      <c r="A74" s="397"/>
      <c r="B74" s="496" t="s">
        <v>1138</v>
      </c>
      <c r="C74" s="1095">
        <f>'Inputs and eligible population'!I111</f>
        <v>2</v>
      </c>
      <c r="D74" s="131">
        <f t="shared" si="26"/>
        <v>0</v>
      </c>
      <c r="E74" s="131">
        <f t="shared" si="26"/>
        <v>0</v>
      </c>
      <c r="F74" s="131">
        <f t="shared" si="26"/>
        <v>0</v>
      </c>
      <c r="G74" s="131">
        <f t="shared" si="26"/>
        <v>0</v>
      </c>
      <c r="H74" s="131">
        <f t="shared" si="26"/>
        <v>0</v>
      </c>
      <c r="I74" s="131">
        <f t="shared" si="26"/>
        <v>0</v>
      </c>
      <c r="J74" s="397"/>
      <c r="K74" s="397"/>
      <c r="L74" s="397"/>
      <c r="M74" s="397"/>
      <c r="N74" s="397"/>
      <c r="O74" s="397"/>
      <c r="P74" s="334"/>
      <c r="R74" s="260"/>
      <c r="S74" s="260"/>
      <c r="T74" s="260"/>
      <c r="U74" s="260"/>
      <c r="V74" s="260"/>
      <c r="W74" s="260"/>
      <c r="X74" s="260"/>
      <c r="Y74" s="260"/>
      <c r="AI74" s="396"/>
      <c r="AJ74" s="396"/>
      <c r="AK74" s="396"/>
      <c r="AL74" s="396"/>
      <c r="AM74" s="396"/>
    </row>
    <row r="75" spans="1:39" x14ac:dyDescent="0.25">
      <c r="A75" s="397"/>
      <c r="B75" s="496" t="s">
        <v>1139</v>
      </c>
      <c r="C75" s="1095">
        <f>'Inputs and eligible population'!J111</f>
        <v>1.1666666666666667</v>
      </c>
      <c r="D75" s="131">
        <f t="shared" si="26"/>
        <v>0</v>
      </c>
      <c r="E75" s="131">
        <f t="shared" si="26"/>
        <v>0</v>
      </c>
      <c r="F75" s="131">
        <f t="shared" si="26"/>
        <v>0</v>
      </c>
      <c r="G75" s="131">
        <f t="shared" si="26"/>
        <v>0</v>
      </c>
      <c r="H75" s="131">
        <f t="shared" si="26"/>
        <v>0</v>
      </c>
      <c r="I75" s="131">
        <f t="shared" si="26"/>
        <v>0</v>
      </c>
      <c r="J75" s="397"/>
      <c r="K75" s="397"/>
      <c r="L75" s="397"/>
      <c r="M75" s="397"/>
      <c r="N75" s="397"/>
      <c r="O75" s="397"/>
      <c r="P75" s="334"/>
      <c r="R75" s="260"/>
      <c r="S75" s="260"/>
      <c r="T75" s="260"/>
      <c r="U75" s="260"/>
      <c r="V75" s="260"/>
      <c r="W75" s="260"/>
      <c r="X75" s="260"/>
      <c r="Y75" s="260"/>
      <c r="AI75" s="396"/>
      <c r="AJ75" s="396"/>
      <c r="AK75" s="396"/>
      <c r="AL75" s="396"/>
      <c r="AM75" s="396"/>
    </row>
    <row r="76" spans="1:39" x14ac:dyDescent="0.25">
      <c r="A76" s="397"/>
      <c r="B76" s="496" t="s">
        <v>1140</v>
      </c>
      <c r="C76" s="1095">
        <f>'Inputs and eligible population'!K111</f>
        <v>0.58374999999999999</v>
      </c>
      <c r="D76" s="131">
        <f t="shared" si="26"/>
        <v>0</v>
      </c>
      <c r="E76" s="131">
        <f t="shared" si="26"/>
        <v>0</v>
      </c>
      <c r="F76" s="131">
        <f t="shared" si="26"/>
        <v>0</v>
      </c>
      <c r="G76" s="131">
        <f t="shared" si="26"/>
        <v>0</v>
      </c>
      <c r="H76" s="131">
        <f t="shared" si="26"/>
        <v>0</v>
      </c>
      <c r="I76" s="131">
        <f t="shared" si="26"/>
        <v>0</v>
      </c>
      <c r="J76" s="397"/>
      <c r="K76" s="397"/>
      <c r="L76" s="397"/>
      <c r="M76" s="397"/>
      <c r="N76" s="397"/>
      <c r="O76" s="397"/>
      <c r="P76" s="334"/>
      <c r="R76" s="260"/>
      <c r="S76" s="260"/>
      <c r="T76" s="260"/>
      <c r="U76" s="260"/>
      <c r="V76" s="260"/>
      <c r="W76" s="260"/>
      <c r="X76" s="260"/>
      <c r="Y76" s="260"/>
      <c r="AI76" s="396"/>
      <c r="AJ76" s="396"/>
      <c r="AK76" s="396"/>
      <c r="AL76" s="396"/>
      <c r="AM76" s="396"/>
    </row>
    <row r="77" spans="1:39" x14ac:dyDescent="0.25">
      <c r="A77" s="397"/>
      <c r="B77" s="496" t="s">
        <v>1141</v>
      </c>
      <c r="C77" s="1095">
        <f>'Inputs and eligible population'!L111</f>
        <v>1</v>
      </c>
      <c r="D77" s="131">
        <f t="shared" si="26"/>
        <v>0</v>
      </c>
      <c r="E77" s="131">
        <f t="shared" si="26"/>
        <v>0</v>
      </c>
      <c r="F77" s="131">
        <f t="shared" si="26"/>
        <v>0</v>
      </c>
      <c r="G77" s="131">
        <f t="shared" si="26"/>
        <v>0</v>
      </c>
      <c r="H77" s="131">
        <f t="shared" si="26"/>
        <v>0</v>
      </c>
      <c r="I77" s="131">
        <f t="shared" si="26"/>
        <v>0</v>
      </c>
      <c r="J77" s="397"/>
      <c r="K77" s="397"/>
      <c r="L77" s="397"/>
      <c r="M77" s="397"/>
      <c r="N77" s="397"/>
      <c r="O77" s="397"/>
      <c r="P77" s="334"/>
      <c r="R77" s="260"/>
      <c r="S77" s="260"/>
      <c r="T77" s="260"/>
      <c r="U77" s="260"/>
      <c r="V77" s="260"/>
      <c r="W77" s="260"/>
      <c r="X77" s="260"/>
      <c r="Y77" s="260"/>
      <c r="AI77" s="396"/>
      <c r="AJ77" s="396"/>
      <c r="AK77" s="396"/>
      <c r="AL77" s="396"/>
      <c r="AM77" s="396"/>
    </row>
    <row r="78" spans="1:39" x14ac:dyDescent="0.25">
      <c r="A78" s="397"/>
      <c r="B78" s="496" t="s">
        <v>1142</v>
      </c>
      <c r="C78" s="1095">
        <f>'Inputs and eligible population'!M111</f>
        <v>3.1675</v>
      </c>
      <c r="D78" s="131">
        <f t="shared" si="26"/>
        <v>0</v>
      </c>
      <c r="E78" s="131">
        <f t="shared" si="26"/>
        <v>0</v>
      </c>
      <c r="F78" s="131">
        <f t="shared" si="26"/>
        <v>0</v>
      </c>
      <c r="G78" s="131">
        <f t="shared" si="26"/>
        <v>0</v>
      </c>
      <c r="H78" s="131">
        <f t="shared" si="26"/>
        <v>0</v>
      </c>
      <c r="I78" s="131">
        <f t="shared" si="26"/>
        <v>0</v>
      </c>
      <c r="J78" s="397"/>
      <c r="K78" s="397"/>
      <c r="L78" s="397"/>
      <c r="M78" s="397"/>
      <c r="N78" s="397"/>
      <c r="O78" s="397"/>
      <c r="P78" s="334"/>
      <c r="R78" s="260"/>
      <c r="S78" s="260"/>
      <c r="T78" s="260"/>
      <c r="U78" s="260"/>
      <c r="V78" s="260"/>
      <c r="W78" s="260"/>
      <c r="X78" s="260"/>
      <c r="Y78" s="260"/>
      <c r="AI78" s="396"/>
      <c r="AJ78" s="396"/>
      <c r="AK78" s="396"/>
      <c r="AL78" s="396"/>
      <c r="AM78" s="396"/>
    </row>
    <row r="79" spans="1:39" x14ac:dyDescent="0.25">
      <c r="A79" s="397"/>
      <c r="B79" s="394" t="s">
        <v>807</v>
      </c>
      <c r="C79" s="444"/>
      <c r="D79" s="313">
        <f t="shared" ref="D79:I79" si="27">SUM(D71:D78)</f>
        <v>0</v>
      </c>
      <c r="E79" s="313">
        <f t="shared" si="27"/>
        <v>0</v>
      </c>
      <c r="F79" s="313">
        <f t="shared" si="27"/>
        <v>0</v>
      </c>
      <c r="G79" s="313">
        <f t="shared" si="27"/>
        <v>0</v>
      </c>
      <c r="H79" s="313">
        <f t="shared" si="27"/>
        <v>0</v>
      </c>
      <c r="I79" s="313">
        <f t="shared" si="27"/>
        <v>0</v>
      </c>
      <c r="J79" s="397"/>
      <c r="K79" s="397"/>
      <c r="L79" s="397"/>
      <c r="M79" s="397"/>
      <c r="N79" s="397"/>
      <c r="O79" s="397"/>
      <c r="P79" s="334"/>
      <c r="R79" s="260"/>
      <c r="S79" s="260"/>
      <c r="T79" s="260"/>
      <c r="U79" s="260"/>
      <c r="V79" s="260"/>
      <c r="W79" s="260"/>
      <c r="X79" s="260"/>
      <c r="Y79" s="260"/>
      <c r="AI79" s="396"/>
      <c r="AJ79" s="396"/>
      <c r="AK79" s="396"/>
      <c r="AL79" s="396"/>
      <c r="AM79" s="396"/>
    </row>
    <row r="80" spans="1:39" x14ac:dyDescent="0.25">
      <c r="A80" s="397"/>
      <c r="B80" s="425"/>
      <c r="C80" s="377"/>
      <c r="D80" s="395" t="s">
        <v>808</v>
      </c>
      <c r="E80" s="313">
        <f>E79-$D$79</f>
        <v>0</v>
      </c>
      <c r="F80" s="313">
        <f>F79-$D$79</f>
        <v>0</v>
      </c>
      <c r="G80" s="313">
        <f>G79-$D$79</f>
        <v>0</v>
      </c>
      <c r="H80" s="313">
        <f>H79-$D$79</f>
        <v>0</v>
      </c>
      <c r="I80" s="313">
        <f>I79-$D$79</f>
        <v>0</v>
      </c>
      <c r="J80" s="397"/>
      <c r="K80" s="397"/>
      <c r="L80" s="397"/>
      <c r="M80" s="397"/>
      <c r="N80" s="397"/>
      <c r="O80" s="397"/>
      <c r="P80" s="334"/>
      <c r="R80" s="260"/>
      <c r="S80" s="260"/>
      <c r="T80" s="260"/>
      <c r="U80" s="260"/>
      <c r="V80" s="260"/>
      <c r="W80" s="260"/>
      <c r="X80" s="260"/>
      <c r="Y80" s="260"/>
      <c r="AI80" s="396"/>
      <c r="AJ80" s="396"/>
      <c r="AK80" s="396"/>
      <c r="AL80" s="396"/>
      <c r="AM80" s="396"/>
    </row>
    <row r="81" spans="1:39" x14ac:dyDescent="0.25">
      <c r="A81" s="397"/>
      <c r="B81" s="446"/>
      <c r="C81" s="334"/>
      <c r="D81" s="334"/>
      <c r="E81" s="334"/>
      <c r="F81" s="334"/>
      <c r="G81" s="334"/>
      <c r="H81" s="334"/>
      <c r="I81" s="334"/>
      <c r="J81" s="334"/>
      <c r="K81" s="397"/>
      <c r="L81" s="397"/>
      <c r="M81" s="397"/>
      <c r="N81" s="397"/>
      <c r="O81" s="397"/>
      <c r="P81" s="334"/>
      <c r="R81" s="260"/>
      <c r="S81" s="260"/>
      <c r="T81" s="260"/>
      <c r="U81" s="260"/>
      <c r="V81" s="260"/>
      <c r="W81" s="260"/>
      <c r="X81" s="260"/>
      <c r="Y81" s="260"/>
      <c r="AI81" s="396"/>
      <c r="AJ81" s="396"/>
      <c r="AK81" s="396"/>
      <c r="AL81" s="396"/>
      <c r="AM81" s="396"/>
    </row>
    <row r="82" spans="1:39" x14ac:dyDescent="0.25">
      <c r="A82" s="397"/>
      <c r="B82" s="559" t="s">
        <v>809</v>
      </c>
      <c r="C82" s="558"/>
      <c r="D82" s="558"/>
      <c r="E82" s="558"/>
      <c r="F82" s="558"/>
      <c r="G82" s="558"/>
      <c r="H82" s="558"/>
      <c r="I82" s="333"/>
      <c r="J82" s="641"/>
      <c r="K82" s="397"/>
      <c r="L82" s="397"/>
      <c r="M82" s="397"/>
      <c r="N82" s="397"/>
      <c r="O82" s="397"/>
      <c r="P82" s="334"/>
      <c r="R82" s="260"/>
      <c r="S82" s="260"/>
      <c r="T82" s="260"/>
      <c r="U82" s="260"/>
      <c r="V82" s="260"/>
      <c r="W82" s="260"/>
      <c r="X82" s="260"/>
      <c r="Y82" s="260"/>
      <c r="AI82" s="396"/>
      <c r="AJ82" s="396"/>
      <c r="AK82" s="396"/>
      <c r="AL82" s="396"/>
      <c r="AM82" s="396"/>
    </row>
    <row r="83" spans="1:39" ht="60" x14ac:dyDescent="0.25">
      <c r="A83" s="397"/>
      <c r="B83" s="393" t="s">
        <v>111</v>
      </c>
      <c r="C83" s="291" t="s">
        <v>1247</v>
      </c>
      <c r="D83" s="629" t="s">
        <v>792</v>
      </c>
      <c r="E83" s="376" t="s">
        <v>56</v>
      </c>
      <c r="F83" s="376" t="s">
        <v>57</v>
      </c>
      <c r="G83" s="290" t="s">
        <v>793</v>
      </c>
      <c r="H83" s="290" t="s">
        <v>794</v>
      </c>
      <c r="I83" s="376" t="s">
        <v>795</v>
      </c>
      <c r="J83" s="397"/>
      <c r="K83" s="334"/>
      <c r="L83" s="334"/>
      <c r="M83" s="334"/>
      <c r="N83" s="334"/>
      <c r="O83" s="334"/>
      <c r="P83" s="334"/>
      <c r="R83" s="260"/>
      <c r="S83" s="260"/>
      <c r="T83" s="260"/>
      <c r="U83" s="260"/>
      <c r="V83" s="260"/>
      <c r="W83" s="260"/>
      <c r="X83" s="260"/>
      <c r="Y83" s="260"/>
      <c r="AI83" s="396"/>
      <c r="AJ83" s="396"/>
      <c r="AK83" s="396"/>
      <c r="AL83" s="396"/>
      <c r="AM83" s="396"/>
    </row>
    <row r="84" spans="1:39" x14ac:dyDescent="0.25">
      <c r="A84" s="397"/>
      <c r="B84" s="496" t="s">
        <v>1135</v>
      </c>
      <c r="C84" s="1106">
        <f>'Inputs and eligible population'!F112</f>
        <v>0</v>
      </c>
      <c r="D84" s="1181">
        <f t="shared" ref="D84" si="28">$C84*D57</f>
        <v>0</v>
      </c>
      <c r="E84" s="1181">
        <f t="shared" ref="E84:I84" si="29">$C84*E57</f>
        <v>0</v>
      </c>
      <c r="F84" s="1181">
        <f t="shared" si="29"/>
        <v>0</v>
      </c>
      <c r="G84" s="1181">
        <f t="shared" si="29"/>
        <v>0</v>
      </c>
      <c r="H84" s="1181">
        <f t="shared" si="29"/>
        <v>0</v>
      </c>
      <c r="I84" s="1181">
        <f t="shared" si="29"/>
        <v>0</v>
      </c>
      <c r="J84" s="397"/>
      <c r="K84" s="334"/>
      <c r="L84" s="334"/>
      <c r="M84" s="334"/>
      <c r="N84" s="334"/>
      <c r="O84" s="334"/>
      <c r="P84" s="334"/>
      <c r="R84" s="260"/>
      <c r="S84" s="260"/>
      <c r="T84" s="260"/>
      <c r="U84" s="260"/>
      <c r="V84" s="260"/>
      <c r="W84" s="260"/>
      <c r="X84" s="260"/>
      <c r="Y84" s="260"/>
      <c r="AI84" s="396"/>
      <c r="AJ84" s="396"/>
      <c r="AK84" s="396"/>
      <c r="AL84" s="396"/>
      <c r="AM84" s="396"/>
    </row>
    <row r="85" spans="1:39" x14ac:dyDescent="0.25">
      <c r="A85" s="397"/>
      <c r="B85" s="496" t="s">
        <v>1136</v>
      </c>
      <c r="C85" s="1106">
        <f>'Inputs and eligible population'!G112</f>
        <v>0</v>
      </c>
      <c r="D85" s="1181">
        <f t="shared" ref="D85:I85" si="30">$C85*D58</f>
        <v>0</v>
      </c>
      <c r="E85" s="1181">
        <f t="shared" si="30"/>
        <v>0</v>
      </c>
      <c r="F85" s="1181">
        <f t="shared" si="30"/>
        <v>0</v>
      </c>
      <c r="G85" s="1181">
        <f t="shared" si="30"/>
        <v>0</v>
      </c>
      <c r="H85" s="1181">
        <f t="shared" si="30"/>
        <v>0</v>
      </c>
      <c r="I85" s="1181">
        <f t="shared" si="30"/>
        <v>0</v>
      </c>
      <c r="J85" s="397"/>
      <c r="K85" s="334"/>
      <c r="L85" s="334"/>
      <c r="M85" s="334"/>
      <c r="N85" s="334"/>
      <c r="O85" s="334"/>
      <c r="P85" s="334"/>
      <c r="R85" s="260"/>
      <c r="S85" s="260"/>
      <c r="T85" s="260"/>
      <c r="U85" s="260"/>
      <c r="V85" s="260"/>
      <c r="W85" s="260"/>
      <c r="X85" s="260"/>
      <c r="Y85" s="260"/>
      <c r="AI85" s="396"/>
      <c r="AJ85" s="396"/>
      <c r="AK85" s="396"/>
      <c r="AL85" s="396"/>
      <c r="AM85" s="396"/>
    </row>
    <row r="86" spans="1:39" x14ac:dyDescent="0.25">
      <c r="A86" s="397"/>
      <c r="B86" s="496" t="s">
        <v>1137</v>
      </c>
      <c r="C86" s="1106">
        <f>'Inputs and eligible population'!H112</f>
        <v>0</v>
      </c>
      <c r="D86" s="1181">
        <f t="shared" ref="D86:I86" si="31">$C86*D59</f>
        <v>0</v>
      </c>
      <c r="E86" s="1181">
        <f t="shared" si="31"/>
        <v>0</v>
      </c>
      <c r="F86" s="1181">
        <f t="shared" si="31"/>
        <v>0</v>
      </c>
      <c r="G86" s="1181">
        <f t="shared" si="31"/>
        <v>0</v>
      </c>
      <c r="H86" s="1181">
        <f t="shared" si="31"/>
        <v>0</v>
      </c>
      <c r="I86" s="1181">
        <f t="shared" si="31"/>
        <v>0</v>
      </c>
      <c r="J86" s="397"/>
      <c r="K86" s="334"/>
      <c r="L86" s="334"/>
      <c r="M86" s="334"/>
      <c r="N86" s="334"/>
      <c r="O86" s="334"/>
      <c r="P86" s="334"/>
      <c r="R86" s="260"/>
      <c r="S86" s="260"/>
      <c r="T86" s="260"/>
      <c r="U86" s="260"/>
      <c r="V86" s="260"/>
      <c r="W86" s="260"/>
      <c r="X86" s="260"/>
      <c r="Y86" s="260"/>
      <c r="AI86" s="396"/>
      <c r="AJ86" s="396"/>
      <c r="AK86" s="396"/>
      <c r="AL86" s="396"/>
      <c r="AM86" s="396"/>
    </row>
    <row r="87" spans="1:39" x14ac:dyDescent="0.25">
      <c r="A87" s="397"/>
      <c r="B87" s="496" t="s">
        <v>1138</v>
      </c>
      <c r="C87" s="1106">
        <f>'Inputs and eligible population'!I112</f>
        <v>0</v>
      </c>
      <c r="D87" s="1181">
        <f t="shared" ref="D87:I87" si="32">$C87*D60</f>
        <v>0</v>
      </c>
      <c r="E87" s="1181">
        <f t="shared" si="32"/>
        <v>0</v>
      </c>
      <c r="F87" s="1181">
        <f t="shared" si="32"/>
        <v>0</v>
      </c>
      <c r="G87" s="1181">
        <f t="shared" si="32"/>
        <v>0</v>
      </c>
      <c r="H87" s="1181">
        <f t="shared" si="32"/>
        <v>0</v>
      </c>
      <c r="I87" s="1181">
        <f t="shared" si="32"/>
        <v>0</v>
      </c>
      <c r="J87" s="397"/>
      <c r="K87" s="334"/>
      <c r="L87" s="334"/>
      <c r="M87" s="334"/>
      <c r="N87" s="334"/>
      <c r="O87" s="334"/>
      <c r="P87" s="334"/>
      <c r="R87" s="260"/>
      <c r="S87" s="260"/>
      <c r="T87" s="260"/>
      <c r="U87" s="260"/>
      <c r="V87" s="260"/>
      <c r="W87" s="260"/>
      <c r="X87" s="260"/>
      <c r="Y87" s="260"/>
      <c r="AI87" s="396"/>
      <c r="AJ87" s="396"/>
      <c r="AK87" s="396"/>
      <c r="AL87" s="396"/>
      <c r="AM87" s="396"/>
    </row>
    <row r="88" spans="1:39" x14ac:dyDescent="0.25">
      <c r="A88" s="397"/>
      <c r="B88" s="496" t="s">
        <v>1139</v>
      </c>
      <c r="C88" s="1106">
        <f>'Inputs and eligible population'!J112</f>
        <v>0</v>
      </c>
      <c r="D88" s="1181">
        <f t="shared" ref="D88:I88" si="33">$C88*D61</f>
        <v>0</v>
      </c>
      <c r="E88" s="1181">
        <f t="shared" si="33"/>
        <v>0</v>
      </c>
      <c r="F88" s="1181">
        <f t="shared" si="33"/>
        <v>0</v>
      </c>
      <c r="G88" s="1181">
        <f t="shared" si="33"/>
        <v>0</v>
      </c>
      <c r="H88" s="1181">
        <f t="shared" si="33"/>
        <v>0</v>
      </c>
      <c r="I88" s="1181">
        <f t="shared" si="33"/>
        <v>0</v>
      </c>
      <c r="J88" s="397"/>
      <c r="K88" s="334"/>
      <c r="L88" s="334"/>
      <c r="M88" s="334"/>
      <c r="N88" s="334"/>
      <c r="O88" s="334"/>
      <c r="P88" s="334"/>
      <c r="R88" s="260"/>
      <c r="S88" s="260"/>
      <c r="T88" s="260"/>
      <c r="U88" s="260"/>
      <c r="V88" s="260"/>
      <c r="W88" s="260"/>
      <c r="X88" s="260"/>
      <c r="Y88" s="260"/>
      <c r="AI88" s="396"/>
      <c r="AJ88" s="396"/>
      <c r="AK88" s="396"/>
      <c r="AL88" s="396"/>
      <c r="AM88" s="396"/>
    </row>
    <row r="89" spans="1:39" x14ac:dyDescent="0.25">
      <c r="A89" s="397"/>
      <c r="B89" s="496" t="s">
        <v>1140</v>
      </c>
      <c r="C89" s="1107">
        <f>'Inputs and eligible population'!K112</f>
        <v>0</v>
      </c>
      <c r="D89" s="1181">
        <f t="shared" ref="D89:I89" si="34">$C89*D62</f>
        <v>0</v>
      </c>
      <c r="E89" s="1181">
        <f t="shared" si="34"/>
        <v>0</v>
      </c>
      <c r="F89" s="1181">
        <f t="shared" si="34"/>
        <v>0</v>
      </c>
      <c r="G89" s="1181">
        <f t="shared" si="34"/>
        <v>0</v>
      </c>
      <c r="H89" s="1181">
        <f t="shared" si="34"/>
        <v>0</v>
      </c>
      <c r="I89" s="1181">
        <f t="shared" si="34"/>
        <v>0</v>
      </c>
      <c r="J89" s="397"/>
      <c r="K89" s="334"/>
      <c r="L89" s="334"/>
      <c r="M89" s="334"/>
      <c r="N89" s="334"/>
      <c r="O89" s="334"/>
      <c r="P89" s="334"/>
      <c r="R89" s="260"/>
      <c r="S89" s="260"/>
      <c r="T89" s="260"/>
      <c r="U89" s="260"/>
      <c r="V89" s="260"/>
      <c r="W89" s="260"/>
      <c r="X89" s="260"/>
      <c r="Y89" s="260"/>
      <c r="AI89" s="396"/>
      <c r="AJ89" s="396"/>
      <c r="AK89" s="396"/>
      <c r="AL89" s="396"/>
      <c r="AM89" s="396"/>
    </row>
    <row r="90" spans="1:39" x14ac:dyDescent="0.25">
      <c r="A90" s="397"/>
      <c r="B90" s="496" t="s">
        <v>1141</v>
      </c>
      <c r="C90" s="1107">
        <f>'Inputs and eligible population'!L112</f>
        <v>0</v>
      </c>
      <c r="D90" s="1181">
        <f t="shared" ref="D90:I90" si="35">$C90*D63</f>
        <v>0</v>
      </c>
      <c r="E90" s="1181">
        <f t="shared" si="35"/>
        <v>0</v>
      </c>
      <c r="F90" s="1181">
        <f t="shared" si="35"/>
        <v>0</v>
      </c>
      <c r="G90" s="1181">
        <f t="shared" si="35"/>
        <v>0</v>
      </c>
      <c r="H90" s="1181">
        <f t="shared" si="35"/>
        <v>0</v>
      </c>
      <c r="I90" s="1181">
        <f t="shared" si="35"/>
        <v>0</v>
      </c>
      <c r="J90" s="397"/>
      <c r="K90" s="334"/>
      <c r="L90" s="334"/>
      <c r="M90" s="334"/>
      <c r="N90" s="334"/>
      <c r="O90" s="334"/>
      <c r="P90" s="334"/>
      <c r="R90" s="260"/>
      <c r="S90" s="260"/>
      <c r="T90" s="260"/>
      <c r="U90" s="260"/>
      <c r="V90" s="260"/>
      <c r="W90" s="260"/>
      <c r="X90" s="260"/>
      <c r="Y90" s="260"/>
      <c r="AI90" s="396"/>
      <c r="AJ90" s="396"/>
      <c r="AK90" s="396"/>
      <c r="AL90" s="396"/>
      <c r="AM90" s="396"/>
    </row>
    <row r="91" spans="1:39" x14ac:dyDescent="0.25">
      <c r="A91" s="397"/>
      <c r="B91" s="496" t="s">
        <v>1142</v>
      </c>
      <c r="C91" s="1107">
        <f>'Inputs and eligible population'!M112</f>
        <v>0</v>
      </c>
      <c r="D91" s="1181">
        <f t="shared" ref="D91:I91" si="36">$C91*D64</f>
        <v>0</v>
      </c>
      <c r="E91" s="1181">
        <f t="shared" si="36"/>
        <v>0</v>
      </c>
      <c r="F91" s="1181">
        <f t="shared" si="36"/>
        <v>0</v>
      </c>
      <c r="G91" s="1181">
        <f t="shared" si="36"/>
        <v>0</v>
      </c>
      <c r="H91" s="1181">
        <f t="shared" si="36"/>
        <v>0</v>
      </c>
      <c r="I91" s="1181">
        <f t="shared" si="36"/>
        <v>0</v>
      </c>
      <c r="J91" s="397"/>
      <c r="K91" s="334"/>
      <c r="L91" s="334"/>
      <c r="M91" s="334"/>
      <c r="N91" s="334"/>
      <c r="O91" s="334"/>
      <c r="P91" s="334"/>
      <c r="R91" s="260"/>
      <c r="S91" s="260"/>
      <c r="T91" s="260"/>
      <c r="U91" s="260"/>
      <c r="V91" s="260"/>
      <c r="W91" s="260"/>
      <c r="X91" s="260"/>
      <c r="Y91" s="260"/>
      <c r="AI91" s="396"/>
      <c r="AJ91" s="396"/>
      <c r="AK91" s="396"/>
      <c r="AL91" s="396"/>
      <c r="AM91" s="396"/>
    </row>
    <row r="92" spans="1:39" x14ac:dyDescent="0.25">
      <c r="A92" s="397"/>
      <c r="B92" s="394" t="s">
        <v>807</v>
      </c>
      <c r="C92" s="444"/>
      <c r="D92" s="313">
        <f t="shared" ref="D92:I92" si="37">SUM(D84:D91)</f>
        <v>0</v>
      </c>
      <c r="E92" s="313">
        <f t="shared" si="37"/>
        <v>0</v>
      </c>
      <c r="F92" s="313">
        <f t="shared" si="37"/>
        <v>0</v>
      </c>
      <c r="G92" s="313">
        <f t="shared" si="37"/>
        <v>0</v>
      </c>
      <c r="H92" s="313">
        <f t="shared" si="37"/>
        <v>0</v>
      </c>
      <c r="I92" s="313">
        <f t="shared" si="37"/>
        <v>0</v>
      </c>
      <c r="J92" s="397"/>
      <c r="K92" s="334"/>
      <c r="L92" s="334"/>
      <c r="M92" s="334"/>
      <c r="N92" s="334"/>
      <c r="O92" s="334"/>
      <c r="P92" s="334"/>
      <c r="R92" s="260"/>
      <c r="S92" s="260"/>
      <c r="T92" s="260"/>
      <c r="U92" s="260"/>
      <c r="V92" s="260"/>
      <c r="W92" s="260"/>
      <c r="X92" s="260"/>
      <c r="Y92" s="260"/>
      <c r="AI92" s="396"/>
      <c r="AJ92" s="396"/>
      <c r="AK92" s="396"/>
      <c r="AL92" s="396"/>
      <c r="AM92" s="396"/>
    </row>
    <row r="93" spans="1:39" x14ac:dyDescent="0.25">
      <c r="A93" s="397"/>
      <c r="B93" s="394"/>
      <c r="C93" s="394"/>
      <c r="D93" s="395" t="s">
        <v>810</v>
      </c>
      <c r="E93" s="313">
        <f>E92-$D$92</f>
        <v>0</v>
      </c>
      <c r="F93" s="313">
        <f>F92-$D$92</f>
        <v>0</v>
      </c>
      <c r="G93" s="313">
        <f>G92-$D$92</f>
        <v>0</v>
      </c>
      <c r="H93" s="313">
        <f>H92-$D$92</f>
        <v>0</v>
      </c>
      <c r="I93" s="313">
        <f>I92-$D$92</f>
        <v>0</v>
      </c>
      <c r="J93" s="397"/>
      <c r="K93" s="334"/>
      <c r="L93" s="334"/>
      <c r="M93" s="334"/>
      <c r="N93" s="334"/>
      <c r="O93" s="334"/>
      <c r="P93" s="334"/>
      <c r="R93" s="260"/>
      <c r="S93" s="260"/>
      <c r="T93" s="260"/>
      <c r="U93" s="260"/>
      <c r="V93" s="260"/>
      <c r="W93" s="260"/>
      <c r="X93" s="260"/>
      <c r="Y93" s="260"/>
      <c r="AI93" s="396"/>
      <c r="AJ93" s="396"/>
      <c r="AK93" s="396"/>
      <c r="AL93" s="396"/>
      <c r="AM93" s="396"/>
    </row>
    <row r="94" spans="1:39" x14ac:dyDescent="0.25">
      <c r="A94" s="397"/>
      <c r="B94" s="446"/>
      <c r="C94" s="334"/>
      <c r="D94" s="334"/>
      <c r="E94" s="334"/>
      <c r="F94" s="334"/>
      <c r="G94" s="334"/>
      <c r="H94" s="334"/>
      <c r="I94" s="334"/>
      <c r="J94" s="334"/>
      <c r="K94" s="334"/>
      <c r="L94" s="334"/>
      <c r="M94" s="334"/>
      <c r="N94" s="334"/>
      <c r="O94" s="334"/>
      <c r="P94" s="334"/>
      <c r="R94" s="260"/>
      <c r="S94" s="260"/>
      <c r="T94" s="260"/>
      <c r="U94" s="260"/>
      <c r="V94" s="260"/>
      <c r="W94" s="260"/>
      <c r="X94" s="260"/>
      <c r="Y94" s="260"/>
      <c r="AI94" s="396"/>
      <c r="AJ94" s="396"/>
      <c r="AK94" s="396"/>
      <c r="AL94" s="396"/>
      <c r="AM94" s="396"/>
    </row>
    <row r="95" spans="1:39" x14ac:dyDescent="0.25">
      <c r="A95" s="397"/>
      <c r="B95" s="559" t="s">
        <v>166</v>
      </c>
      <c r="C95" s="558"/>
      <c r="D95" s="558"/>
      <c r="E95" s="558"/>
      <c r="F95" s="558"/>
      <c r="G95" s="558"/>
      <c r="H95" s="558"/>
      <c r="I95" s="333"/>
      <c r="J95" s="641"/>
      <c r="K95" s="334"/>
      <c r="L95" s="334"/>
      <c r="M95" s="334"/>
      <c r="N95" s="334"/>
      <c r="O95" s="334"/>
      <c r="P95" s="334"/>
      <c r="U95" s="260"/>
      <c r="AI95" s="396"/>
      <c r="AJ95" s="396"/>
      <c r="AK95" s="396"/>
      <c r="AL95" s="396"/>
      <c r="AM95" s="396"/>
    </row>
    <row r="96" spans="1:39" ht="60" x14ac:dyDescent="0.25">
      <c r="A96" s="397"/>
      <c r="B96" s="393" t="s">
        <v>111</v>
      </c>
      <c r="C96" s="291" t="s">
        <v>166</v>
      </c>
      <c r="D96" s="629" t="s">
        <v>792</v>
      </c>
      <c r="E96" s="376" t="s">
        <v>56</v>
      </c>
      <c r="F96" s="376" t="s">
        <v>57</v>
      </c>
      <c r="G96" s="290" t="s">
        <v>793</v>
      </c>
      <c r="H96" s="290" t="s">
        <v>794</v>
      </c>
      <c r="I96" s="376" t="s">
        <v>795</v>
      </c>
      <c r="J96" s="397"/>
      <c r="K96" s="334"/>
      <c r="L96" s="334"/>
      <c r="M96" s="334"/>
      <c r="N96" s="334"/>
      <c r="O96" s="334"/>
      <c r="P96" s="334"/>
      <c r="U96" s="260"/>
      <c r="AI96" s="396"/>
      <c r="AJ96" s="396"/>
      <c r="AK96" s="396"/>
      <c r="AL96" s="396"/>
      <c r="AM96" s="396"/>
    </row>
    <row r="97" spans="1:39" x14ac:dyDescent="0.25">
      <c r="A97" s="397"/>
      <c r="B97" s="496" t="s">
        <v>1135</v>
      </c>
      <c r="C97" s="1095">
        <f>'Inputs and eligible population'!F113</f>
        <v>0</v>
      </c>
      <c r="D97" s="131">
        <f t="shared" ref="D97:I104" si="38">$C97*D57</f>
        <v>0</v>
      </c>
      <c r="E97" s="131">
        <f t="shared" si="38"/>
        <v>0</v>
      </c>
      <c r="F97" s="131">
        <f t="shared" si="38"/>
        <v>0</v>
      </c>
      <c r="G97" s="131">
        <f t="shared" si="38"/>
        <v>0</v>
      </c>
      <c r="H97" s="131">
        <f t="shared" si="38"/>
        <v>0</v>
      </c>
      <c r="I97" s="131">
        <f t="shared" si="38"/>
        <v>0</v>
      </c>
      <c r="J97" s="397"/>
      <c r="K97" s="334"/>
      <c r="L97" s="334"/>
      <c r="M97" s="334"/>
      <c r="N97" s="334"/>
      <c r="O97" s="334"/>
      <c r="P97" s="334"/>
      <c r="U97" s="260"/>
      <c r="AI97" s="396"/>
      <c r="AJ97" s="396"/>
      <c r="AK97" s="396"/>
      <c r="AL97" s="396"/>
      <c r="AM97" s="396"/>
    </row>
    <row r="98" spans="1:39" x14ac:dyDescent="0.25">
      <c r="A98" s="397"/>
      <c r="B98" s="496" t="s">
        <v>1136</v>
      </c>
      <c r="C98" s="1095">
        <f>'Inputs and eligible population'!G113</f>
        <v>0</v>
      </c>
      <c r="D98" s="131">
        <f t="shared" si="38"/>
        <v>0</v>
      </c>
      <c r="E98" s="131">
        <f t="shared" si="38"/>
        <v>0</v>
      </c>
      <c r="F98" s="131">
        <f t="shared" si="38"/>
        <v>0</v>
      </c>
      <c r="G98" s="131">
        <f t="shared" si="38"/>
        <v>0</v>
      </c>
      <c r="H98" s="131">
        <f t="shared" si="38"/>
        <v>0</v>
      </c>
      <c r="I98" s="131">
        <f t="shared" si="38"/>
        <v>0</v>
      </c>
      <c r="J98" s="397"/>
      <c r="K98" s="334"/>
      <c r="L98" s="334"/>
      <c r="M98" s="334"/>
      <c r="N98" s="334"/>
      <c r="O98" s="334"/>
      <c r="P98" s="334"/>
      <c r="U98" s="260"/>
      <c r="AI98" s="396"/>
      <c r="AJ98" s="396"/>
      <c r="AK98" s="396"/>
      <c r="AL98" s="396"/>
      <c r="AM98" s="396"/>
    </row>
    <row r="99" spans="1:39" x14ac:dyDescent="0.25">
      <c r="A99" s="397"/>
      <c r="B99" s="496" t="s">
        <v>1137</v>
      </c>
      <c r="C99" s="1095">
        <f>'Inputs and eligible population'!H113</f>
        <v>0</v>
      </c>
      <c r="D99" s="131">
        <f t="shared" si="38"/>
        <v>0</v>
      </c>
      <c r="E99" s="131">
        <f t="shared" si="38"/>
        <v>0</v>
      </c>
      <c r="F99" s="131">
        <f t="shared" si="38"/>
        <v>0</v>
      </c>
      <c r="G99" s="131">
        <f t="shared" si="38"/>
        <v>0</v>
      </c>
      <c r="H99" s="131">
        <f t="shared" si="38"/>
        <v>0</v>
      </c>
      <c r="I99" s="131">
        <f t="shared" si="38"/>
        <v>0</v>
      </c>
      <c r="J99" s="397"/>
      <c r="K99" s="334"/>
      <c r="L99" s="334"/>
      <c r="M99" s="334"/>
      <c r="N99" s="334"/>
      <c r="O99" s="334"/>
      <c r="P99" s="334"/>
      <c r="U99" s="260"/>
      <c r="AI99" s="396"/>
      <c r="AJ99" s="396"/>
      <c r="AK99" s="396"/>
      <c r="AL99" s="396"/>
      <c r="AM99" s="396"/>
    </row>
    <row r="100" spans="1:39" x14ac:dyDescent="0.25">
      <c r="A100" s="397"/>
      <c r="B100" s="496" t="s">
        <v>1138</v>
      </c>
      <c r="C100" s="1095">
        <f>'Inputs and eligible population'!I113</f>
        <v>0</v>
      </c>
      <c r="D100" s="131">
        <f t="shared" si="38"/>
        <v>0</v>
      </c>
      <c r="E100" s="131">
        <f t="shared" si="38"/>
        <v>0</v>
      </c>
      <c r="F100" s="131">
        <f t="shared" si="38"/>
        <v>0</v>
      </c>
      <c r="G100" s="131">
        <f t="shared" si="38"/>
        <v>0</v>
      </c>
      <c r="H100" s="131">
        <f t="shared" si="38"/>
        <v>0</v>
      </c>
      <c r="I100" s="131">
        <f t="shared" si="38"/>
        <v>0</v>
      </c>
      <c r="J100" s="397"/>
      <c r="K100" s="334"/>
      <c r="L100" s="334"/>
      <c r="M100" s="334"/>
      <c r="N100" s="334"/>
      <c r="O100" s="334"/>
      <c r="P100" s="334"/>
      <c r="U100" s="260"/>
      <c r="AI100" s="396"/>
      <c r="AJ100" s="396"/>
      <c r="AK100" s="396"/>
      <c r="AL100" s="396"/>
      <c r="AM100" s="396"/>
    </row>
    <row r="101" spans="1:39" x14ac:dyDescent="0.25">
      <c r="A101" s="397"/>
      <c r="B101" s="496" t="s">
        <v>1139</v>
      </c>
      <c r="C101" s="1095">
        <f>'Inputs and eligible population'!J113</f>
        <v>0</v>
      </c>
      <c r="D101" s="131">
        <f t="shared" si="38"/>
        <v>0</v>
      </c>
      <c r="E101" s="131">
        <f t="shared" si="38"/>
        <v>0</v>
      </c>
      <c r="F101" s="131">
        <f t="shared" si="38"/>
        <v>0</v>
      </c>
      <c r="G101" s="131">
        <f t="shared" si="38"/>
        <v>0</v>
      </c>
      <c r="H101" s="131">
        <f t="shared" si="38"/>
        <v>0</v>
      </c>
      <c r="I101" s="131">
        <f t="shared" si="38"/>
        <v>0</v>
      </c>
      <c r="J101" s="397"/>
      <c r="K101" s="334"/>
      <c r="L101" s="334"/>
      <c r="M101" s="334"/>
      <c r="N101" s="334"/>
      <c r="O101" s="334"/>
      <c r="P101" s="334"/>
      <c r="U101" s="260"/>
      <c r="AI101" s="396"/>
      <c r="AJ101" s="396"/>
      <c r="AK101" s="396"/>
      <c r="AL101" s="396"/>
      <c r="AM101" s="396"/>
    </row>
    <row r="102" spans="1:39" x14ac:dyDescent="0.25">
      <c r="A102" s="397"/>
      <c r="B102" s="496" t="s">
        <v>1140</v>
      </c>
      <c r="C102" s="1095">
        <f>'Inputs and eligible population'!K113</f>
        <v>0</v>
      </c>
      <c r="D102" s="131">
        <f t="shared" si="38"/>
        <v>0</v>
      </c>
      <c r="E102" s="131">
        <f t="shared" si="38"/>
        <v>0</v>
      </c>
      <c r="F102" s="131">
        <f t="shared" si="38"/>
        <v>0</v>
      </c>
      <c r="G102" s="131">
        <f t="shared" si="38"/>
        <v>0</v>
      </c>
      <c r="H102" s="131">
        <f t="shared" si="38"/>
        <v>0</v>
      </c>
      <c r="I102" s="131">
        <f t="shared" si="38"/>
        <v>0</v>
      </c>
      <c r="J102" s="397"/>
      <c r="K102" s="334"/>
      <c r="L102" s="334"/>
      <c r="M102" s="334"/>
      <c r="N102" s="334"/>
      <c r="O102" s="334"/>
      <c r="P102" s="334"/>
      <c r="U102" s="260"/>
      <c r="AI102" s="396"/>
      <c r="AJ102" s="396"/>
      <c r="AK102" s="396"/>
      <c r="AL102" s="396"/>
      <c r="AM102" s="396"/>
    </row>
    <row r="103" spans="1:39" x14ac:dyDescent="0.25">
      <c r="A103" s="397"/>
      <c r="B103" s="496" t="s">
        <v>1141</v>
      </c>
      <c r="C103" s="1095">
        <f>'Inputs and eligible population'!L113</f>
        <v>0</v>
      </c>
      <c r="D103" s="131">
        <f t="shared" si="38"/>
        <v>0</v>
      </c>
      <c r="E103" s="131">
        <f t="shared" si="38"/>
        <v>0</v>
      </c>
      <c r="F103" s="131">
        <f t="shared" si="38"/>
        <v>0</v>
      </c>
      <c r="G103" s="131">
        <f t="shared" si="38"/>
        <v>0</v>
      </c>
      <c r="H103" s="131">
        <f t="shared" si="38"/>
        <v>0</v>
      </c>
      <c r="I103" s="131">
        <f t="shared" si="38"/>
        <v>0</v>
      </c>
      <c r="J103" s="397"/>
      <c r="K103" s="334"/>
      <c r="L103" s="334"/>
      <c r="M103" s="334"/>
      <c r="N103" s="334"/>
      <c r="O103" s="334"/>
      <c r="P103" s="334"/>
      <c r="U103" s="260"/>
      <c r="AI103" s="396"/>
      <c r="AJ103" s="396"/>
      <c r="AK103" s="396"/>
      <c r="AL103" s="396"/>
      <c r="AM103" s="396"/>
    </row>
    <row r="104" spans="1:39" x14ac:dyDescent="0.25">
      <c r="A104" s="397"/>
      <c r="B104" s="496" t="s">
        <v>1142</v>
      </c>
      <c r="C104" s="1095">
        <f>'Inputs and eligible population'!M113</f>
        <v>0</v>
      </c>
      <c r="D104" s="131">
        <f t="shared" si="38"/>
        <v>0</v>
      </c>
      <c r="E104" s="131">
        <f t="shared" si="38"/>
        <v>0</v>
      </c>
      <c r="F104" s="131">
        <f t="shared" si="38"/>
        <v>0</v>
      </c>
      <c r="G104" s="131">
        <f t="shared" si="38"/>
        <v>0</v>
      </c>
      <c r="H104" s="131">
        <f t="shared" si="38"/>
        <v>0</v>
      </c>
      <c r="I104" s="131">
        <f t="shared" si="38"/>
        <v>0</v>
      </c>
      <c r="J104" s="397"/>
      <c r="K104" s="334"/>
      <c r="L104" s="334"/>
      <c r="M104" s="334"/>
      <c r="N104" s="334"/>
      <c r="O104" s="334"/>
      <c r="P104" s="334"/>
      <c r="U104" s="260"/>
      <c r="AI104" s="396"/>
      <c r="AJ104" s="396"/>
      <c r="AK104" s="396"/>
      <c r="AL104" s="396"/>
      <c r="AM104" s="396"/>
    </row>
    <row r="105" spans="1:39" x14ac:dyDescent="0.25">
      <c r="A105" s="397"/>
      <c r="B105" s="394"/>
      <c r="C105" s="394"/>
      <c r="D105" s="313">
        <f t="shared" ref="D105:I105" si="39">SUM(D97:D104)</f>
        <v>0</v>
      </c>
      <c r="E105" s="313">
        <f t="shared" si="39"/>
        <v>0</v>
      </c>
      <c r="F105" s="313">
        <f t="shared" si="39"/>
        <v>0</v>
      </c>
      <c r="G105" s="313">
        <f t="shared" si="39"/>
        <v>0</v>
      </c>
      <c r="H105" s="313">
        <f t="shared" si="39"/>
        <v>0</v>
      </c>
      <c r="I105" s="313">
        <f t="shared" si="39"/>
        <v>0</v>
      </c>
      <c r="J105" s="397"/>
      <c r="K105" s="334"/>
      <c r="L105" s="334"/>
      <c r="M105" s="334"/>
      <c r="N105" s="334"/>
      <c r="O105" s="334"/>
      <c r="P105" s="334"/>
      <c r="Q105" s="260"/>
      <c r="R105" s="260"/>
      <c r="S105" s="260"/>
      <c r="T105" s="260"/>
      <c r="U105" s="260"/>
      <c r="V105" s="260"/>
      <c r="W105" s="260"/>
      <c r="X105" s="260"/>
      <c r="Y105" s="260"/>
      <c r="AI105" s="396"/>
      <c r="AJ105" s="396"/>
      <c r="AK105" s="396"/>
      <c r="AL105" s="396"/>
      <c r="AM105" s="396"/>
    </row>
    <row r="106" spans="1:39" x14ac:dyDescent="0.25">
      <c r="A106" s="397"/>
      <c r="B106" s="425"/>
      <c r="C106" s="394"/>
      <c r="D106" s="395" t="s">
        <v>811</v>
      </c>
      <c r="E106" s="313">
        <f>E105-$D$105</f>
        <v>0</v>
      </c>
      <c r="F106" s="313">
        <f>F105-$D$105</f>
        <v>0</v>
      </c>
      <c r="G106" s="313">
        <f>G105-$D$105</f>
        <v>0</v>
      </c>
      <c r="H106" s="313">
        <f>H105-$D$105</f>
        <v>0</v>
      </c>
      <c r="I106" s="313">
        <f>I105-$D$105</f>
        <v>0</v>
      </c>
      <c r="J106" s="397"/>
      <c r="K106" s="334"/>
      <c r="L106" s="334"/>
      <c r="M106" s="334"/>
      <c r="N106" s="334"/>
      <c r="O106" s="334"/>
      <c r="P106" s="334"/>
      <c r="Q106" s="260"/>
      <c r="R106" s="260"/>
      <c r="S106" s="260"/>
      <c r="T106" s="260"/>
      <c r="U106" s="260"/>
      <c r="V106" s="260"/>
      <c r="W106" s="260"/>
      <c r="X106" s="260"/>
      <c r="Y106" s="260"/>
      <c r="AI106" s="396"/>
      <c r="AJ106" s="396"/>
      <c r="AK106" s="396"/>
      <c r="AL106" s="396"/>
      <c r="AM106" s="396"/>
    </row>
    <row r="107" spans="1:39" x14ac:dyDescent="0.25">
      <c r="A107" s="397"/>
      <c r="B107" s="446"/>
      <c r="C107" s="334"/>
      <c r="D107" s="334"/>
      <c r="E107" s="334"/>
      <c r="F107" s="334"/>
      <c r="G107" s="334"/>
      <c r="H107" s="334"/>
      <c r="I107" s="334"/>
      <c r="J107" s="397"/>
      <c r="K107" s="334"/>
      <c r="L107" s="334"/>
      <c r="M107" s="334"/>
      <c r="N107" s="334"/>
      <c r="O107" s="334"/>
      <c r="P107" s="334"/>
      <c r="Q107" s="260"/>
      <c r="R107" s="260"/>
      <c r="S107" s="260"/>
      <c r="T107" s="260"/>
      <c r="U107" s="260"/>
      <c r="V107" s="260"/>
      <c r="W107" s="260"/>
      <c r="X107" s="260"/>
      <c r="Y107" s="260"/>
      <c r="AI107" s="396"/>
      <c r="AJ107" s="396"/>
      <c r="AK107" s="396"/>
      <c r="AL107" s="396"/>
      <c r="AM107" s="396"/>
    </row>
    <row r="108" spans="1:39" x14ac:dyDescent="0.25">
      <c r="A108" s="399"/>
      <c r="B108" s="449" t="s">
        <v>812</v>
      </c>
      <c r="C108" s="430"/>
      <c r="D108" s="429"/>
      <c r="E108" s="430"/>
      <c r="F108" s="431"/>
      <c r="G108" s="432"/>
      <c r="H108" s="432"/>
      <c r="I108" s="529"/>
      <c r="J108" s="399"/>
      <c r="K108" s="399"/>
      <c r="L108" s="399"/>
      <c r="M108" s="399"/>
      <c r="N108" s="399"/>
      <c r="O108" s="399"/>
      <c r="P108" s="399"/>
      <c r="Q108" s="260"/>
      <c r="R108" s="260"/>
      <c r="S108" s="260"/>
      <c r="T108" s="260"/>
      <c r="U108" s="260"/>
      <c r="V108" s="260"/>
      <c r="W108" s="260"/>
      <c r="X108" s="260"/>
      <c r="Y108" s="260"/>
      <c r="AI108" s="396"/>
      <c r="AJ108" s="396"/>
      <c r="AK108" s="396"/>
      <c r="AL108" s="396"/>
      <c r="AM108" s="396"/>
    </row>
    <row r="109" spans="1:39" x14ac:dyDescent="0.25">
      <c r="A109" s="399"/>
      <c r="B109" s="560" t="s">
        <v>813</v>
      </c>
      <c r="C109" s="561"/>
      <c r="D109" s="561"/>
      <c r="E109" s="561"/>
      <c r="F109" s="561"/>
      <c r="G109" s="561"/>
      <c r="H109" s="561"/>
      <c r="I109" s="337"/>
      <c r="J109" s="399"/>
      <c r="K109" s="399"/>
      <c r="L109" s="399"/>
      <c r="M109" s="399"/>
      <c r="N109" s="399"/>
      <c r="O109" s="399"/>
      <c r="P109" s="399"/>
      <c r="Q109" s="260"/>
      <c r="R109" s="260"/>
      <c r="S109" s="260"/>
      <c r="T109" s="260"/>
      <c r="U109" s="260"/>
      <c r="V109" s="260"/>
      <c r="W109" s="260"/>
      <c r="X109" s="260"/>
      <c r="Y109" s="260"/>
      <c r="AI109" s="396"/>
      <c r="AJ109" s="396"/>
      <c r="AK109" s="396"/>
      <c r="AL109" s="396"/>
      <c r="AM109" s="396"/>
    </row>
    <row r="110" spans="1:39" ht="60" x14ac:dyDescent="0.25">
      <c r="A110" s="399"/>
      <c r="B110" s="390" t="s">
        <v>111</v>
      </c>
      <c r="C110" s="291" t="s">
        <v>814</v>
      </c>
      <c r="D110" s="629" t="s">
        <v>792</v>
      </c>
      <c r="E110" s="376" t="s">
        <v>56</v>
      </c>
      <c r="F110" s="376" t="s">
        <v>57</v>
      </c>
      <c r="G110" s="290" t="s">
        <v>793</v>
      </c>
      <c r="H110" s="290" t="s">
        <v>794</v>
      </c>
      <c r="I110" s="376" t="s">
        <v>795</v>
      </c>
      <c r="J110" s="399"/>
      <c r="K110" s="399"/>
      <c r="L110" s="399"/>
      <c r="M110" s="399"/>
      <c r="N110" s="399"/>
      <c r="O110" s="399"/>
      <c r="P110" s="399"/>
      <c r="Q110" s="260"/>
      <c r="R110" s="260"/>
      <c r="S110" s="260"/>
      <c r="T110" s="260"/>
      <c r="U110" s="260"/>
      <c r="V110" s="260"/>
      <c r="W110" s="260"/>
      <c r="X110" s="260"/>
      <c r="Y110" s="260"/>
      <c r="AI110" s="396"/>
      <c r="AJ110" s="396"/>
      <c r="AK110" s="396"/>
      <c r="AL110" s="396"/>
      <c r="AM110" s="396"/>
    </row>
    <row r="111" spans="1:39" x14ac:dyDescent="0.25">
      <c r="A111" s="399"/>
      <c r="B111" s="496" t="s">
        <v>1135</v>
      </c>
      <c r="C111" s="131">
        <f>'Inputs and eligible population'!F$116</f>
        <v>0</v>
      </c>
      <c r="D111" s="131">
        <f>$C111*D57</f>
        <v>0</v>
      </c>
      <c r="E111" s="131">
        <f t="shared" ref="E111:I111" si="40">$C111*E57</f>
        <v>0</v>
      </c>
      <c r="F111" s="131">
        <f t="shared" si="40"/>
        <v>0</v>
      </c>
      <c r="G111" s="131">
        <f t="shared" si="40"/>
        <v>0</v>
      </c>
      <c r="H111" s="131">
        <f t="shared" si="40"/>
        <v>0</v>
      </c>
      <c r="I111" s="131">
        <f t="shared" si="40"/>
        <v>0</v>
      </c>
      <c r="J111" s="399"/>
      <c r="K111" s="399"/>
      <c r="L111" s="399"/>
      <c r="M111" s="399"/>
      <c r="N111" s="399"/>
      <c r="O111" s="399"/>
      <c r="P111" s="399"/>
      <c r="Q111" s="260"/>
      <c r="R111" s="260"/>
      <c r="S111" s="260"/>
      <c r="T111" s="260"/>
      <c r="U111" s="260"/>
      <c r="V111" s="260"/>
      <c r="W111" s="260"/>
      <c r="X111" s="260"/>
      <c r="Y111" s="260"/>
      <c r="AI111" s="396"/>
      <c r="AJ111" s="396"/>
      <c r="AK111" s="396"/>
      <c r="AL111" s="396"/>
      <c r="AM111" s="396"/>
    </row>
    <row r="112" spans="1:39" x14ac:dyDescent="0.25">
      <c r="A112" s="399"/>
      <c r="B112" s="496" t="s">
        <v>1136</v>
      </c>
      <c r="C112" s="131">
        <f>'Inputs and eligible population'!G$116</f>
        <v>0</v>
      </c>
      <c r="D112" s="131">
        <f t="shared" ref="D112:I112" si="41">$C112*D58</f>
        <v>0</v>
      </c>
      <c r="E112" s="131">
        <f t="shared" si="41"/>
        <v>0</v>
      </c>
      <c r="F112" s="131">
        <f t="shared" si="41"/>
        <v>0</v>
      </c>
      <c r="G112" s="131">
        <f t="shared" si="41"/>
        <v>0</v>
      </c>
      <c r="H112" s="131">
        <f t="shared" si="41"/>
        <v>0</v>
      </c>
      <c r="I112" s="131">
        <f t="shared" si="41"/>
        <v>0</v>
      </c>
      <c r="J112" s="399"/>
      <c r="K112" s="399"/>
      <c r="L112" s="399"/>
      <c r="M112" s="399"/>
      <c r="N112" s="399"/>
      <c r="O112" s="399"/>
      <c r="P112" s="399"/>
      <c r="Q112" s="260"/>
      <c r="R112" s="260"/>
      <c r="S112" s="260"/>
      <c r="T112" s="260"/>
      <c r="U112" s="260"/>
      <c r="V112" s="260"/>
      <c r="W112" s="260"/>
      <c r="X112" s="260"/>
      <c r="Y112" s="260"/>
      <c r="AI112" s="396"/>
      <c r="AJ112" s="396"/>
      <c r="AK112" s="396"/>
      <c r="AL112" s="396"/>
      <c r="AM112" s="396"/>
    </row>
    <row r="113" spans="1:39" x14ac:dyDescent="0.25">
      <c r="A113" s="399"/>
      <c r="B113" s="496" t="s">
        <v>1137</v>
      </c>
      <c r="C113" s="131">
        <f>'Inputs and eligible population'!H$116</f>
        <v>0</v>
      </c>
      <c r="D113" s="131">
        <f t="shared" ref="D113:I113" si="42">$C113*D59</f>
        <v>0</v>
      </c>
      <c r="E113" s="131">
        <f t="shared" si="42"/>
        <v>0</v>
      </c>
      <c r="F113" s="131">
        <f t="shared" si="42"/>
        <v>0</v>
      </c>
      <c r="G113" s="131">
        <f t="shared" si="42"/>
        <v>0</v>
      </c>
      <c r="H113" s="131">
        <f t="shared" si="42"/>
        <v>0</v>
      </c>
      <c r="I113" s="131">
        <f t="shared" si="42"/>
        <v>0</v>
      </c>
      <c r="J113" s="399"/>
      <c r="K113" s="399"/>
      <c r="L113" s="399"/>
      <c r="M113" s="399"/>
      <c r="N113" s="399"/>
      <c r="O113" s="399"/>
      <c r="P113" s="399"/>
      <c r="Q113" s="260"/>
      <c r="R113" s="260"/>
      <c r="S113" s="260"/>
      <c r="T113" s="260"/>
      <c r="U113" s="260"/>
      <c r="V113" s="260"/>
      <c r="W113" s="260"/>
      <c r="X113" s="260"/>
      <c r="Y113" s="260"/>
      <c r="AI113" s="396"/>
      <c r="AJ113" s="396"/>
      <c r="AK113" s="396"/>
      <c r="AL113" s="396"/>
      <c r="AM113" s="396"/>
    </row>
    <row r="114" spans="1:39" x14ac:dyDescent="0.25">
      <c r="A114" s="399"/>
      <c r="B114" s="496" t="s">
        <v>1138</v>
      </c>
      <c r="C114" s="131">
        <f>'Inputs and eligible population'!I$116</f>
        <v>0</v>
      </c>
      <c r="D114" s="131">
        <f t="shared" ref="D114:I114" si="43">$C114*D60</f>
        <v>0</v>
      </c>
      <c r="E114" s="131">
        <f t="shared" si="43"/>
        <v>0</v>
      </c>
      <c r="F114" s="131">
        <f t="shared" si="43"/>
        <v>0</v>
      </c>
      <c r="G114" s="131">
        <f t="shared" si="43"/>
        <v>0</v>
      </c>
      <c r="H114" s="131">
        <f t="shared" si="43"/>
        <v>0</v>
      </c>
      <c r="I114" s="131">
        <f t="shared" si="43"/>
        <v>0</v>
      </c>
      <c r="J114" s="399"/>
      <c r="K114" s="399"/>
      <c r="L114" s="399"/>
      <c r="M114" s="399"/>
      <c r="N114" s="399"/>
      <c r="O114" s="399"/>
      <c r="P114" s="399"/>
      <c r="Q114" s="260"/>
      <c r="R114" s="260"/>
      <c r="S114" s="260"/>
      <c r="T114" s="260"/>
      <c r="U114" s="260"/>
      <c r="V114" s="260"/>
      <c r="W114" s="260"/>
      <c r="X114" s="260"/>
      <c r="Y114" s="260"/>
      <c r="AI114" s="396"/>
      <c r="AJ114" s="396"/>
      <c r="AK114" s="396"/>
      <c r="AL114" s="396"/>
      <c r="AM114" s="396"/>
    </row>
    <row r="115" spans="1:39" x14ac:dyDescent="0.25">
      <c r="A115" s="399"/>
      <c r="B115" s="496" t="s">
        <v>1139</v>
      </c>
      <c r="C115" s="131">
        <f>'Inputs and eligible population'!J$116</f>
        <v>0</v>
      </c>
      <c r="D115" s="131">
        <f t="shared" ref="D115:I115" si="44">$C115*D61</f>
        <v>0</v>
      </c>
      <c r="E115" s="131">
        <f t="shared" si="44"/>
        <v>0</v>
      </c>
      <c r="F115" s="131">
        <f t="shared" si="44"/>
        <v>0</v>
      </c>
      <c r="G115" s="131">
        <f t="shared" si="44"/>
        <v>0</v>
      </c>
      <c r="H115" s="131">
        <f t="shared" si="44"/>
        <v>0</v>
      </c>
      <c r="I115" s="131">
        <f t="shared" si="44"/>
        <v>0</v>
      </c>
      <c r="J115" s="399"/>
      <c r="K115" s="399"/>
      <c r="L115" s="399"/>
      <c r="M115" s="399"/>
      <c r="N115" s="399"/>
      <c r="O115" s="399"/>
      <c r="P115" s="399"/>
      <c r="Q115" s="260"/>
      <c r="R115" s="260"/>
      <c r="S115" s="260"/>
      <c r="T115" s="260"/>
      <c r="U115" s="260"/>
      <c r="V115" s="260"/>
      <c r="W115" s="260"/>
      <c r="X115" s="260"/>
      <c r="Y115" s="260"/>
      <c r="AI115" s="396"/>
      <c r="AJ115" s="396"/>
      <c r="AK115" s="396"/>
      <c r="AL115" s="396"/>
      <c r="AM115" s="396"/>
    </row>
    <row r="116" spans="1:39" x14ac:dyDescent="0.25">
      <c r="A116" s="399"/>
      <c r="B116" s="496" t="s">
        <v>1140</v>
      </c>
      <c r="C116" s="131">
        <f>'Inputs and eligible population'!K$116</f>
        <v>0</v>
      </c>
      <c r="D116" s="131">
        <f t="shared" ref="D116:I116" si="45">$C116*D62</f>
        <v>0</v>
      </c>
      <c r="E116" s="131">
        <f t="shared" si="45"/>
        <v>0</v>
      </c>
      <c r="F116" s="131">
        <f t="shared" si="45"/>
        <v>0</v>
      </c>
      <c r="G116" s="131">
        <f t="shared" si="45"/>
        <v>0</v>
      </c>
      <c r="H116" s="131">
        <f t="shared" si="45"/>
        <v>0</v>
      </c>
      <c r="I116" s="131">
        <f t="shared" si="45"/>
        <v>0</v>
      </c>
      <c r="J116" s="399"/>
      <c r="K116" s="399"/>
      <c r="L116" s="399"/>
      <c r="M116" s="399"/>
      <c r="N116" s="399"/>
      <c r="O116" s="399"/>
      <c r="P116" s="399"/>
      <c r="Q116" s="260"/>
      <c r="R116" s="260"/>
      <c r="S116" s="260"/>
      <c r="T116" s="260"/>
      <c r="U116" s="260"/>
      <c r="V116" s="260"/>
      <c r="W116" s="260"/>
      <c r="X116" s="260"/>
      <c r="Y116" s="260"/>
      <c r="AI116" s="396"/>
      <c r="AJ116" s="396"/>
      <c r="AK116" s="396"/>
      <c r="AL116" s="396"/>
      <c r="AM116" s="396"/>
    </row>
    <row r="117" spans="1:39" x14ac:dyDescent="0.25">
      <c r="A117" s="399"/>
      <c r="B117" s="496" t="s">
        <v>1141</v>
      </c>
      <c r="C117" s="131">
        <f>'Inputs and eligible population'!L$116</f>
        <v>0</v>
      </c>
      <c r="D117" s="131">
        <f t="shared" ref="D117:I117" si="46">$C117*D63</f>
        <v>0</v>
      </c>
      <c r="E117" s="131">
        <f t="shared" si="46"/>
        <v>0</v>
      </c>
      <c r="F117" s="131">
        <f t="shared" si="46"/>
        <v>0</v>
      </c>
      <c r="G117" s="131">
        <f t="shared" si="46"/>
        <v>0</v>
      </c>
      <c r="H117" s="131">
        <f t="shared" si="46"/>
        <v>0</v>
      </c>
      <c r="I117" s="131">
        <f t="shared" si="46"/>
        <v>0</v>
      </c>
      <c r="J117" s="399"/>
      <c r="K117" s="399"/>
      <c r="L117" s="399"/>
      <c r="M117" s="399"/>
      <c r="N117" s="399"/>
      <c r="O117" s="399"/>
      <c r="P117" s="399"/>
      <c r="Q117" s="260"/>
      <c r="R117" s="260"/>
      <c r="S117" s="260"/>
      <c r="T117" s="260"/>
      <c r="U117" s="260"/>
      <c r="V117" s="260"/>
      <c r="W117" s="260"/>
      <c r="X117" s="260"/>
      <c r="Y117" s="260"/>
      <c r="AI117" s="396"/>
      <c r="AJ117" s="396"/>
      <c r="AK117" s="396"/>
      <c r="AL117" s="396"/>
      <c r="AM117" s="396"/>
    </row>
    <row r="118" spans="1:39" x14ac:dyDescent="0.25">
      <c r="A118" s="399"/>
      <c r="B118" s="496" t="s">
        <v>1142</v>
      </c>
      <c r="C118" s="131">
        <f>'Inputs and eligible population'!M$116</f>
        <v>0</v>
      </c>
      <c r="D118" s="131">
        <f t="shared" ref="D118:I118" si="47">$C118*D64</f>
        <v>0</v>
      </c>
      <c r="E118" s="131">
        <f t="shared" si="47"/>
        <v>0</v>
      </c>
      <c r="F118" s="131">
        <f t="shared" si="47"/>
        <v>0</v>
      </c>
      <c r="G118" s="131">
        <f t="shared" si="47"/>
        <v>0</v>
      </c>
      <c r="H118" s="131">
        <f t="shared" si="47"/>
        <v>0</v>
      </c>
      <c r="I118" s="131">
        <f t="shared" si="47"/>
        <v>0</v>
      </c>
      <c r="J118" s="399"/>
      <c r="K118" s="399"/>
      <c r="L118" s="399"/>
      <c r="M118" s="399"/>
      <c r="N118" s="399"/>
      <c r="O118" s="399"/>
      <c r="P118" s="399"/>
      <c r="Q118" s="260"/>
      <c r="R118" s="260"/>
      <c r="S118" s="260"/>
      <c r="T118" s="260"/>
      <c r="U118" s="260"/>
      <c r="V118" s="260"/>
      <c r="W118" s="260"/>
      <c r="X118" s="260"/>
      <c r="Y118" s="260"/>
      <c r="AI118" s="396"/>
      <c r="AJ118" s="396"/>
      <c r="AK118" s="396"/>
      <c r="AL118" s="396"/>
      <c r="AM118" s="396"/>
    </row>
    <row r="119" spans="1:39" x14ac:dyDescent="0.25">
      <c r="A119" s="399"/>
      <c r="B119" s="394"/>
      <c r="C119" s="327"/>
      <c r="D119" s="313">
        <f t="shared" ref="D119:I119" si="48">SUM(D111:D118)</f>
        <v>0</v>
      </c>
      <c r="E119" s="313">
        <f t="shared" si="48"/>
        <v>0</v>
      </c>
      <c r="F119" s="313">
        <f t="shared" si="48"/>
        <v>0</v>
      </c>
      <c r="G119" s="313">
        <f t="shared" si="48"/>
        <v>0</v>
      </c>
      <c r="H119" s="313">
        <f t="shared" si="48"/>
        <v>0</v>
      </c>
      <c r="I119" s="313">
        <f t="shared" si="48"/>
        <v>0</v>
      </c>
      <c r="J119" s="399"/>
      <c r="K119" s="399"/>
      <c r="L119" s="399"/>
      <c r="M119" s="399"/>
      <c r="N119" s="399"/>
      <c r="O119" s="399"/>
      <c r="P119" s="399"/>
      <c r="Q119" s="260"/>
      <c r="R119" s="260"/>
      <c r="S119" s="260"/>
      <c r="T119" s="260"/>
      <c r="U119" s="260"/>
      <c r="V119" s="260"/>
      <c r="W119" s="260"/>
      <c r="X119" s="260"/>
      <c r="Y119" s="260"/>
      <c r="AI119" s="396"/>
      <c r="AJ119" s="396"/>
      <c r="AK119" s="396"/>
      <c r="AL119" s="396"/>
      <c r="AM119" s="396"/>
    </row>
    <row r="120" spans="1:39" x14ac:dyDescent="0.25">
      <c r="A120" s="399"/>
      <c r="B120" s="425"/>
      <c r="C120" s="342"/>
      <c r="D120" s="395" t="s">
        <v>168</v>
      </c>
      <c r="E120" s="313">
        <f>E119-$D$119</f>
        <v>0</v>
      </c>
      <c r="F120" s="313">
        <f>F119-$D$119</f>
        <v>0</v>
      </c>
      <c r="G120" s="313">
        <f>G119-$D$119</f>
        <v>0</v>
      </c>
      <c r="H120" s="313">
        <f>H119-$D$119</f>
        <v>0</v>
      </c>
      <c r="I120" s="313">
        <f>I119-$D$119</f>
        <v>0</v>
      </c>
      <c r="J120" s="399"/>
      <c r="K120" s="399"/>
      <c r="L120" s="399"/>
      <c r="M120" s="399"/>
      <c r="N120" s="399"/>
      <c r="O120" s="399"/>
      <c r="P120" s="399"/>
      <c r="Q120" s="260"/>
      <c r="R120" s="260"/>
      <c r="S120" s="260"/>
      <c r="T120" s="260"/>
      <c r="U120" s="260"/>
      <c r="V120" s="260"/>
      <c r="W120" s="260"/>
      <c r="X120" s="260"/>
      <c r="Y120" s="260"/>
      <c r="AI120" s="396"/>
      <c r="AJ120" s="396"/>
      <c r="AK120" s="396"/>
      <c r="AL120" s="396"/>
      <c r="AM120" s="396"/>
    </row>
    <row r="121" spans="1:39" x14ac:dyDescent="0.25">
      <c r="A121" s="399"/>
      <c r="B121" s="450"/>
      <c r="C121" s="561"/>
      <c r="D121" s="338"/>
      <c r="E121" s="338"/>
      <c r="F121" s="338"/>
      <c r="G121" s="338"/>
      <c r="H121" s="432"/>
      <c r="I121" s="432"/>
      <c r="J121" s="399"/>
      <c r="K121" s="399"/>
      <c r="L121" s="399"/>
      <c r="M121" s="399"/>
      <c r="N121" s="399"/>
      <c r="O121" s="399"/>
      <c r="P121" s="399"/>
      <c r="Q121" s="260"/>
      <c r="R121" s="260"/>
      <c r="S121" s="260"/>
      <c r="T121" s="260"/>
      <c r="U121" s="260"/>
      <c r="V121" s="260"/>
      <c r="W121" s="260"/>
      <c r="X121" s="260"/>
      <c r="Y121" s="260"/>
      <c r="AI121" s="396"/>
      <c r="AJ121" s="396"/>
      <c r="AK121" s="396"/>
      <c r="AL121" s="396"/>
      <c r="AM121" s="396"/>
    </row>
    <row r="122" spans="1:39" x14ac:dyDescent="0.25">
      <c r="A122" s="399"/>
      <c r="B122" s="560" t="s">
        <v>815</v>
      </c>
      <c r="C122" s="561"/>
      <c r="D122" s="561"/>
      <c r="E122" s="561"/>
      <c r="F122" s="561"/>
      <c r="G122" s="561"/>
      <c r="H122" s="561"/>
      <c r="I122" s="337"/>
      <c r="J122" s="399"/>
      <c r="K122" s="399"/>
      <c r="L122" s="399"/>
      <c r="M122" s="399"/>
      <c r="N122" s="399"/>
      <c r="O122" s="399"/>
      <c r="P122" s="399"/>
      <c r="Q122" s="260"/>
      <c r="R122" s="260"/>
      <c r="S122" s="260"/>
      <c r="T122" s="260"/>
      <c r="U122" s="260"/>
      <c r="V122" s="260"/>
      <c r="W122" s="260"/>
      <c r="X122" s="260"/>
      <c r="Y122" s="260"/>
      <c r="AI122" s="396"/>
      <c r="AJ122" s="396"/>
      <c r="AK122" s="396"/>
      <c r="AL122" s="396"/>
      <c r="AM122" s="396"/>
    </row>
    <row r="123" spans="1:39" ht="75" x14ac:dyDescent="0.25">
      <c r="A123" s="399"/>
      <c r="B123" s="390" t="s">
        <v>111</v>
      </c>
      <c r="C123" s="291" t="s">
        <v>816</v>
      </c>
      <c r="D123" s="629" t="s">
        <v>792</v>
      </c>
      <c r="E123" s="376" t="s">
        <v>56</v>
      </c>
      <c r="F123" s="376" t="s">
        <v>57</v>
      </c>
      <c r="G123" s="290" t="s">
        <v>793</v>
      </c>
      <c r="H123" s="290" t="s">
        <v>794</v>
      </c>
      <c r="I123" s="376" t="s">
        <v>795</v>
      </c>
      <c r="J123" s="399"/>
      <c r="K123" s="399"/>
      <c r="L123" s="399"/>
      <c r="M123" s="399"/>
      <c r="N123" s="399"/>
      <c r="O123" s="399"/>
      <c r="P123" s="399"/>
      <c r="Q123" s="260"/>
      <c r="R123" s="260"/>
      <c r="S123" s="260"/>
      <c r="T123" s="260"/>
      <c r="U123" s="260"/>
      <c r="V123" s="260"/>
      <c r="W123" s="260"/>
      <c r="X123" s="260"/>
      <c r="Y123" s="260"/>
      <c r="AI123" s="396"/>
      <c r="AJ123" s="396"/>
      <c r="AK123" s="396"/>
      <c r="AL123" s="396"/>
      <c r="AM123" s="396"/>
    </row>
    <row r="124" spans="1:39" x14ac:dyDescent="0.25">
      <c r="A124" s="399"/>
      <c r="B124" s="496" t="s">
        <v>1135</v>
      </c>
      <c r="C124" s="131">
        <f>'Inputs and eligible population'!F$117</f>
        <v>0</v>
      </c>
      <c r="D124" s="131">
        <f>$C124*D57</f>
        <v>0</v>
      </c>
      <c r="E124" s="131">
        <f t="shared" ref="E124:I124" si="49">$C124*E57</f>
        <v>0</v>
      </c>
      <c r="F124" s="131">
        <f t="shared" si="49"/>
        <v>0</v>
      </c>
      <c r="G124" s="131">
        <f t="shared" si="49"/>
        <v>0</v>
      </c>
      <c r="H124" s="131">
        <f t="shared" si="49"/>
        <v>0</v>
      </c>
      <c r="I124" s="131">
        <f t="shared" si="49"/>
        <v>0</v>
      </c>
      <c r="J124" s="399"/>
      <c r="K124" s="399"/>
      <c r="L124" s="399"/>
      <c r="M124" s="399"/>
      <c r="N124" s="399"/>
      <c r="O124" s="399"/>
      <c r="P124" s="399"/>
      <c r="Q124" s="260"/>
      <c r="R124" s="260"/>
      <c r="S124" s="260"/>
      <c r="T124" s="260"/>
      <c r="U124" s="260"/>
      <c r="V124" s="260"/>
      <c r="W124" s="260"/>
      <c r="X124" s="260"/>
      <c r="Y124" s="260"/>
      <c r="AI124" s="396"/>
      <c r="AJ124" s="396"/>
      <c r="AK124" s="396"/>
      <c r="AL124" s="396"/>
      <c r="AM124" s="396"/>
    </row>
    <row r="125" spans="1:39" x14ac:dyDescent="0.25">
      <c r="A125" s="399"/>
      <c r="B125" s="496" t="s">
        <v>1136</v>
      </c>
      <c r="C125" s="131">
        <f>'Inputs and eligible population'!G$117</f>
        <v>0</v>
      </c>
      <c r="D125" s="131">
        <f t="shared" ref="D125:I125" si="50">$C125*D58</f>
        <v>0</v>
      </c>
      <c r="E125" s="131">
        <f t="shared" si="50"/>
        <v>0</v>
      </c>
      <c r="F125" s="131">
        <f t="shared" si="50"/>
        <v>0</v>
      </c>
      <c r="G125" s="131">
        <f t="shared" si="50"/>
        <v>0</v>
      </c>
      <c r="H125" s="131">
        <f t="shared" si="50"/>
        <v>0</v>
      </c>
      <c r="I125" s="131">
        <f t="shared" si="50"/>
        <v>0</v>
      </c>
      <c r="J125" s="399"/>
      <c r="K125" s="399"/>
      <c r="L125" s="399"/>
      <c r="M125" s="399"/>
      <c r="N125" s="399"/>
      <c r="O125" s="399"/>
      <c r="P125" s="399"/>
      <c r="Q125" s="260"/>
      <c r="R125" s="260"/>
      <c r="S125" s="260"/>
      <c r="T125" s="260"/>
      <c r="U125" s="260"/>
      <c r="V125" s="260"/>
      <c r="W125" s="260"/>
      <c r="X125" s="260"/>
      <c r="Y125" s="260"/>
      <c r="AI125" s="396"/>
      <c r="AJ125" s="396"/>
      <c r="AK125" s="396"/>
      <c r="AL125" s="396"/>
      <c r="AM125" s="396"/>
    </row>
    <row r="126" spans="1:39" x14ac:dyDescent="0.25">
      <c r="A126" s="399"/>
      <c r="B126" s="496" t="s">
        <v>1137</v>
      </c>
      <c r="C126" s="131">
        <f>'Inputs and eligible population'!H$117</f>
        <v>0</v>
      </c>
      <c r="D126" s="131">
        <f t="shared" ref="D126:I126" si="51">$C126*D59</f>
        <v>0</v>
      </c>
      <c r="E126" s="131">
        <f t="shared" si="51"/>
        <v>0</v>
      </c>
      <c r="F126" s="131">
        <f t="shared" si="51"/>
        <v>0</v>
      </c>
      <c r="G126" s="131">
        <f t="shared" si="51"/>
        <v>0</v>
      </c>
      <c r="H126" s="131">
        <f t="shared" si="51"/>
        <v>0</v>
      </c>
      <c r="I126" s="131">
        <f t="shared" si="51"/>
        <v>0</v>
      </c>
      <c r="J126" s="399"/>
      <c r="K126" s="399"/>
      <c r="L126" s="399"/>
      <c r="M126" s="399"/>
      <c r="N126" s="399"/>
      <c r="O126" s="399"/>
      <c r="P126" s="399"/>
      <c r="Q126" s="260"/>
      <c r="R126" s="260"/>
      <c r="S126" s="260"/>
      <c r="T126" s="260"/>
      <c r="U126" s="260"/>
      <c r="V126" s="260"/>
      <c r="W126" s="260"/>
      <c r="X126" s="260"/>
      <c r="Y126" s="260"/>
      <c r="AI126" s="396"/>
      <c r="AJ126" s="396"/>
      <c r="AK126" s="396"/>
      <c r="AL126" s="396"/>
      <c r="AM126" s="396"/>
    </row>
    <row r="127" spans="1:39" x14ac:dyDescent="0.25">
      <c r="A127" s="399"/>
      <c r="B127" s="496" t="s">
        <v>1138</v>
      </c>
      <c r="C127" s="131">
        <f>'Inputs and eligible population'!I$117</f>
        <v>0</v>
      </c>
      <c r="D127" s="131">
        <f t="shared" ref="D127:I127" si="52">$C127*D60</f>
        <v>0</v>
      </c>
      <c r="E127" s="131">
        <f t="shared" si="52"/>
        <v>0</v>
      </c>
      <c r="F127" s="131">
        <f t="shared" si="52"/>
        <v>0</v>
      </c>
      <c r="G127" s="131">
        <f t="shared" si="52"/>
        <v>0</v>
      </c>
      <c r="H127" s="131">
        <f t="shared" si="52"/>
        <v>0</v>
      </c>
      <c r="I127" s="131">
        <f t="shared" si="52"/>
        <v>0</v>
      </c>
      <c r="J127" s="399"/>
      <c r="K127" s="399"/>
      <c r="L127" s="399"/>
      <c r="M127" s="399"/>
      <c r="N127" s="399"/>
      <c r="O127" s="399"/>
      <c r="P127" s="399"/>
      <c r="Q127" s="260"/>
      <c r="R127" s="260"/>
      <c r="S127" s="260"/>
      <c r="T127" s="260"/>
      <c r="U127" s="260"/>
      <c r="V127" s="260"/>
      <c r="W127" s="260"/>
      <c r="X127" s="260"/>
      <c r="Y127" s="260"/>
      <c r="AI127" s="396"/>
      <c r="AJ127" s="396"/>
      <c r="AK127" s="396"/>
      <c r="AL127" s="396"/>
      <c r="AM127" s="396"/>
    </row>
    <row r="128" spans="1:39" x14ac:dyDescent="0.25">
      <c r="A128" s="399"/>
      <c r="B128" s="496" t="s">
        <v>1139</v>
      </c>
      <c r="C128" s="131">
        <f>'Inputs and eligible population'!J$117</f>
        <v>0</v>
      </c>
      <c r="D128" s="131">
        <f t="shared" ref="D128:I128" si="53">$C128*D61</f>
        <v>0</v>
      </c>
      <c r="E128" s="131">
        <f t="shared" si="53"/>
        <v>0</v>
      </c>
      <c r="F128" s="131">
        <f t="shared" si="53"/>
        <v>0</v>
      </c>
      <c r="G128" s="131">
        <f t="shared" si="53"/>
        <v>0</v>
      </c>
      <c r="H128" s="131">
        <f t="shared" si="53"/>
        <v>0</v>
      </c>
      <c r="I128" s="131">
        <f t="shared" si="53"/>
        <v>0</v>
      </c>
      <c r="J128" s="399"/>
      <c r="K128" s="399"/>
      <c r="L128" s="399"/>
      <c r="M128" s="399"/>
      <c r="N128" s="399"/>
      <c r="O128" s="399"/>
      <c r="P128" s="399"/>
      <c r="Q128" s="260"/>
      <c r="R128" s="260"/>
      <c r="S128" s="260"/>
      <c r="T128" s="260"/>
      <c r="U128" s="260"/>
      <c r="V128" s="260"/>
      <c r="W128" s="260"/>
      <c r="X128" s="260"/>
      <c r="Y128" s="260"/>
      <c r="AI128" s="396"/>
      <c r="AJ128" s="396"/>
      <c r="AK128" s="396"/>
      <c r="AL128" s="396"/>
      <c r="AM128" s="396"/>
    </row>
    <row r="129" spans="1:39" x14ac:dyDescent="0.25">
      <c r="A129" s="399"/>
      <c r="B129" s="496" t="s">
        <v>1140</v>
      </c>
      <c r="C129" s="131">
        <f>'Inputs and eligible population'!K$117</f>
        <v>0</v>
      </c>
      <c r="D129" s="131">
        <f t="shared" ref="D129:I129" si="54">$C129*D62</f>
        <v>0</v>
      </c>
      <c r="E129" s="131">
        <f t="shared" si="54"/>
        <v>0</v>
      </c>
      <c r="F129" s="131">
        <f t="shared" si="54"/>
        <v>0</v>
      </c>
      <c r="G129" s="131">
        <f t="shared" si="54"/>
        <v>0</v>
      </c>
      <c r="H129" s="131">
        <f t="shared" si="54"/>
        <v>0</v>
      </c>
      <c r="I129" s="131">
        <f t="shared" si="54"/>
        <v>0</v>
      </c>
      <c r="J129" s="399"/>
      <c r="K129" s="399"/>
      <c r="L129" s="399"/>
      <c r="M129" s="399"/>
      <c r="N129" s="399"/>
      <c r="O129" s="399"/>
      <c r="P129" s="399"/>
      <c r="Q129" s="260"/>
      <c r="R129" s="260"/>
      <c r="S129" s="260"/>
      <c r="T129" s="260"/>
      <c r="U129" s="260"/>
      <c r="V129" s="260"/>
      <c r="W129" s="260"/>
      <c r="X129" s="260"/>
      <c r="Y129" s="260"/>
      <c r="AI129" s="396"/>
      <c r="AJ129" s="396"/>
      <c r="AK129" s="396"/>
      <c r="AL129" s="396"/>
      <c r="AM129" s="396"/>
    </row>
    <row r="130" spans="1:39" x14ac:dyDescent="0.25">
      <c r="A130" s="399"/>
      <c r="B130" s="496" t="s">
        <v>1141</v>
      </c>
      <c r="C130" s="131">
        <f>'Inputs and eligible population'!L$117</f>
        <v>0</v>
      </c>
      <c r="D130" s="131">
        <f t="shared" ref="D130:I130" si="55">$C130*D63</f>
        <v>0</v>
      </c>
      <c r="E130" s="131">
        <f t="shared" si="55"/>
        <v>0</v>
      </c>
      <c r="F130" s="131">
        <f t="shared" si="55"/>
        <v>0</v>
      </c>
      <c r="G130" s="131">
        <f t="shared" si="55"/>
        <v>0</v>
      </c>
      <c r="H130" s="131">
        <f t="shared" si="55"/>
        <v>0</v>
      </c>
      <c r="I130" s="131">
        <f t="shared" si="55"/>
        <v>0</v>
      </c>
      <c r="J130" s="399"/>
      <c r="K130" s="399"/>
      <c r="L130" s="399"/>
      <c r="M130" s="399"/>
      <c r="N130" s="399"/>
      <c r="O130" s="399"/>
      <c r="P130" s="399"/>
      <c r="Q130" s="260"/>
      <c r="R130" s="260"/>
      <c r="S130" s="260"/>
      <c r="T130" s="260"/>
      <c r="U130" s="260"/>
      <c r="V130" s="260"/>
      <c r="W130" s="260"/>
      <c r="X130" s="260"/>
      <c r="Y130" s="260"/>
      <c r="AI130" s="396"/>
      <c r="AJ130" s="396"/>
      <c r="AK130" s="396"/>
      <c r="AL130" s="396"/>
      <c r="AM130" s="396"/>
    </row>
    <row r="131" spans="1:39" x14ac:dyDescent="0.25">
      <c r="A131" s="399"/>
      <c r="B131" s="496" t="s">
        <v>1142</v>
      </c>
      <c r="C131" s="131">
        <f>'Inputs and eligible population'!M$117</f>
        <v>0</v>
      </c>
      <c r="D131" s="131">
        <f t="shared" ref="D131:I131" si="56">$C131*D64</f>
        <v>0</v>
      </c>
      <c r="E131" s="131">
        <f t="shared" si="56"/>
        <v>0</v>
      </c>
      <c r="F131" s="131">
        <f t="shared" si="56"/>
        <v>0</v>
      </c>
      <c r="G131" s="131">
        <f t="shared" si="56"/>
        <v>0</v>
      </c>
      <c r="H131" s="131">
        <f t="shared" si="56"/>
        <v>0</v>
      </c>
      <c r="I131" s="131">
        <f t="shared" si="56"/>
        <v>0</v>
      </c>
      <c r="J131" s="399"/>
      <c r="K131" s="399"/>
      <c r="L131" s="399"/>
      <c r="M131" s="399"/>
      <c r="N131" s="399"/>
      <c r="O131" s="399"/>
      <c r="P131" s="399"/>
      <c r="Q131" s="260"/>
      <c r="R131" s="260"/>
      <c r="S131" s="260"/>
      <c r="T131" s="260"/>
      <c r="U131" s="260"/>
      <c r="V131" s="260"/>
      <c r="W131" s="260"/>
      <c r="X131" s="260"/>
      <c r="Y131" s="260"/>
      <c r="AI131" s="396"/>
      <c r="AJ131" s="396"/>
      <c r="AK131" s="396"/>
      <c r="AL131" s="396"/>
      <c r="AM131" s="396"/>
    </row>
    <row r="132" spans="1:39" x14ac:dyDescent="0.25">
      <c r="A132" s="399"/>
      <c r="B132" s="394"/>
      <c r="C132" s="327"/>
      <c r="D132" s="313">
        <f t="shared" ref="D132:I132" si="57">SUM(D124:D131)</f>
        <v>0</v>
      </c>
      <c r="E132" s="313">
        <f t="shared" si="57"/>
        <v>0</v>
      </c>
      <c r="F132" s="313">
        <f t="shared" si="57"/>
        <v>0</v>
      </c>
      <c r="G132" s="313">
        <f t="shared" si="57"/>
        <v>0</v>
      </c>
      <c r="H132" s="313">
        <f t="shared" si="57"/>
        <v>0</v>
      </c>
      <c r="I132" s="313">
        <f t="shared" si="57"/>
        <v>0</v>
      </c>
      <c r="J132" s="399"/>
      <c r="K132" s="399"/>
      <c r="L132" s="399"/>
      <c r="M132" s="399"/>
      <c r="N132" s="399"/>
      <c r="O132" s="399"/>
      <c r="P132" s="399"/>
      <c r="U132" s="260"/>
    </row>
    <row r="133" spans="1:39" x14ac:dyDescent="0.25">
      <c r="A133" s="399"/>
      <c r="B133" s="425"/>
      <c r="C133" s="342"/>
      <c r="D133" s="395" t="s">
        <v>169</v>
      </c>
      <c r="E133" s="313">
        <f>E132-$D$132</f>
        <v>0</v>
      </c>
      <c r="F133" s="313">
        <f>F132-$D$132</f>
        <v>0</v>
      </c>
      <c r="G133" s="313">
        <f>G132-$D$132</f>
        <v>0</v>
      </c>
      <c r="H133" s="313">
        <f>H132-$D$132</f>
        <v>0</v>
      </c>
      <c r="I133" s="313">
        <f>I132-$D$132</f>
        <v>0</v>
      </c>
      <c r="J133" s="399"/>
      <c r="K133" s="399"/>
      <c r="L133" s="399"/>
      <c r="M133" s="399"/>
      <c r="N133" s="399"/>
      <c r="O133" s="399"/>
      <c r="P133" s="399"/>
      <c r="U133" s="260"/>
    </row>
    <row r="134" spans="1:39" x14ac:dyDescent="0.25">
      <c r="A134" s="399"/>
      <c r="B134" s="450"/>
      <c r="C134" s="561"/>
      <c r="D134" s="338"/>
      <c r="E134" s="338"/>
      <c r="F134" s="338"/>
      <c r="G134" s="338"/>
      <c r="H134" s="432"/>
      <c r="I134" s="432"/>
      <c r="J134" s="399"/>
      <c r="K134" s="399"/>
      <c r="L134" s="399"/>
      <c r="M134" s="399"/>
      <c r="N134" s="399"/>
      <c r="O134" s="399"/>
      <c r="P134" s="399"/>
      <c r="U134" s="260"/>
    </row>
    <row r="135" spans="1:39" x14ac:dyDescent="0.25">
      <c r="A135" s="399"/>
      <c r="B135" s="560" t="s">
        <v>817</v>
      </c>
      <c r="C135" s="561"/>
      <c r="D135" s="561"/>
      <c r="E135" s="561"/>
      <c r="F135" s="561"/>
      <c r="G135" s="561"/>
      <c r="H135" s="561"/>
      <c r="I135" s="337"/>
      <c r="J135" s="399"/>
      <c r="K135" s="399"/>
      <c r="L135" s="399"/>
      <c r="M135" s="399"/>
      <c r="N135" s="399"/>
      <c r="O135" s="399"/>
      <c r="P135" s="399"/>
      <c r="U135" s="260"/>
    </row>
    <row r="136" spans="1:39" ht="75" x14ac:dyDescent="0.25">
      <c r="A136" s="399"/>
      <c r="B136" s="390" t="s">
        <v>111</v>
      </c>
      <c r="C136" s="291" t="s">
        <v>1294</v>
      </c>
      <c r="D136" s="629" t="s">
        <v>792</v>
      </c>
      <c r="E136" s="376" t="s">
        <v>56</v>
      </c>
      <c r="F136" s="376" t="s">
        <v>57</v>
      </c>
      <c r="G136" s="290" t="s">
        <v>793</v>
      </c>
      <c r="H136" s="290" t="s">
        <v>794</v>
      </c>
      <c r="I136" s="376" t="s">
        <v>795</v>
      </c>
      <c r="J136" s="399"/>
      <c r="K136" s="399"/>
      <c r="L136" s="399"/>
      <c r="M136" s="399"/>
      <c r="N136" s="399"/>
      <c r="O136" s="399"/>
      <c r="P136" s="399"/>
      <c r="U136" s="260"/>
    </row>
    <row r="137" spans="1:39" x14ac:dyDescent="0.25">
      <c r="A137" s="399"/>
      <c r="B137" s="496" t="s">
        <v>1135</v>
      </c>
      <c r="C137" s="131">
        <f>'Inputs and eligible population'!F$118</f>
        <v>0</v>
      </c>
      <c r="D137" s="131">
        <f>$C137*D111</f>
        <v>0</v>
      </c>
      <c r="E137" s="131">
        <f t="shared" ref="E137:I137" si="58">$C137*E111</f>
        <v>0</v>
      </c>
      <c r="F137" s="131">
        <f t="shared" si="58"/>
        <v>0</v>
      </c>
      <c r="G137" s="131">
        <f t="shared" si="58"/>
        <v>0</v>
      </c>
      <c r="H137" s="131">
        <f t="shared" si="58"/>
        <v>0</v>
      </c>
      <c r="I137" s="131">
        <f t="shared" si="58"/>
        <v>0</v>
      </c>
      <c r="J137" s="399"/>
      <c r="K137" s="399"/>
      <c r="L137" s="399"/>
      <c r="M137" s="399"/>
      <c r="N137" s="399"/>
      <c r="O137" s="399"/>
      <c r="P137" s="399"/>
      <c r="U137" s="260"/>
    </row>
    <row r="138" spans="1:39" x14ac:dyDescent="0.25">
      <c r="A138" s="399"/>
      <c r="B138" s="496" t="s">
        <v>1136</v>
      </c>
      <c r="C138" s="131">
        <f>'Inputs and eligible population'!G$118</f>
        <v>0</v>
      </c>
      <c r="D138" s="131">
        <f t="shared" ref="D138:I138" si="59">$C138*D112</f>
        <v>0</v>
      </c>
      <c r="E138" s="131">
        <f t="shared" si="59"/>
        <v>0</v>
      </c>
      <c r="F138" s="131">
        <f t="shared" si="59"/>
        <v>0</v>
      </c>
      <c r="G138" s="131">
        <f t="shared" si="59"/>
        <v>0</v>
      </c>
      <c r="H138" s="131">
        <f t="shared" si="59"/>
        <v>0</v>
      </c>
      <c r="I138" s="131">
        <f t="shared" si="59"/>
        <v>0</v>
      </c>
      <c r="J138" s="399"/>
      <c r="K138" s="399"/>
      <c r="L138" s="399"/>
      <c r="M138" s="399"/>
      <c r="N138" s="399"/>
      <c r="O138" s="399"/>
      <c r="P138" s="399"/>
      <c r="U138" s="260"/>
    </row>
    <row r="139" spans="1:39" x14ac:dyDescent="0.25">
      <c r="A139" s="399"/>
      <c r="B139" s="496" t="s">
        <v>1137</v>
      </c>
      <c r="C139" s="131">
        <f>'Inputs and eligible population'!H$118</f>
        <v>0</v>
      </c>
      <c r="D139" s="131">
        <f t="shared" ref="D139:I139" si="60">$C139*D113</f>
        <v>0</v>
      </c>
      <c r="E139" s="131">
        <f t="shared" si="60"/>
        <v>0</v>
      </c>
      <c r="F139" s="131">
        <f t="shared" si="60"/>
        <v>0</v>
      </c>
      <c r="G139" s="131">
        <f t="shared" si="60"/>
        <v>0</v>
      </c>
      <c r="H139" s="131">
        <f t="shared" si="60"/>
        <v>0</v>
      </c>
      <c r="I139" s="131">
        <f t="shared" si="60"/>
        <v>0</v>
      </c>
      <c r="J139" s="399"/>
      <c r="K139" s="399"/>
      <c r="L139" s="399"/>
      <c r="M139" s="399"/>
      <c r="N139" s="399"/>
      <c r="O139" s="399"/>
      <c r="P139" s="399"/>
      <c r="U139" s="260"/>
    </row>
    <row r="140" spans="1:39" x14ac:dyDescent="0.25">
      <c r="A140" s="399"/>
      <c r="B140" s="496" t="s">
        <v>1138</v>
      </c>
      <c r="C140" s="131">
        <f>'Inputs and eligible population'!I$118</f>
        <v>0</v>
      </c>
      <c r="D140" s="131">
        <f t="shared" ref="D140:I140" si="61">$C140*D114</f>
        <v>0</v>
      </c>
      <c r="E140" s="131">
        <f t="shared" si="61"/>
        <v>0</v>
      </c>
      <c r="F140" s="131">
        <f t="shared" si="61"/>
        <v>0</v>
      </c>
      <c r="G140" s="131">
        <f t="shared" si="61"/>
        <v>0</v>
      </c>
      <c r="H140" s="131">
        <f t="shared" si="61"/>
        <v>0</v>
      </c>
      <c r="I140" s="131">
        <f t="shared" si="61"/>
        <v>0</v>
      </c>
      <c r="J140" s="399"/>
      <c r="K140" s="399"/>
      <c r="L140" s="399"/>
      <c r="M140" s="399"/>
      <c r="N140" s="399"/>
      <c r="O140" s="399"/>
      <c r="P140" s="399"/>
      <c r="U140" s="260"/>
    </row>
    <row r="141" spans="1:39" x14ac:dyDescent="0.25">
      <c r="A141" s="399"/>
      <c r="B141" s="496" t="s">
        <v>1139</v>
      </c>
      <c r="C141" s="131">
        <f>'Inputs and eligible population'!J$118</f>
        <v>0</v>
      </c>
      <c r="D141" s="131">
        <f t="shared" ref="D141:I141" si="62">$C141*D115</f>
        <v>0</v>
      </c>
      <c r="E141" s="131">
        <f t="shared" si="62"/>
        <v>0</v>
      </c>
      <c r="F141" s="131">
        <f t="shared" si="62"/>
        <v>0</v>
      </c>
      <c r="G141" s="131">
        <f t="shared" si="62"/>
        <v>0</v>
      </c>
      <c r="H141" s="131">
        <f t="shared" si="62"/>
        <v>0</v>
      </c>
      <c r="I141" s="131">
        <f t="shared" si="62"/>
        <v>0</v>
      </c>
      <c r="J141" s="399"/>
      <c r="K141" s="399"/>
      <c r="L141" s="399"/>
      <c r="M141" s="399"/>
      <c r="N141" s="399"/>
      <c r="O141" s="399"/>
      <c r="P141" s="399"/>
      <c r="U141" s="260"/>
    </row>
    <row r="142" spans="1:39" x14ac:dyDescent="0.25">
      <c r="A142" s="399"/>
      <c r="B142" s="496" t="s">
        <v>1140</v>
      </c>
      <c r="C142" s="131">
        <f>'Inputs and eligible population'!K$118</f>
        <v>0</v>
      </c>
      <c r="D142" s="131">
        <f t="shared" ref="D142:I142" si="63">$C142*D116</f>
        <v>0</v>
      </c>
      <c r="E142" s="131">
        <f t="shared" si="63"/>
        <v>0</v>
      </c>
      <c r="F142" s="131">
        <f t="shared" si="63"/>
        <v>0</v>
      </c>
      <c r="G142" s="131">
        <f t="shared" si="63"/>
        <v>0</v>
      </c>
      <c r="H142" s="131">
        <f t="shared" si="63"/>
        <v>0</v>
      </c>
      <c r="I142" s="131">
        <f t="shared" si="63"/>
        <v>0</v>
      </c>
      <c r="J142" s="399"/>
      <c r="K142" s="399"/>
      <c r="L142" s="399"/>
      <c r="M142" s="399"/>
      <c r="N142" s="399"/>
      <c r="O142" s="399"/>
      <c r="P142" s="399"/>
      <c r="U142" s="260"/>
    </row>
    <row r="143" spans="1:39" x14ac:dyDescent="0.25">
      <c r="A143" s="399"/>
      <c r="B143" s="496" t="s">
        <v>1141</v>
      </c>
      <c r="C143" s="131">
        <f>'Inputs and eligible population'!L$118</f>
        <v>0</v>
      </c>
      <c r="D143" s="131">
        <f t="shared" ref="D143:I143" si="64">$C143*D117</f>
        <v>0</v>
      </c>
      <c r="E143" s="131">
        <f t="shared" si="64"/>
        <v>0</v>
      </c>
      <c r="F143" s="131">
        <f t="shared" si="64"/>
        <v>0</v>
      </c>
      <c r="G143" s="131">
        <f t="shared" si="64"/>
        <v>0</v>
      </c>
      <c r="H143" s="131">
        <f t="shared" si="64"/>
        <v>0</v>
      </c>
      <c r="I143" s="131">
        <f t="shared" si="64"/>
        <v>0</v>
      </c>
      <c r="J143" s="399"/>
      <c r="K143" s="399"/>
      <c r="L143" s="399"/>
      <c r="M143" s="399"/>
      <c r="N143" s="399"/>
      <c r="O143" s="399"/>
      <c r="P143" s="399"/>
      <c r="U143" s="260"/>
    </row>
    <row r="144" spans="1:39" x14ac:dyDescent="0.25">
      <c r="A144" s="399"/>
      <c r="B144" s="496" t="s">
        <v>1142</v>
      </c>
      <c r="C144" s="131">
        <f>'Inputs and eligible population'!M$118</f>
        <v>0</v>
      </c>
      <c r="D144" s="131">
        <f t="shared" ref="D144:I144" si="65">$C144*D118</f>
        <v>0</v>
      </c>
      <c r="E144" s="131">
        <f t="shared" si="65"/>
        <v>0</v>
      </c>
      <c r="F144" s="131">
        <f t="shared" si="65"/>
        <v>0</v>
      </c>
      <c r="G144" s="131">
        <f t="shared" si="65"/>
        <v>0</v>
      </c>
      <c r="H144" s="131">
        <f t="shared" si="65"/>
        <v>0</v>
      </c>
      <c r="I144" s="131">
        <f t="shared" si="65"/>
        <v>0</v>
      </c>
      <c r="J144" s="399"/>
      <c r="K144" s="399"/>
      <c r="L144" s="399"/>
      <c r="M144" s="399"/>
      <c r="N144" s="399"/>
      <c r="O144" s="399"/>
      <c r="P144" s="399"/>
      <c r="U144" s="260"/>
    </row>
    <row r="145" spans="1:21" x14ac:dyDescent="0.25">
      <c r="A145" s="399"/>
      <c r="B145" s="394"/>
      <c r="C145" s="327"/>
      <c r="D145" s="313">
        <f t="shared" ref="D145:I145" si="66">SUM(D137:D144)</f>
        <v>0</v>
      </c>
      <c r="E145" s="313">
        <f t="shared" si="66"/>
        <v>0</v>
      </c>
      <c r="F145" s="313">
        <f t="shared" si="66"/>
        <v>0</v>
      </c>
      <c r="G145" s="313">
        <f t="shared" si="66"/>
        <v>0</v>
      </c>
      <c r="H145" s="313">
        <f t="shared" si="66"/>
        <v>0</v>
      </c>
      <c r="I145" s="313">
        <f t="shared" si="66"/>
        <v>0</v>
      </c>
      <c r="J145" s="399"/>
      <c r="K145" s="399"/>
      <c r="L145" s="399"/>
      <c r="M145" s="399"/>
      <c r="N145" s="399"/>
      <c r="O145" s="399"/>
      <c r="P145" s="399"/>
      <c r="U145" s="260"/>
    </row>
    <row r="146" spans="1:21" x14ac:dyDescent="0.25">
      <c r="A146" s="399"/>
      <c r="B146" s="425"/>
      <c r="C146" s="342"/>
      <c r="D146" s="395" t="s">
        <v>170</v>
      </c>
      <c r="E146" s="313">
        <f>E145-$D$145</f>
        <v>0</v>
      </c>
      <c r="F146" s="313">
        <f>F145-$D$145</f>
        <v>0</v>
      </c>
      <c r="G146" s="313">
        <f>G145-$D$145</f>
        <v>0</v>
      </c>
      <c r="H146" s="313">
        <f>H145-$D$145</f>
        <v>0</v>
      </c>
      <c r="I146" s="313">
        <f>I145-$D$145</f>
        <v>0</v>
      </c>
      <c r="J146" s="399"/>
      <c r="K146" s="399"/>
      <c r="L146" s="399"/>
      <c r="M146" s="399"/>
      <c r="N146" s="399"/>
      <c r="O146" s="399"/>
      <c r="P146" s="399"/>
      <c r="U146" s="260"/>
    </row>
    <row r="147" spans="1:21" x14ac:dyDescent="0.25">
      <c r="A147" s="399"/>
      <c r="B147" s="450"/>
      <c r="C147" s="561"/>
      <c r="D147" s="338"/>
      <c r="E147" s="338"/>
      <c r="F147" s="338"/>
      <c r="G147" s="338"/>
      <c r="H147" s="432"/>
      <c r="I147" s="432"/>
      <c r="J147" s="399"/>
      <c r="K147" s="399"/>
      <c r="L147" s="399"/>
      <c r="M147" s="399"/>
      <c r="N147" s="399"/>
      <c r="O147" s="399"/>
      <c r="P147" s="399"/>
      <c r="U147" s="260"/>
    </row>
    <row r="148" spans="1:21" x14ac:dyDescent="0.25">
      <c r="A148" s="399"/>
      <c r="B148" s="560" t="s">
        <v>818</v>
      </c>
      <c r="C148" s="561"/>
      <c r="D148" s="561"/>
      <c r="E148" s="561"/>
      <c r="F148" s="561"/>
      <c r="G148" s="561"/>
      <c r="H148" s="561"/>
      <c r="I148" s="337"/>
      <c r="J148" s="399"/>
      <c r="K148" s="399"/>
      <c r="L148" s="399"/>
      <c r="M148" s="399"/>
      <c r="N148" s="399"/>
      <c r="O148" s="399"/>
      <c r="P148" s="399"/>
      <c r="U148" s="260"/>
    </row>
    <row r="149" spans="1:21" ht="75" x14ac:dyDescent="0.25">
      <c r="A149" s="399"/>
      <c r="B149" s="390" t="s">
        <v>111</v>
      </c>
      <c r="C149" s="291" t="s">
        <v>1295</v>
      </c>
      <c r="D149" s="629" t="s">
        <v>792</v>
      </c>
      <c r="E149" s="376" t="s">
        <v>56</v>
      </c>
      <c r="F149" s="376" t="s">
        <v>57</v>
      </c>
      <c r="G149" s="290" t="s">
        <v>793</v>
      </c>
      <c r="H149" s="290" t="s">
        <v>794</v>
      </c>
      <c r="I149" s="376" t="s">
        <v>795</v>
      </c>
      <c r="J149" s="399"/>
      <c r="K149" s="399"/>
      <c r="L149" s="399"/>
      <c r="M149" s="399"/>
      <c r="N149" s="399"/>
      <c r="O149" s="399"/>
      <c r="P149" s="399"/>
      <c r="U149" s="260"/>
    </row>
    <row r="150" spans="1:21" x14ac:dyDescent="0.25">
      <c r="A150" s="399"/>
      <c r="B150" s="496" t="s">
        <v>1135</v>
      </c>
      <c r="C150" s="131">
        <f>'Inputs and eligible population'!F$117</f>
        <v>0</v>
      </c>
      <c r="D150" s="131">
        <f t="shared" ref="D150:I157" si="67">$C150*D124</f>
        <v>0</v>
      </c>
      <c r="E150" s="131">
        <f t="shared" si="67"/>
        <v>0</v>
      </c>
      <c r="F150" s="131">
        <f t="shared" si="67"/>
        <v>0</v>
      </c>
      <c r="G150" s="131">
        <f t="shared" si="67"/>
        <v>0</v>
      </c>
      <c r="H150" s="131">
        <f t="shared" si="67"/>
        <v>0</v>
      </c>
      <c r="I150" s="131">
        <f t="shared" si="67"/>
        <v>0</v>
      </c>
      <c r="J150" s="399"/>
      <c r="K150" s="399"/>
      <c r="L150" s="399"/>
      <c r="M150" s="399"/>
      <c r="N150" s="399"/>
      <c r="O150" s="399"/>
      <c r="P150" s="399"/>
      <c r="U150" s="260"/>
    </row>
    <row r="151" spans="1:21" x14ac:dyDescent="0.25">
      <c r="A151" s="399"/>
      <c r="B151" s="496" t="s">
        <v>1136</v>
      </c>
      <c r="C151" s="131">
        <f>'Inputs and eligible population'!G$117</f>
        <v>0</v>
      </c>
      <c r="D151" s="131">
        <f t="shared" si="67"/>
        <v>0</v>
      </c>
      <c r="E151" s="131">
        <f t="shared" si="67"/>
        <v>0</v>
      </c>
      <c r="F151" s="131">
        <f t="shared" si="67"/>
        <v>0</v>
      </c>
      <c r="G151" s="131">
        <f t="shared" si="67"/>
        <v>0</v>
      </c>
      <c r="H151" s="131">
        <f t="shared" si="67"/>
        <v>0</v>
      </c>
      <c r="I151" s="131">
        <f t="shared" si="67"/>
        <v>0</v>
      </c>
      <c r="J151" s="399"/>
      <c r="K151" s="399"/>
      <c r="L151" s="399"/>
      <c r="M151" s="399"/>
      <c r="N151" s="399"/>
      <c r="O151" s="399"/>
      <c r="P151" s="399"/>
      <c r="U151" s="260"/>
    </row>
    <row r="152" spans="1:21" x14ac:dyDescent="0.25">
      <c r="A152" s="399"/>
      <c r="B152" s="496" t="s">
        <v>1137</v>
      </c>
      <c r="C152" s="131">
        <f>'Inputs and eligible population'!H$117</f>
        <v>0</v>
      </c>
      <c r="D152" s="131">
        <f t="shared" si="67"/>
        <v>0</v>
      </c>
      <c r="E152" s="131">
        <f t="shared" si="67"/>
        <v>0</v>
      </c>
      <c r="F152" s="131">
        <f t="shared" si="67"/>
        <v>0</v>
      </c>
      <c r="G152" s="131">
        <f t="shared" si="67"/>
        <v>0</v>
      </c>
      <c r="H152" s="131">
        <f t="shared" si="67"/>
        <v>0</v>
      </c>
      <c r="I152" s="131">
        <f t="shared" si="67"/>
        <v>0</v>
      </c>
      <c r="J152" s="399"/>
      <c r="K152" s="399"/>
      <c r="L152" s="399"/>
      <c r="M152" s="399"/>
      <c r="N152" s="399"/>
      <c r="O152" s="399"/>
      <c r="P152" s="399"/>
      <c r="U152" s="260"/>
    </row>
    <row r="153" spans="1:21" x14ac:dyDescent="0.25">
      <c r="A153" s="399"/>
      <c r="B153" s="496" t="s">
        <v>1138</v>
      </c>
      <c r="C153" s="131">
        <f>'Inputs and eligible population'!I$117</f>
        <v>0</v>
      </c>
      <c r="D153" s="131">
        <f t="shared" si="67"/>
        <v>0</v>
      </c>
      <c r="E153" s="131">
        <f t="shared" si="67"/>
        <v>0</v>
      </c>
      <c r="F153" s="131">
        <f t="shared" si="67"/>
        <v>0</v>
      </c>
      <c r="G153" s="131">
        <f t="shared" si="67"/>
        <v>0</v>
      </c>
      <c r="H153" s="131">
        <f t="shared" si="67"/>
        <v>0</v>
      </c>
      <c r="I153" s="131">
        <f t="shared" si="67"/>
        <v>0</v>
      </c>
      <c r="J153" s="399"/>
      <c r="K153" s="399"/>
      <c r="L153" s="399"/>
      <c r="M153" s="399"/>
      <c r="N153" s="399"/>
      <c r="O153" s="399"/>
      <c r="P153" s="399"/>
      <c r="U153" s="260"/>
    </row>
    <row r="154" spans="1:21" x14ac:dyDescent="0.25">
      <c r="A154" s="399"/>
      <c r="B154" s="496" t="s">
        <v>1139</v>
      </c>
      <c r="C154" s="131">
        <f>'Inputs and eligible population'!J$117</f>
        <v>0</v>
      </c>
      <c r="D154" s="131">
        <f t="shared" si="67"/>
        <v>0</v>
      </c>
      <c r="E154" s="131">
        <f t="shared" si="67"/>
        <v>0</v>
      </c>
      <c r="F154" s="131">
        <f t="shared" si="67"/>
        <v>0</v>
      </c>
      <c r="G154" s="131">
        <f t="shared" si="67"/>
        <v>0</v>
      </c>
      <c r="H154" s="131">
        <f t="shared" si="67"/>
        <v>0</v>
      </c>
      <c r="I154" s="131">
        <f t="shared" si="67"/>
        <v>0</v>
      </c>
      <c r="J154" s="399"/>
      <c r="K154" s="399"/>
      <c r="L154" s="399"/>
      <c r="M154" s="399"/>
      <c r="N154" s="399"/>
      <c r="O154" s="399"/>
      <c r="P154" s="399"/>
      <c r="U154" s="260"/>
    </row>
    <row r="155" spans="1:21" x14ac:dyDescent="0.25">
      <c r="A155" s="399"/>
      <c r="B155" s="496" t="s">
        <v>1140</v>
      </c>
      <c r="C155" s="131">
        <f>'Inputs and eligible population'!K$117</f>
        <v>0</v>
      </c>
      <c r="D155" s="131">
        <f t="shared" si="67"/>
        <v>0</v>
      </c>
      <c r="E155" s="131">
        <f t="shared" si="67"/>
        <v>0</v>
      </c>
      <c r="F155" s="131">
        <f t="shared" si="67"/>
        <v>0</v>
      </c>
      <c r="G155" s="131">
        <f t="shared" si="67"/>
        <v>0</v>
      </c>
      <c r="H155" s="131">
        <f t="shared" si="67"/>
        <v>0</v>
      </c>
      <c r="I155" s="131">
        <f t="shared" si="67"/>
        <v>0</v>
      </c>
      <c r="J155" s="399"/>
      <c r="K155" s="399"/>
      <c r="L155" s="399"/>
      <c r="M155" s="399"/>
      <c r="N155" s="399"/>
      <c r="O155" s="399"/>
      <c r="P155" s="399"/>
      <c r="U155" s="260"/>
    </row>
    <row r="156" spans="1:21" x14ac:dyDescent="0.25">
      <c r="A156" s="399"/>
      <c r="B156" s="496" t="s">
        <v>1141</v>
      </c>
      <c r="C156" s="131">
        <f>'Inputs and eligible population'!L$117</f>
        <v>0</v>
      </c>
      <c r="D156" s="131">
        <f t="shared" si="67"/>
        <v>0</v>
      </c>
      <c r="E156" s="131">
        <f t="shared" si="67"/>
        <v>0</v>
      </c>
      <c r="F156" s="131">
        <f t="shared" si="67"/>
        <v>0</v>
      </c>
      <c r="G156" s="131">
        <f t="shared" si="67"/>
        <v>0</v>
      </c>
      <c r="H156" s="131">
        <f t="shared" si="67"/>
        <v>0</v>
      </c>
      <c r="I156" s="131">
        <f t="shared" si="67"/>
        <v>0</v>
      </c>
      <c r="J156" s="399"/>
      <c r="K156" s="399"/>
      <c r="L156" s="399"/>
      <c r="M156" s="399"/>
      <c r="N156" s="399"/>
      <c r="O156" s="399"/>
      <c r="P156" s="399"/>
      <c r="U156" s="260"/>
    </row>
    <row r="157" spans="1:21" x14ac:dyDescent="0.25">
      <c r="A157" s="399"/>
      <c r="B157" s="496" t="s">
        <v>1142</v>
      </c>
      <c r="C157" s="131">
        <f>'Inputs and eligible population'!M$117</f>
        <v>0</v>
      </c>
      <c r="D157" s="131">
        <f t="shared" si="67"/>
        <v>0</v>
      </c>
      <c r="E157" s="131">
        <f t="shared" si="67"/>
        <v>0</v>
      </c>
      <c r="F157" s="131">
        <f t="shared" si="67"/>
        <v>0</v>
      </c>
      <c r="G157" s="131">
        <f t="shared" si="67"/>
        <v>0</v>
      </c>
      <c r="H157" s="131">
        <f t="shared" si="67"/>
        <v>0</v>
      </c>
      <c r="I157" s="131">
        <f t="shared" si="67"/>
        <v>0</v>
      </c>
      <c r="J157" s="399"/>
      <c r="K157" s="399"/>
      <c r="L157" s="399"/>
      <c r="M157" s="399"/>
      <c r="N157" s="399"/>
      <c r="O157" s="399"/>
      <c r="P157" s="399"/>
      <c r="U157" s="260"/>
    </row>
    <row r="158" spans="1:21" x14ac:dyDescent="0.25">
      <c r="A158" s="399"/>
      <c r="B158" s="394"/>
      <c r="C158" s="327"/>
      <c r="D158" s="313">
        <f t="shared" ref="D158:I158" si="68">SUM(D150:D157)</f>
        <v>0</v>
      </c>
      <c r="E158" s="313">
        <f t="shared" si="68"/>
        <v>0</v>
      </c>
      <c r="F158" s="313">
        <f t="shared" si="68"/>
        <v>0</v>
      </c>
      <c r="G158" s="313">
        <f t="shared" si="68"/>
        <v>0</v>
      </c>
      <c r="H158" s="313">
        <f t="shared" si="68"/>
        <v>0</v>
      </c>
      <c r="I158" s="313">
        <f t="shared" si="68"/>
        <v>0</v>
      </c>
      <c r="J158" s="399"/>
      <c r="K158" s="399"/>
      <c r="L158" s="399"/>
      <c r="M158" s="399"/>
      <c r="N158" s="399"/>
      <c r="O158" s="399"/>
      <c r="P158" s="399"/>
      <c r="U158" s="260"/>
    </row>
    <row r="159" spans="1:21" x14ac:dyDescent="0.25">
      <c r="A159" s="399"/>
      <c r="B159" s="425"/>
      <c r="C159" s="342"/>
      <c r="D159" s="395" t="s">
        <v>171</v>
      </c>
      <c r="E159" s="313">
        <f>E158-$D$158</f>
        <v>0</v>
      </c>
      <c r="F159" s="313">
        <f>F158-$D$158</f>
        <v>0</v>
      </c>
      <c r="G159" s="313">
        <f>G158-$D$158</f>
        <v>0</v>
      </c>
      <c r="H159" s="313">
        <f>H158-$D$158</f>
        <v>0</v>
      </c>
      <c r="I159" s="313">
        <f>I158-$D$158</f>
        <v>0</v>
      </c>
      <c r="J159" s="399"/>
      <c r="K159" s="399"/>
      <c r="L159" s="399"/>
      <c r="M159" s="399"/>
      <c r="N159" s="399"/>
      <c r="O159" s="399"/>
      <c r="P159" s="399"/>
      <c r="U159" s="260"/>
    </row>
    <row r="160" spans="1:21" x14ac:dyDescent="0.25">
      <c r="A160" s="399"/>
      <c r="B160" s="450"/>
      <c r="C160" s="561"/>
      <c r="D160" s="338"/>
      <c r="E160" s="338"/>
      <c r="F160" s="338"/>
      <c r="G160" s="338"/>
      <c r="H160" s="432"/>
      <c r="I160" s="432"/>
      <c r="J160" s="399"/>
      <c r="K160" s="399"/>
      <c r="L160" s="399"/>
      <c r="M160" s="399"/>
      <c r="N160" s="399"/>
      <c r="O160" s="399"/>
      <c r="P160" s="399"/>
      <c r="U160" s="260"/>
    </row>
    <row r="161" spans="1:39" x14ac:dyDescent="0.25">
      <c r="A161" s="399"/>
      <c r="B161" s="560" t="s">
        <v>819</v>
      </c>
      <c r="C161" s="561"/>
      <c r="D161" s="561"/>
      <c r="E161" s="561"/>
      <c r="F161" s="561"/>
      <c r="G161" s="561"/>
      <c r="H161" s="561"/>
      <c r="I161" s="337"/>
      <c r="J161" s="399"/>
      <c r="K161" s="399"/>
      <c r="L161" s="399"/>
      <c r="M161" s="399"/>
      <c r="N161" s="399"/>
      <c r="O161" s="399"/>
      <c r="P161" s="399"/>
      <c r="U161" s="260"/>
    </row>
    <row r="162" spans="1:39" ht="45" x14ac:dyDescent="0.25">
      <c r="A162" s="399"/>
      <c r="B162" s="390" t="s">
        <v>111</v>
      </c>
      <c r="C162" s="291" t="s">
        <v>819</v>
      </c>
      <c r="D162" s="629" t="s">
        <v>792</v>
      </c>
      <c r="E162" s="376" t="s">
        <v>56</v>
      </c>
      <c r="F162" s="376" t="s">
        <v>57</v>
      </c>
      <c r="G162" s="290" t="s">
        <v>793</v>
      </c>
      <c r="H162" s="290" t="s">
        <v>794</v>
      </c>
      <c r="I162" s="376" t="s">
        <v>795</v>
      </c>
      <c r="J162" s="399"/>
      <c r="K162" s="399"/>
      <c r="L162" s="399"/>
      <c r="M162" s="399"/>
      <c r="N162" s="399"/>
      <c r="O162" s="399"/>
      <c r="P162" s="399"/>
      <c r="U162" s="260"/>
    </row>
    <row r="163" spans="1:39" x14ac:dyDescent="0.25">
      <c r="A163" s="399"/>
      <c r="B163" s="496" t="s">
        <v>1135</v>
      </c>
      <c r="C163" s="131">
        <f>'Inputs and eligible population'!F$120</f>
        <v>6</v>
      </c>
      <c r="D163" s="131">
        <f t="shared" ref="D163:I170" si="69">$C163*D57</f>
        <v>0</v>
      </c>
      <c r="E163" s="131">
        <f t="shared" si="69"/>
        <v>0</v>
      </c>
      <c r="F163" s="131">
        <f t="shared" si="69"/>
        <v>0</v>
      </c>
      <c r="G163" s="131">
        <f t="shared" si="69"/>
        <v>0</v>
      </c>
      <c r="H163" s="131">
        <f t="shared" si="69"/>
        <v>0</v>
      </c>
      <c r="I163" s="131">
        <f t="shared" si="69"/>
        <v>0</v>
      </c>
      <c r="J163" s="399"/>
      <c r="K163" s="399"/>
      <c r="L163" s="399"/>
      <c r="M163" s="399"/>
      <c r="N163" s="399"/>
      <c r="O163" s="399"/>
      <c r="P163" s="399"/>
      <c r="U163" s="260"/>
    </row>
    <row r="164" spans="1:39" x14ac:dyDescent="0.25">
      <c r="A164" s="399"/>
      <c r="B164" s="496" t="s">
        <v>1136</v>
      </c>
      <c r="C164" s="131">
        <f>'Inputs and eligible population'!G$120</f>
        <v>4</v>
      </c>
      <c r="D164" s="131">
        <f t="shared" si="69"/>
        <v>0</v>
      </c>
      <c r="E164" s="131">
        <f t="shared" si="69"/>
        <v>0</v>
      </c>
      <c r="F164" s="131">
        <f t="shared" si="69"/>
        <v>0</v>
      </c>
      <c r="G164" s="131">
        <f t="shared" si="69"/>
        <v>0</v>
      </c>
      <c r="H164" s="131">
        <f t="shared" si="69"/>
        <v>0</v>
      </c>
      <c r="I164" s="131">
        <f t="shared" si="69"/>
        <v>0</v>
      </c>
      <c r="J164" s="399"/>
      <c r="K164" s="399"/>
      <c r="L164" s="399"/>
      <c r="M164" s="399"/>
      <c r="N164" s="399"/>
      <c r="O164" s="399"/>
      <c r="P164" s="399"/>
      <c r="U164" s="260"/>
    </row>
    <row r="165" spans="1:39" x14ac:dyDescent="0.25">
      <c r="A165" s="399"/>
      <c r="B165" s="496" t="s">
        <v>1137</v>
      </c>
      <c r="C165" s="131">
        <f>'Inputs and eligible population'!H$120</f>
        <v>8</v>
      </c>
      <c r="D165" s="131">
        <f t="shared" si="69"/>
        <v>0</v>
      </c>
      <c r="E165" s="131">
        <f t="shared" si="69"/>
        <v>0</v>
      </c>
      <c r="F165" s="131">
        <f t="shared" si="69"/>
        <v>0</v>
      </c>
      <c r="G165" s="131">
        <f t="shared" si="69"/>
        <v>0</v>
      </c>
      <c r="H165" s="131">
        <f t="shared" si="69"/>
        <v>0</v>
      </c>
      <c r="I165" s="131">
        <f t="shared" si="69"/>
        <v>0</v>
      </c>
      <c r="J165" s="399"/>
      <c r="K165" s="399"/>
      <c r="L165" s="399"/>
      <c r="M165" s="399"/>
      <c r="N165" s="399"/>
      <c r="O165" s="399"/>
      <c r="P165" s="399"/>
      <c r="U165" s="260"/>
    </row>
    <row r="166" spans="1:39" x14ac:dyDescent="0.25">
      <c r="A166" s="399"/>
      <c r="B166" s="496" t="s">
        <v>1138</v>
      </c>
      <c r="C166" s="131">
        <f>'Inputs and eligible population'!I$120</f>
        <v>6</v>
      </c>
      <c r="D166" s="131">
        <f t="shared" si="69"/>
        <v>0</v>
      </c>
      <c r="E166" s="131">
        <f t="shared" si="69"/>
        <v>0</v>
      </c>
      <c r="F166" s="131">
        <f t="shared" si="69"/>
        <v>0</v>
      </c>
      <c r="G166" s="131">
        <f t="shared" si="69"/>
        <v>0</v>
      </c>
      <c r="H166" s="131">
        <f t="shared" si="69"/>
        <v>0</v>
      </c>
      <c r="I166" s="131">
        <f t="shared" si="69"/>
        <v>0</v>
      </c>
      <c r="J166" s="399"/>
      <c r="K166" s="399"/>
      <c r="L166" s="399"/>
      <c r="M166" s="399"/>
      <c r="N166" s="399"/>
      <c r="O166" s="399"/>
      <c r="P166" s="399"/>
      <c r="U166" s="260"/>
    </row>
    <row r="167" spans="1:39" x14ac:dyDescent="0.25">
      <c r="A167" s="399"/>
      <c r="B167" s="496" t="s">
        <v>1139</v>
      </c>
      <c r="C167" s="131">
        <f>'Inputs and eligible population'!J$120</f>
        <v>6</v>
      </c>
      <c r="D167" s="131">
        <f t="shared" si="69"/>
        <v>0</v>
      </c>
      <c r="E167" s="131">
        <f t="shared" si="69"/>
        <v>0</v>
      </c>
      <c r="F167" s="131">
        <f t="shared" si="69"/>
        <v>0</v>
      </c>
      <c r="G167" s="131">
        <f t="shared" si="69"/>
        <v>0</v>
      </c>
      <c r="H167" s="131">
        <f t="shared" si="69"/>
        <v>0</v>
      </c>
      <c r="I167" s="131">
        <f t="shared" si="69"/>
        <v>0</v>
      </c>
      <c r="J167" s="399"/>
      <c r="K167" s="399"/>
      <c r="L167" s="399"/>
      <c r="M167" s="399"/>
      <c r="N167" s="399"/>
      <c r="O167" s="399"/>
      <c r="P167" s="399"/>
      <c r="U167" s="260"/>
    </row>
    <row r="168" spans="1:39" x14ac:dyDescent="0.25">
      <c r="A168" s="399"/>
      <c r="B168" s="496" t="s">
        <v>1140</v>
      </c>
      <c r="C168" s="131">
        <f>'Inputs and eligible population'!K$120</f>
        <v>8</v>
      </c>
      <c r="D168" s="131">
        <f t="shared" si="69"/>
        <v>0</v>
      </c>
      <c r="E168" s="131">
        <f t="shared" si="69"/>
        <v>0</v>
      </c>
      <c r="F168" s="131">
        <f t="shared" si="69"/>
        <v>0</v>
      </c>
      <c r="G168" s="131">
        <f t="shared" si="69"/>
        <v>0</v>
      </c>
      <c r="H168" s="131">
        <f t="shared" si="69"/>
        <v>0</v>
      </c>
      <c r="I168" s="131">
        <f t="shared" si="69"/>
        <v>0</v>
      </c>
      <c r="J168" s="399"/>
      <c r="K168" s="399"/>
      <c r="L168" s="399"/>
      <c r="M168" s="399"/>
      <c r="N168" s="399"/>
      <c r="O168" s="399"/>
      <c r="P168" s="399"/>
      <c r="U168" s="260"/>
    </row>
    <row r="169" spans="1:39" x14ac:dyDescent="0.25">
      <c r="A169" s="399"/>
      <c r="B169" s="496" t="s">
        <v>1141</v>
      </c>
      <c r="C169" s="131">
        <f>'Inputs and eligible population'!L$120</f>
        <v>12</v>
      </c>
      <c r="D169" s="131">
        <f t="shared" si="69"/>
        <v>0</v>
      </c>
      <c r="E169" s="131">
        <f t="shared" si="69"/>
        <v>0</v>
      </c>
      <c r="F169" s="131">
        <f t="shared" si="69"/>
        <v>0</v>
      </c>
      <c r="G169" s="131">
        <f t="shared" si="69"/>
        <v>0</v>
      </c>
      <c r="H169" s="131">
        <f t="shared" si="69"/>
        <v>0</v>
      </c>
      <c r="I169" s="131">
        <f t="shared" si="69"/>
        <v>0</v>
      </c>
      <c r="J169" s="399"/>
      <c r="K169" s="399"/>
      <c r="L169" s="399"/>
      <c r="M169" s="399"/>
      <c r="N169" s="399"/>
      <c r="O169" s="399"/>
      <c r="P169" s="399"/>
      <c r="U169" s="260"/>
    </row>
    <row r="170" spans="1:39" x14ac:dyDescent="0.25">
      <c r="A170" s="399"/>
      <c r="B170" s="496" t="s">
        <v>1142</v>
      </c>
      <c r="C170" s="131">
        <f>'Inputs and eligible population'!M$120</f>
        <v>4</v>
      </c>
      <c r="D170" s="131">
        <f t="shared" si="69"/>
        <v>0</v>
      </c>
      <c r="E170" s="131">
        <f t="shared" si="69"/>
        <v>0</v>
      </c>
      <c r="F170" s="131">
        <f t="shared" si="69"/>
        <v>0</v>
      </c>
      <c r="G170" s="131">
        <f t="shared" si="69"/>
        <v>0</v>
      </c>
      <c r="H170" s="131">
        <f t="shared" si="69"/>
        <v>0</v>
      </c>
      <c r="I170" s="131">
        <f t="shared" si="69"/>
        <v>0</v>
      </c>
      <c r="J170" s="399"/>
      <c r="K170" s="399"/>
      <c r="L170" s="399"/>
      <c r="M170" s="399"/>
      <c r="N170" s="399"/>
      <c r="O170" s="399"/>
      <c r="P170" s="399"/>
      <c r="U170" s="260"/>
    </row>
    <row r="171" spans="1:39" x14ac:dyDescent="0.25">
      <c r="A171" s="399"/>
      <c r="B171" s="394"/>
      <c r="C171" s="327"/>
      <c r="D171" s="313">
        <f t="shared" ref="D171:I171" si="70">SUM(D163:D170)</f>
        <v>0</v>
      </c>
      <c r="E171" s="313">
        <f t="shared" si="70"/>
        <v>0</v>
      </c>
      <c r="F171" s="313">
        <f t="shared" si="70"/>
        <v>0</v>
      </c>
      <c r="G171" s="313">
        <f t="shared" si="70"/>
        <v>0</v>
      </c>
      <c r="H171" s="313">
        <f t="shared" si="70"/>
        <v>0</v>
      </c>
      <c r="I171" s="313">
        <f t="shared" si="70"/>
        <v>0</v>
      </c>
      <c r="J171" s="399"/>
      <c r="K171" s="399"/>
      <c r="L171" s="399"/>
      <c r="M171" s="399"/>
      <c r="N171" s="399"/>
      <c r="O171" s="399"/>
      <c r="P171" s="399"/>
      <c r="U171" s="260"/>
    </row>
    <row r="172" spans="1:39" x14ac:dyDescent="0.25">
      <c r="A172" s="399"/>
      <c r="B172" s="425"/>
      <c r="C172" s="342"/>
      <c r="D172" s="395" t="s">
        <v>172</v>
      </c>
      <c r="E172" s="313">
        <f>E171-$D$171</f>
        <v>0</v>
      </c>
      <c r="F172" s="313">
        <f>F171-$D$171</f>
        <v>0</v>
      </c>
      <c r="G172" s="313">
        <f>G171-$D$171</f>
        <v>0</v>
      </c>
      <c r="H172" s="313">
        <f>H171-$D$171</f>
        <v>0</v>
      </c>
      <c r="I172" s="313">
        <f>I171-$D$171</f>
        <v>0</v>
      </c>
      <c r="J172" s="399"/>
      <c r="K172" s="399"/>
      <c r="L172" s="399"/>
      <c r="M172" s="399"/>
      <c r="N172" s="399"/>
      <c r="O172" s="399"/>
      <c r="P172" s="399"/>
      <c r="U172" s="260"/>
    </row>
    <row r="173" spans="1:39" x14ac:dyDescent="0.25">
      <c r="A173" s="399"/>
      <c r="B173" s="450"/>
      <c r="C173" s="561"/>
      <c r="D173" s="338"/>
      <c r="E173" s="338"/>
      <c r="F173" s="338"/>
      <c r="G173" s="338"/>
      <c r="H173" s="338"/>
      <c r="I173" s="338"/>
      <c r="J173" s="338"/>
      <c r="K173" s="399"/>
      <c r="L173" s="399"/>
      <c r="M173" s="399"/>
      <c r="N173" s="399"/>
      <c r="O173" s="399"/>
      <c r="P173" s="399"/>
      <c r="Q173" s="260"/>
      <c r="R173" s="260"/>
      <c r="S173" s="260"/>
      <c r="T173" s="260"/>
      <c r="U173" s="260"/>
      <c r="V173" s="260"/>
      <c r="W173" s="260"/>
      <c r="X173" s="260"/>
      <c r="Y173" s="260"/>
      <c r="AI173" s="396"/>
      <c r="AJ173" s="396"/>
      <c r="AK173" s="396"/>
      <c r="AL173" s="396"/>
      <c r="AM173" s="396"/>
    </row>
    <row r="174" spans="1:39" x14ac:dyDescent="0.25">
      <c r="A174" s="398"/>
      <c r="B174" s="447" t="s">
        <v>820</v>
      </c>
      <c r="C174" s="426"/>
      <c r="D174" s="426"/>
      <c r="E174" s="427"/>
      <c r="F174" s="428"/>
      <c r="G174" s="428"/>
      <c r="H174" s="428"/>
      <c r="I174" s="552"/>
      <c r="J174" s="398"/>
      <c r="K174" s="398"/>
      <c r="L174" s="398"/>
      <c r="M174" s="398"/>
      <c r="N174" s="398"/>
      <c r="O174" s="398"/>
      <c r="P174" s="336"/>
      <c r="Q174" s="260"/>
      <c r="R174" s="260"/>
      <c r="S174" s="260"/>
      <c r="T174" s="260"/>
      <c r="U174" s="260"/>
      <c r="V174" s="260"/>
      <c r="W174" s="260"/>
      <c r="X174" s="260"/>
      <c r="Y174" s="260"/>
      <c r="AI174" s="396"/>
      <c r="AJ174" s="396"/>
      <c r="AK174" s="396"/>
      <c r="AL174" s="396"/>
      <c r="AM174" s="396"/>
    </row>
    <row r="175" spans="1:39" x14ac:dyDescent="0.25">
      <c r="A175" s="398"/>
      <c r="B175" s="562" t="s">
        <v>85</v>
      </c>
      <c r="C175" s="563"/>
      <c r="D175" s="563"/>
      <c r="E175" s="563"/>
      <c r="F175" s="563"/>
      <c r="G175" s="563"/>
      <c r="H175" s="563"/>
      <c r="I175" s="335"/>
      <c r="J175" s="336"/>
      <c r="K175" s="647"/>
      <c r="L175" s="647"/>
      <c r="M175" s="647"/>
      <c r="N175" s="647"/>
      <c r="O175" s="647"/>
      <c r="P175" s="647"/>
      <c r="Q175" s="260"/>
      <c r="R175" s="260"/>
      <c r="S175" s="260"/>
      <c r="T175" s="260"/>
      <c r="U175" s="260"/>
      <c r="V175" s="260"/>
      <c r="W175" s="260"/>
      <c r="X175" s="260"/>
      <c r="Y175" s="260"/>
      <c r="AI175" s="396"/>
      <c r="AJ175" s="396"/>
      <c r="AK175" s="396"/>
      <c r="AL175" s="396"/>
      <c r="AM175" s="396"/>
    </row>
    <row r="176" spans="1:39" ht="45" x14ac:dyDescent="0.25">
      <c r="A176" s="398"/>
      <c r="B176" s="390" t="s">
        <v>111</v>
      </c>
      <c r="C176" s="291" t="s">
        <v>85</v>
      </c>
      <c r="D176" s="629" t="s">
        <v>792</v>
      </c>
      <c r="E176" s="376" t="s">
        <v>56</v>
      </c>
      <c r="F176" s="376" t="s">
        <v>57</v>
      </c>
      <c r="G176" s="290" t="s">
        <v>793</v>
      </c>
      <c r="H176" s="290" t="s">
        <v>794</v>
      </c>
      <c r="I176" s="376" t="s">
        <v>795</v>
      </c>
      <c r="J176" s="398"/>
      <c r="K176" s="629" t="s">
        <v>1248</v>
      </c>
      <c r="L176" s="1114" t="s">
        <v>1249</v>
      </c>
      <c r="M176" s="1114" t="s">
        <v>1250</v>
      </c>
      <c r="N176" s="631" t="s">
        <v>1251</v>
      </c>
      <c r="O176" s="631" t="s">
        <v>1252</v>
      </c>
      <c r="P176" s="1114" t="s">
        <v>1253</v>
      </c>
      <c r="Q176" s="260"/>
      <c r="R176" s="260"/>
      <c r="S176" s="260"/>
      <c r="T176" s="260"/>
      <c r="U176" s="260"/>
      <c r="V176" s="260"/>
      <c r="W176" s="260"/>
      <c r="X176" s="260"/>
      <c r="Y176" s="260"/>
      <c r="AI176" s="396"/>
      <c r="AJ176" s="396"/>
      <c r="AK176" s="396"/>
      <c r="AL176" s="396"/>
      <c r="AM176" s="396"/>
    </row>
    <row r="177" spans="1:39" x14ac:dyDescent="0.25">
      <c r="A177" s="398"/>
      <c r="B177" s="496" t="s">
        <v>1135</v>
      </c>
      <c r="C177" s="131">
        <f>'Inputs and eligible population'!F$121</f>
        <v>6</v>
      </c>
      <c r="D177" s="131">
        <f>$C177*'Financial impact (cash)'!D30</f>
        <v>0</v>
      </c>
      <c r="E177" s="131">
        <f>$C177*'Financial impact (cash)'!E30</f>
        <v>0</v>
      </c>
      <c r="F177" s="131">
        <f>$C177*'Financial impact (cash)'!F30</f>
        <v>0</v>
      </c>
      <c r="G177" s="131">
        <f>$C177*'Financial impact (cash)'!G30</f>
        <v>0</v>
      </c>
      <c r="H177" s="131">
        <f>$C177*'Financial impact (cash)'!H30</f>
        <v>0</v>
      </c>
      <c r="I177" s="131">
        <f>$C177*'Financial impact (cash)'!I30</f>
        <v>0</v>
      </c>
      <c r="J177" s="398"/>
      <c r="K177" s="406">
        <f>D31*'Unit costs'!$N$132/1000+'Capacity (national prices)'!D44*'Unit costs'!$N$133/1000</f>
        <v>0</v>
      </c>
      <c r="L177" s="406">
        <f>E31*'Unit costs'!$N$132/1000+'Capacity (national prices)'!E44*'Unit costs'!$N$133/1000</f>
        <v>0</v>
      </c>
      <c r="M177" s="406">
        <f>F31*'Unit costs'!$N$132/1000+'Capacity (national prices)'!F44*'Unit costs'!$N$133/1000</f>
        <v>0</v>
      </c>
      <c r="N177" s="406">
        <f>G31*'Unit costs'!$N$132/1000+'Capacity (national prices)'!G44*'Unit costs'!$N$133/1000</f>
        <v>0</v>
      </c>
      <c r="O177" s="406">
        <f>H31*'Unit costs'!$N$132/1000+'Capacity (national prices)'!H44*'Unit costs'!$N$133/1000</f>
        <v>0</v>
      </c>
      <c r="P177" s="406">
        <f>I31*'Unit costs'!$N$132/1000+'Capacity (national prices)'!I44*'Unit costs'!$N$133/1000</f>
        <v>0</v>
      </c>
      <c r="Q177" s="260"/>
      <c r="R177" s="260"/>
      <c r="S177" s="260"/>
      <c r="T177" s="260"/>
      <c r="U177" s="260"/>
      <c r="V177" s="260"/>
      <c r="W177" s="260"/>
      <c r="X177" s="260"/>
      <c r="Y177" s="260"/>
      <c r="AI177" s="396"/>
      <c r="AJ177" s="396"/>
      <c r="AK177" s="396"/>
      <c r="AL177" s="396"/>
      <c r="AM177" s="396"/>
    </row>
    <row r="178" spans="1:39" x14ac:dyDescent="0.25">
      <c r="A178" s="398"/>
      <c r="B178" s="496" t="s">
        <v>1136</v>
      </c>
      <c r="C178" s="131">
        <f>'Inputs and eligible population'!G$121</f>
        <v>4</v>
      </c>
      <c r="D178" s="131">
        <f>$C178*'Financial impact (cash)'!D31</f>
        <v>0</v>
      </c>
      <c r="E178" s="131">
        <f>$C178*'Financial impact (cash)'!E31</f>
        <v>0</v>
      </c>
      <c r="F178" s="131">
        <f>$C178*'Financial impact (cash)'!F31</f>
        <v>0</v>
      </c>
      <c r="G178" s="131">
        <f>$C178*'Financial impact (cash)'!G31</f>
        <v>0</v>
      </c>
      <c r="H178" s="131">
        <f>$C178*'Financial impact (cash)'!H31</f>
        <v>0</v>
      </c>
      <c r="I178" s="131">
        <f>$C178*'Financial impact (cash)'!I31</f>
        <v>0</v>
      </c>
      <c r="J178" s="398"/>
      <c r="K178" s="406">
        <f>D32*'Unit costs'!$N$132/1000+'Capacity (national prices)'!D45*'Unit costs'!$N$133/1000</f>
        <v>0</v>
      </c>
      <c r="L178" s="406">
        <f>E32*'Unit costs'!$N$132/1000+'Capacity (national prices)'!E45*'Unit costs'!$N$133/1000</f>
        <v>0</v>
      </c>
      <c r="M178" s="406">
        <f>F32*'Unit costs'!$N$132/1000+'Capacity (national prices)'!F45*'Unit costs'!$N$133/1000</f>
        <v>0</v>
      </c>
      <c r="N178" s="406">
        <f>G32*'Unit costs'!$N$132/1000+'Capacity (national prices)'!G45*'Unit costs'!$N$133/1000</f>
        <v>0</v>
      </c>
      <c r="O178" s="406">
        <f>H32*'Unit costs'!$N$132/1000+'Capacity (national prices)'!H45*'Unit costs'!$N$133/1000</f>
        <v>0</v>
      </c>
      <c r="P178" s="406">
        <f>I32*'Unit costs'!$N$132/1000+'Capacity (national prices)'!I45*'Unit costs'!$N$133/1000</f>
        <v>0</v>
      </c>
      <c r="Q178" s="260"/>
      <c r="R178" s="260"/>
      <c r="S178" s="260"/>
      <c r="T178" s="260"/>
      <c r="U178" s="260"/>
      <c r="V178" s="260"/>
      <c r="W178" s="260"/>
      <c r="X178" s="260"/>
      <c r="Y178" s="260"/>
      <c r="AI178" s="396"/>
      <c r="AJ178" s="396"/>
      <c r="AK178" s="396"/>
      <c r="AL178" s="396"/>
      <c r="AM178" s="396"/>
    </row>
    <row r="179" spans="1:39" x14ac:dyDescent="0.25">
      <c r="A179" s="398"/>
      <c r="B179" s="496" t="s">
        <v>1137</v>
      </c>
      <c r="C179" s="131">
        <f>'Inputs and eligible population'!H$121</f>
        <v>8</v>
      </c>
      <c r="D179" s="131">
        <f>$C179*'Financial impact (cash)'!D32</f>
        <v>0</v>
      </c>
      <c r="E179" s="131">
        <f>$C179*'Financial impact (cash)'!E32</f>
        <v>0</v>
      </c>
      <c r="F179" s="131">
        <f>$C179*'Financial impact (cash)'!F32</f>
        <v>0</v>
      </c>
      <c r="G179" s="131">
        <f>$C179*'Financial impact (cash)'!G32</f>
        <v>0</v>
      </c>
      <c r="H179" s="131">
        <f>$C179*'Financial impact (cash)'!H32</f>
        <v>0</v>
      </c>
      <c r="I179" s="131">
        <f>$C179*'Financial impact (cash)'!I32</f>
        <v>0</v>
      </c>
      <c r="J179" s="398"/>
      <c r="K179" s="406">
        <f>D33*'Unit costs'!$N$132/1000+'Capacity (national prices)'!D46*'Unit costs'!$N$133/1000</f>
        <v>0</v>
      </c>
      <c r="L179" s="406">
        <f>E33*'Unit costs'!$N$132/1000+'Capacity (national prices)'!E46*'Unit costs'!$N$133/1000</f>
        <v>0</v>
      </c>
      <c r="M179" s="406">
        <f>F33*'Unit costs'!$N$132/1000+'Capacity (national prices)'!F46*'Unit costs'!$N$133/1000</f>
        <v>0</v>
      </c>
      <c r="N179" s="406">
        <f>G33*'Unit costs'!$N$132/1000+'Capacity (national prices)'!G46*'Unit costs'!$N$133/1000</f>
        <v>0</v>
      </c>
      <c r="O179" s="406">
        <f>H33*'Unit costs'!$N$132/1000+'Capacity (national prices)'!H46*'Unit costs'!$N$133/1000</f>
        <v>0</v>
      </c>
      <c r="P179" s="406">
        <f>I33*'Unit costs'!$N$132/1000+'Capacity (national prices)'!I46*'Unit costs'!$N$133/1000</f>
        <v>0</v>
      </c>
      <c r="Q179" s="260"/>
      <c r="R179" s="260"/>
      <c r="S179" s="260"/>
      <c r="T179" s="260"/>
      <c r="U179" s="260"/>
      <c r="V179" s="260"/>
      <c r="W179" s="260"/>
      <c r="X179" s="260"/>
      <c r="Y179" s="260"/>
      <c r="AI179" s="396"/>
      <c r="AJ179" s="396"/>
      <c r="AK179" s="396"/>
      <c r="AL179" s="396"/>
      <c r="AM179" s="396"/>
    </row>
    <row r="180" spans="1:39" x14ac:dyDescent="0.25">
      <c r="A180" s="398"/>
      <c r="B180" s="496" t="s">
        <v>1138</v>
      </c>
      <c r="C180" s="131">
        <f>'Inputs and eligible population'!I$121</f>
        <v>6</v>
      </c>
      <c r="D180" s="131">
        <f>$C180*'Financial impact (cash)'!D33</f>
        <v>0</v>
      </c>
      <c r="E180" s="131">
        <f>$C180*'Financial impact (cash)'!E33</f>
        <v>0</v>
      </c>
      <c r="F180" s="131">
        <f>$C180*'Financial impact (cash)'!F33</f>
        <v>0</v>
      </c>
      <c r="G180" s="131">
        <f>$C180*'Financial impact (cash)'!G33</f>
        <v>0</v>
      </c>
      <c r="H180" s="131">
        <f>$C180*'Financial impact (cash)'!H33</f>
        <v>0</v>
      </c>
      <c r="I180" s="131">
        <f>$C180*'Financial impact (cash)'!I33</f>
        <v>0</v>
      </c>
      <c r="J180" s="398"/>
      <c r="K180" s="406">
        <f>D34*'Unit costs'!$N$132/1000+'Capacity (national prices)'!D47*'Unit costs'!$N$133/1000</f>
        <v>0</v>
      </c>
      <c r="L180" s="406">
        <f>E34*'Unit costs'!$N$132/1000+'Capacity (national prices)'!E47*'Unit costs'!$N$133/1000</f>
        <v>0</v>
      </c>
      <c r="M180" s="406">
        <f>F34*'Unit costs'!$N$132/1000+'Capacity (national prices)'!F47*'Unit costs'!$N$133/1000</f>
        <v>0</v>
      </c>
      <c r="N180" s="406">
        <f>G34*'Unit costs'!$N$132/1000+'Capacity (national prices)'!G47*'Unit costs'!$N$133/1000</f>
        <v>0</v>
      </c>
      <c r="O180" s="406">
        <f>H34*'Unit costs'!$N$132/1000+'Capacity (national prices)'!H47*'Unit costs'!$N$133/1000</f>
        <v>0</v>
      </c>
      <c r="P180" s="406">
        <f>I34*'Unit costs'!$N$132/1000+'Capacity (national prices)'!I47*'Unit costs'!$N$133/1000</f>
        <v>0</v>
      </c>
      <c r="Q180" s="260"/>
      <c r="R180" s="260"/>
      <c r="S180" s="260"/>
      <c r="T180" s="260"/>
      <c r="U180" s="260"/>
      <c r="V180" s="260"/>
      <c r="W180" s="260"/>
      <c r="X180" s="260"/>
      <c r="Y180" s="260"/>
      <c r="AI180" s="396"/>
      <c r="AJ180" s="396"/>
      <c r="AK180" s="396"/>
      <c r="AL180" s="396"/>
      <c r="AM180" s="396"/>
    </row>
    <row r="181" spans="1:39" x14ac:dyDescent="0.25">
      <c r="A181" s="398"/>
      <c r="B181" s="496" t="s">
        <v>1139</v>
      </c>
      <c r="C181" s="131">
        <f>'Inputs and eligible population'!J$121</f>
        <v>6</v>
      </c>
      <c r="D181" s="131">
        <f>$C181*'Financial impact (cash)'!D34</f>
        <v>0</v>
      </c>
      <c r="E181" s="131">
        <f>$C181*'Financial impact (cash)'!E34</f>
        <v>0</v>
      </c>
      <c r="F181" s="131">
        <f>$C181*'Financial impact (cash)'!F34</f>
        <v>0</v>
      </c>
      <c r="G181" s="131">
        <f>$C181*'Financial impact (cash)'!G34</f>
        <v>0</v>
      </c>
      <c r="H181" s="131">
        <f>$C181*'Financial impact (cash)'!H34</f>
        <v>0</v>
      </c>
      <c r="I181" s="131">
        <f>$C181*'Financial impact (cash)'!I34</f>
        <v>0</v>
      </c>
      <c r="J181" s="398"/>
      <c r="K181" s="406">
        <f>D35*'Unit costs'!$N$132/1000+'Capacity (national prices)'!D48*'Unit costs'!$N$133/1000</f>
        <v>0</v>
      </c>
      <c r="L181" s="406">
        <f>E35*'Unit costs'!$N$132/1000+'Capacity (national prices)'!E48*'Unit costs'!$N$133/1000</f>
        <v>0</v>
      </c>
      <c r="M181" s="406">
        <f>F35*'Unit costs'!$N$132/1000+'Capacity (national prices)'!F48*'Unit costs'!$N$133/1000</f>
        <v>0</v>
      </c>
      <c r="N181" s="406">
        <f>G35*'Unit costs'!$N$132/1000+'Capacity (national prices)'!G48*'Unit costs'!$N$133/1000</f>
        <v>0</v>
      </c>
      <c r="O181" s="406">
        <f>H35*'Unit costs'!$N$132/1000+'Capacity (national prices)'!H48*'Unit costs'!$N$133/1000</f>
        <v>0</v>
      </c>
      <c r="P181" s="406">
        <f>I35*'Unit costs'!$N$132/1000+'Capacity (national prices)'!I48*'Unit costs'!$N$133/1000</f>
        <v>0</v>
      </c>
      <c r="Q181" s="260"/>
      <c r="R181" s="260"/>
      <c r="S181" s="260"/>
      <c r="T181" s="260"/>
      <c r="U181" s="260"/>
      <c r="V181" s="260"/>
      <c r="W181" s="260"/>
      <c r="X181" s="260"/>
      <c r="Y181" s="260"/>
      <c r="AI181" s="396"/>
      <c r="AJ181" s="396"/>
      <c r="AK181" s="396"/>
      <c r="AL181" s="396"/>
      <c r="AM181" s="396"/>
    </row>
    <row r="182" spans="1:39" x14ac:dyDescent="0.25">
      <c r="A182" s="398"/>
      <c r="B182" s="496" t="s">
        <v>1140</v>
      </c>
      <c r="C182" s="131">
        <f>'Inputs and eligible population'!K$121</f>
        <v>8</v>
      </c>
      <c r="D182" s="131">
        <f>$C182*'Financial impact (cash)'!D35</f>
        <v>0</v>
      </c>
      <c r="E182" s="131">
        <f>$C182*'Financial impact (cash)'!E35</f>
        <v>0</v>
      </c>
      <c r="F182" s="131">
        <f>$C182*'Financial impact (cash)'!F35</f>
        <v>0</v>
      </c>
      <c r="G182" s="131">
        <f>$C182*'Financial impact (cash)'!G35</f>
        <v>0</v>
      </c>
      <c r="H182" s="131">
        <f>$C182*'Financial impact (cash)'!H35</f>
        <v>0</v>
      </c>
      <c r="I182" s="131">
        <f>$C182*'Financial impact (cash)'!I35</f>
        <v>0</v>
      </c>
      <c r="J182" s="398"/>
      <c r="K182" s="406">
        <f>D36*'Unit costs'!$N$132/1000+'Capacity (national prices)'!D49*'Unit costs'!$N$133/1000</f>
        <v>0</v>
      </c>
      <c r="L182" s="406">
        <f>E36*'Unit costs'!$N$132/1000+'Capacity (national prices)'!E49*'Unit costs'!$N$133/1000</f>
        <v>0</v>
      </c>
      <c r="M182" s="406">
        <f>F36*'Unit costs'!$N$132/1000+'Capacity (national prices)'!F49*'Unit costs'!$N$133/1000</f>
        <v>0</v>
      </c>
      <c r="N182" s="406">
        <f>G36*'Unit costs'!$N$132/1000+'Capacity (national prices)'!G49*'Unit costs'!$N$133/1000</f>
        <v>0</v>
      </c>
      <c r="O182" s="406">
        <f>H36*'Unit costs'!$N$132/1000+'Capacity (national prices)'!H49*'Unit costs'!$N$133/1000</f>
        <v>0</v>
      </c>
      <c r="P182" s="406">
        <f>I36*'Unit costs'!$N$132/1000+'Capacity (national prices)'!I49*'Unit costs'!$N$133/1000</f>
        <v>0</v>
      </c>
      <c r="Q182" s="260"/>
      <c r="R182" s="260"/>
      <c r="S182" s="260"/>
      <c r="T182" s="260"/>
      <c r="U182" s="260"/>
      <c r="V182" s="260"/>
      <c r="W182" s="260"/>
      <c r="X182" s="260"/>
      <c r="Y182" s="260"/>
      <c r="AI182" s="396"/>
      <c r="AJ182" s="396"/>
      <c r="AK182" s="396"/>
      <c r="AL182" s="396"/>
      <c r="AM182" s="396"/>
    </row>
    <row r="183" spans="1:39" x14ac:dyDescent="0.25">
      <c r="A183" s="398"/>
      <c r="B183" s="496" t="s">
        <v>1141</v>
      </c>
      <c r="C183" s="131">
        <f>'Inputs and eligible population'!L$121</f>
        <v>12</v>
      </c>
      <c r="D183" s="131">
        <f>$C183*'Financial impact (cash)'!D36</f>
        <v>0</v>
      </c>
      <c r="E183" s="131">
        <f>$C183*'Financial impact (cash)'!E36</f>
        <v>0</v>
      </c>
      <c r="F183" s="131">
        <f>$C183*'Financial impact (cash)'!F36</f>
        <v>0</v>
      </c>
      <c r="G183" s="131">
        <f>$C183*'Financial impact (cash)'!G36</f>
        <v>0</v>
      </c>
      <c r="H183" s="131">
        <f>$C183*'Financial impact (cash)'!H36</f>
        <v>0</v>
      </c>
      <c r="I183" s="131">
        <f>$C183*'Financial impact (cash)'!I36</f>
        <v>0</v>
      </c>
      <c r="J183" s="398"/>
      <c r="K183" s="406">
        <f>D37*'Unit costs'!$N$132/1000+'Capacity (national prices)'!D50*'Unit costs'!$N$133/1000</f>
        <v>0</v>
      </c>
      <c r="L183" s="406">
        <f>E37*'Unit costs'!$N$132/1000+'Capacity (national prices)'!E50*'Unit costs'!$N$133/1000</f>
        <v>0</v>
      </c>
      <c r="M183" s="406">
        <f>F37*'Unit costs'!$N$132/1000+'Capacity (national prices)'!F50*'Unit costs'!$N$133/1000</f>
        <v>0</v>
      </c>
      <c r="N183" s="406">
        <f>G37*'Unit costs'!$N$132/1000+'Capacity (national prices)'!G50*'Unit costs'!$N$133/1000</f>
        <v>0</v>
      </c>
      <c r="O183" s="406">
        <f>H37*'Unit costs'!$N$132/1000+'Capacity (national prices)'!H50*'Unit costs'!$N$133/1000</f>
        <v>0</v>
      </c>
      <c r="P183" s="406">
        <f>I37*'Unit costs'!$N$132/1000+'Capacity (national prices)'!I50*'Unit costs'!$N$133/1000</f>
        <v>0</v>
      </c>
      <c r="Q183" s="260"/>
      <c r="R183" s="260"/>
      <c r="S183" s="260"/>
      <c r="T183" s="260"/>
      <c r="U183" s="260"/>
      <c r="V183" s="260"/>
      <c r="W183" s="260"/>
      <c r="X183" s="260"/>
      <c r="Y183" s="260"/>
      <c r="AI183" s="396"/>
      <c r="AJ183" s="396"/>
      <c r="AK183" s="396"/>
      <c r="AL183" s="396"/>
      <c r="AM183" s="396"/>
    </row>
    <row r="184" spans="1:39" x14ac:dyDescent="0.25">
      <c r="A184" s="398"/>
      <c r="B184" s="496" t="s">
        <v>1142</v>
      </c>
      <c r="C184" s="131">
        <f>'Inputs and eligible population'!M$121</f>
        <v>16</v>
      </c>
      <c r="D184" s="131">
        <f>$C184*'Financial impact (cash)'!D37</f>
        <v>0</v>
      </c>
      <c r="E184" s="131">
        <f>$C184*'Financial impact (cash)'!E37</f>
        <v>0</v>
      </c>
      <c r="F184" s="131">
        <f>$C184*'Financial impact (cash)'!F37</f>
        <v>0</v>
      </c>
      <c r="G184" s="131">
        <f>$C184*'Financial impact (cash)'!G37</f>
        <v>0</v>
      </c>
      <c r="H184" s="131">
        <f>$C184*'Financial impact (cash)'!H37</f>
        <v>0</v>
      </c>
      <c r="I184" s="131">
        <f>$C184*'Financial impact (cash)'!I37</f>
        <v>0</v>
      </c>
      <c r="J184" s="398"/>
      <c r="K184" s="406">
        <f>D38*'Unit costs'!$N$132/1000+'Capacity (national prices)'!D51*'Unit costs'!$N$133/1000</f>
        <v>0</v>
      </c>
      <c r="L184" s="406">
        <f>E38*'Unit costs'!$N$132/1000+'Capacity (national prices)'!E51*'Unit costs'!$N$133/1000</f>
        <v>0</v>
      </c>
      <c r="M184" s="406">
        <f>F38*'Unit costs'!$N$132/1000+'Capacity (national prices)'!F51*'Unit costs'!$N$133/1000</f>
        <v>0</v>
      </c>
      <c r="N184" s="406">
        <f>G38*'Unit costs'!$N$132/1000+'Capacity (national prices)'!G51*'Unit costs'!$N$133/1000</f>
        <v>0</v>
      </c>
      <c r="O184" s="406">
        <f>H38*'Unit costs'!$N$132/1000+'Capacity (national prices)'!H51*'Unit costs'!$N$133/1000</f>
        <v>0</v>
      </c>
      <c r="P184" s="406">
        <f>I38*'Unit costs'!$N$132/1000+'Capacity (national prices)'!I51*'Unit costs'!$N$133/1000</f>
        <v>0</v>
      </c>
      <c r="Q184" s="260"/>
      <c r="R184" s="260"/>
      <c r="S184" s="260"/>
      <c r="T184" s="260"/>
      <c r="U184" s="260"/>
      <c r="V184" s="260"/>
      <c r="W184" s="260"/>
      <c r="X184" s="260"/>
      <c r="Y184" s="260"/>
      <c r="AI184" s="396"/>
      <c r="AJ184" s="396"/>
      <c r="AK184" s="396"/>
      <c r="AL184" s="396"/>
      <c r="AM184" s="396"/>
    </row>
    <row r="185" spans="1:39" x14ac:dyDescent="0.25">
      <c r="A185" s="398"/>
      <c r="B185" s="394"/>
      <c r="C185" s="327"/>
      <c r="D185" s="313">
        <f t="shared" ref="D185:I185" si="71">SUM(D177:D184)</f>
        <v>0</v>
      </c>
      <c r="E185" s="313">
        <f t="shared" si="71"/>
        <v>0</v>
      </c>
      <c r="F185" s="313">
        <f t="shared" si="71"/>
        <v>0</v>
      </c>
      <c r="G185" s="313">
        <f t="shared" si="71"/>
        <v>0</v>
      </c>
      <c r="H185" s="313">
        <f t="shared" si="71"/>
        <v>0</v>
      </c>
      <c r="I185" s="313">
        <f t="shared" si="71"/>
        <v>0</v>
      </c>
      <c r="J185" s="398"/>
      <c r="K185" s="1112">
        <f t="shared" ref="K185:P185" si="72">SUM(K177:K184)</f>
        <v>0</v>
      </c>
      <c r="L185" s="1112">
        <f t="shared" si="72"/>
        <v>0</v>
      </c>
      <c r="M185" s="1112">
        <f t="shared" si="72"/>
        <v>0</v>
      </c>
      <c r="N185" s="1112">
        <f t="shared" si="72"/>
        <v>0</v>
      </c>
      <c r="O185" s="1112">
        <f t="shared" si="72"/>
        <v>0</v>
      </c>
      <c r="P185" s="1112">
        <f t="shared" si="72"/>
        <v>0</v>
      </c>
      <c r="Q185" s="260"/>
      <c r="R185" s="260"/>
      <c r="S185" s="260"/>
      <c r="T185" s="260"/>
      <c r="U185" s="260"/>
      <c r="V185" s="260"/>
      <c r="W185" s="260"/>
      <c r="X185" s="260"/>
      <c r="Y185" s="260"/>
      <c r="AI185" s="396"/>
      <c r="AJ185" s="396"/>
      <c r="AK185" s="396"/>
      <c r="AL185" s="396"/>
      <c r="AM185" s="396"/>
    </row>
    <row r="186" spans="1:39" x14ac:dyDescent="0.25">
      <c r="A186" s="398"/>
      <c r="B186" s="425"/>
      <c r="C186" s="377"/>
      <c r="D186" s="395" t="s">
        <v>821</v>
      </c>
      <c r="E186" s="313">
        <f>E185-$D$185</f>
        <v>0</v>
      </c>
      <c r="F186" s="313">
        <f>F185-$D$185</f>
        <v>0</v>
      </c>
      <c r="G186" s="313">
        <f>G185-$D$185</f>
        <v>0</v>
      </c>
      <c r="H186" s="313">
        <f>H185-$D$185</f>
        <v>0</v>
      </c>
      <c r="I186" s="313">
        <f>I185-$D$185</f>
        <v>0</v>
      </c>
      <c r="J186" s="398"/>
      <c r="K186" s="1135"/>
      <c r="L186" s="1112">
        <f>L185-$K$185</f>
        <v>0</v>
      </c>
      <c r="M186" s="1112">
        <f>M185-$K$185</f>
        <v>0</v>
      </c>
      <c r="N186" s="1112">
        <f>N185-$K$185</f>
        <v>0</v>
      </c>
      <c r="O186" s="1112">
        <f>O185-$K$185</f>
        <v>0</v>
      </c>
      <c r="P186" s="1112">
        <f>P185-$K$185</f>
        <v>0</v>
      </c>
      <c r="U186" s="260"/>
    </row>
    <row r="187" spans="1:39" x14ac:dyDescent="0.25">
      <c r="A187" s="398"/>
      <c r="B187" s="448"/>
      <c r="C187" s="336"/>
      <c r="D187" s="336"/>
      <c r="E187" s="336"/>
      <c r="F187" s="336"/>
      <c r="G187" s="336"/>
      <c r="H187" s="336"/>
      <c r="I187" s="336"/>
      <c r="J187" s="336"/>
      <c r="K187" s="336"/>
      <c r="L187" s="336"/>
      <c r="M187" s="336"/>
      <c r="N187" s="336"/>
      <c r="O187" s="336"/>
      <c r="P187" s="336"/>
      <c r="Q187" s="260"/>
      <c r="R187" s="260"/>
      <c r="S187" s="260"/>
      <c r="T187" s="260"/>
      <c r="U187" s="260"/>
      <c r="V187" s="260"/>
      <c r="W187" s="260"/>
      <c r="X187" s="260"/>
      <c r="Y187" s="260"/>
      <c r="AI187" s="396"/>
      <c r="AJ187" s="396"/>
      <c r="AK187" s="396"/>
      <c r="AL187" s="396"/>
      <c r="AM187" s="396"/>
    </row>
    <row r="188" spans="1:39" hidden="1" x14ac:dyDescent="0.25">
      <c r="A188" s="456"/>
      <c r="B188" s="457" t="s">
        <v>822</v>
      </c>
      <c r="C188" s="458"/>
      <c r="D188" s="458"/>
      <c r="E188" s="459"/>
      <c r="F188" s="460"/>
      <c r="G188" s="461"/>
      <c r="H188" s="461"/>
      <c r="I188" s="554"/>
      <c r="J188" s="456"/>
      <c r="K188" s="456"/>
      <c r="L188" s="456"/>
      <c r="M188" s="456"/>
      <c r="N188" s="456"/>
      <c r="O188" s="456"/>
      <c r="P188" s="593"/>
      <c r="Q188" s="260"/>
      <c r="R188" s="260"/>
      <c r="S188" s="260"/>
      <c r="T188" s="260"/>
      <c r="U188" s="260"/>
      <c r="V188" s="260"/>
      <c r="W188" s="260"/>
      <c r="X188" s="260"/>
      <c r="Y188" s="260"/>
      <c r="AI188" s="396"/>
      <c r="AJ188" s="396"/>
      <c r="AK188" s="396"/>
      <c r="AL188" s="396"/>
      <c r="AM188" s="396"/>
    </row>
    <row r="189" spans="1:39" hidden="1" x14ac:dyDescent="0.25">
      <c r="A189" s="456"/>
      <c r="B189" s="564" t="s">
        <v>88</v>
      </c>
      <c r="C189" s="565"/>
      <c r="D189" s="565"/>
      <c r="E189" s="565"/>
      <c r="F189" s="565"/>
      <c r="G189" s="565"/>
      <c r="H189" s="565"/>
      <c r="I189" s="462"/>
      <c r="J189" s="593"/>
      <c r="K189" s="648"/>
      <c r="L189" s="648"/>
      <c r="M189" s="648"/>
      <c r="N189" s="648"/>
      <c r="O189" s="648"/>
      <c r="P189" s="648"/>
      <c r="Q189" s="260"/>
      <c r="R189" s="260"/>
      <c r="S189" s="260"/>
      <c r="T189" s="260"/>
      <c r="U189" s="260"/>
      <c r="V189" s="260"/>
      <c r="W189" s="260"/>
      <c r="X189" s="260"/>
      <c r="Y189" s="260"/>
      <c r="AI189" s="396"/>
      <c r="AJ189" s="396"/>
      <c r="AK189" s="396"/>
      <c r="AL189" s="396"/>
      <c r="AM189" s="396"/>
    </row>
    <row r="190" spans="1:39" ht="45" hidden="1" x14ac:dyDescent="0.25">
      <c r="A190" s="456"/>
      <c r="B190" s="390" t="s">
        <v>111</v>
      </c>
      <c r="C190" s="291" t="s">
        <v>88</v>
      </c>
      <c r="D190" s="629" t="s">
        <v>792</v>
      </c>
      <c r="E190" s="376" t="s">
        <v>56</v>
      </c>
      <c r="F190" s="376" t="s">
        <v>57</v>
      </c>
      <c r="G190" s="290" t="s">
        <v>793</v>
      </c>
      <c r="H190" s="290" t="s">
        <v>794</v>
      </c>
      <c r="I190" s="376" t="s">
        <v>795</v>
      </c>
      <c r="J190" s="456"/>
      <c r="K190" s="629" t="s">
        <v>792</v>
      </c>
      <c r="L190" s="376" t="s">
        <v>56</v>
      </c>
      <c r="M190" s="376" t="s">
        <v>57</v>
      </c>
      <c r="N190" s="290" t="s">
        <v>793</v>
      </c>
      <c r="O190" s="290" t="s">
        <v>794</v>
      </c>
      <c r="P190" s="376" t="s">
        <v>795</v>
      </c>
      <c r="Q190" s="260"/>
      <c r="R190" s="260"/>
      <c r="S190" s="260"/>
      <c r="T190" s="260"/>
      <c r="U190" s="260"/>
      <c r="V190" s="260"/>
      <c r="W190" s="260"/>
      <c r="X190" s="260"/>
      <c r="Y190" s="260"/>
      <c r="AI190" s="396"/>
      <c r="AJ190" s="396"/>
      <c r="AK190" s="396"/>
      <c r="AL190" s="396"/>
      <c r="AM190" s="396"/>
    </row>
    <row r="191" spans="1:39" hidden="1" x14ac:dyDescent="0.25">
      <c r="A191" s="456"/>
      <c r="B191" s="501" t="s">
        <v>67</v>
      </c>
      <c r="C191" s="276" t="e">
        <f>'Inputs and eligible population'!#REF!</f>
        <v>#REF!</v>
      </c>
      <c r="D191" s="131" t="e">
        <f>'Financial impact (cash)'!#REF!*'Capacity (local prices) '!$C191</f>
        <v>#REF!</v>
      </c>
      <c r="E191" s="131" t="e">
        <f>'Financial impact (cash)'!#REF!*'Capacity (local prices) '!$C191</f>
        <v>#REF!</v>
      </c>
      <c r="F191" s="131" t="e">
        <f>'Financial impact (cash)'!#REF!*'Capacity (local prices) '!$C191</f>
        <v>#REF!</v>
      </c>
      <c r="G191" s="131" t="e">
        <f>'Financial impact (cash)'!#REF!*'Capacity (local prices) '!$C191</f>
        <v>#REF!</v>
      </c>
      <c r="H191" s="131" t="e">
        <f>'Financial impact (cash)'!#REF!*'Capacity (local prices) '!$C191</f>
        <v>#REF!</v>
      </c>
      <c r="I191" s="131" t="e">
        <f>'Financial impact (cash)'!#REF!*'Capacity (local prices) '!$C191</f>
        <v>#REF!</v>
      </c>
      <c r="J191" s="456"/>
      <c r="K191" s="406" t="e">
        <f>(D191*'Inputs and eligible population'!#REF!)/1000</f>
        <v>#REF!</v>
      </c>
      <c r="L191" s="406" t="e">
        <f>(E191*'Inputs and eligible population'!#REF!)/1000</f>
        <v>#REF!</v>
      </c>
      <c r="M191" s="406" t="e">
        <f>(F191*'Inputs and eligible population'!#REF!)/1000</f>
        <v>#REF!</v>
      </c>
      <c r="N191" s="406" t="e">
        <f>(G191*'Inputs and eligible population'!#REF!)/1000</f>
        <v>#REF!</v>
      </c>
      <c r="O191" s="406" t="e">
        <f>(H191*'Inputs and eligible population'!#REF!)/1000</f>
        <v>#REF!</v>
      </c>
      <c r="P191" s="406" t="e">
        <f>(I191*'Inputs and eligible population'!#REF!)/1000</f>
        <v>#REF!</v>
      </c>
      <c r="Q191" s="260"/>
      <c r="R191" s="260"/>
      <c r="S191" s="260"/>
      <c r="T191" s="260"/>
      <c r="U191" s="260"/>
      <c r="V191" s="260"/>
      <c r="W191" s="260"/>
      <c r="X191" s="260"/>
      <c r="Y191" s="260"/>
      <c r="AI191" s="396"/>
      <c r="AJ191" s="396"/>
      <c r="AK191" s="396"/>
      <c r="AL191" s="396"/>
      <c r="AM191" s="396"/>
    </row>
    <row r="192" spans="1:39" hidden="1" x14ac:dyDescent="0.25">
      <c r="A192" s="456"/>
      <c r="B192" s="501" t="s">
        <v>68</v>
      </c>
      <c r="C192" s="276" t="e">
        <f>'Inputs and eligible population'!#REF!</f>
        <v>#REF!</v>
      </c>
      <c r="D192" s="131" t="e">
        <f>'Financial impact (cash)'!#REF!*'Capacity (local prices) '!$C192</f>
        <v>#REF!</v>
      </c>
      <c r="E192" s="131" t="e">
        <f>'Financial impact (cash)'!#REF!*'Capacity (local prices) '!$C192</f>
        <v>#REF!</v>
      </c>
      <c r="F192" s="131" t="e">
        <f>'Financial impact (cash)'!#REF!*'Capacity (local prices) '!$C192</f>
        <v>#REF!</v>
      </c>
      <c r="G192" s="131" t="e">
        <f>'Financial impact (cash)'!#REF!*'Capacity (local prices) '!$C192</f>
        <v>#REF!</v>
      </c>
      <c r="H192" s="131" t="e">
        <f>'Financial impact (cash)'!#REF!*'Capacity (local prices) '!$C192</f>
        <v>#REF!</v>
      </c>
      <c r="I192" s="131" t="e">
        <f>'Financial impact (cash)'!#REF!*'Capacity (local prices) '!$C192</f>
        <v>#REF!</v>
      </c>
      <c r="J192" s="456"/>
      <c r="K192" s="406" t="e">
        <f>(D192*'Inputs and eligible population'!#REF!)/1000</f>
        <v>#REF!</v>
      </c>
      <c r="L192" s="406" t="e">
        <f>(E192*'Inputs and eligible population'!#REF!)/1000</f>
        <v>#REF!</v>
      </c>
      <c r="M192" s="406" t="e">
        <f>(F192*'Inputs and eligible population'!#REF!)/1000</f>
        <v>#REF!</v>
      </c>
      <c r="N192" s="406" t="e">
        <f>(G192*'Inputs and eligible population'!#REF!)/1000</f>
        <v>#REF!</v>
      </c>
      <c r="O192" s="406" t="e">
        <f>(H192*'Inputs and eligible population'!#REF!)/1000</f>
        <v>#REF!</v>
      </c>
      <c r="P192" s="406" t="e">
        <f>(I192*'Inputs and eligible population'!#REF!)/1000</f>
        <v>#REF!</v>
      </c>
      <c r="Q192" s="260"/>
      <c r="R192" s="260"/>
      <c r="S192" s="260"/>
      <c r="T192" s="260"/>
      <c r="U192" s="260"/>
      <c r="V192" s="260"/>
      <c r="W192" s="260"/>
      <c r="X192" s="260"/>
      <c r="Y192" s="260"/>
      <c r="AI192" s="396"/>
      <c r="AJ192" s="396"/>
      <c r="AK192" s="396"/>
      <c r="AL192" s="396"/>
      <c r="AM192" s="396"/>
    </row>
    <row r="193" spans="1:39" hidden="1" x14ac:dyDescent="0.25">
      <c r="A193" s="456"/>
      <c r="B193" s="501" t="s">
        <v>69</v>
      </c>
      <c r="C193" s="276" t="e">
        <f>'Inputs and eligible population'!#REF!</f>
        <v>#REF!</v>
      </c>
      <c r="D193" s="131" t="e">
        <f>'Financial impact (cash)'!#REF!*'Capacity (local prices) '!$C193</f>
        <v>#REF!</v>
      </c>
      <c r="E193" s="131" t="e">
        <f>'Financial impact (cash)'!#REF!*'Capacity (local prices) '!$C193</f>
        <v>#REF!</v>
      </c>
      <c r="F193" s="131" t="e">
        <f>'Financial impact (cash)'!#REF!*'Capacity (local prices) '!$C193</f>
        <v>#REF!</v>
      </c>
      <c r="G193" s="131" t="e">
        <f>'Financial impact (cash)'!#REF!*'Capacity (local prices) '!$C193</f>
        <v>#REF!</v>
      </c>
      <c r="H193" s="131" t="e">
        <f>'Financial impact (cash)'!#REF!*'Capacity (local prices) '!$C193</f>
        <v>#REF!</v>
      </c>
      <c r="I193" s="131" t="e">
        <f>'Financial impact (cash)'!#REF!*'Capacity (local prices) '!$C193</f>
        <v>#REF!</v>
      </c>
      <c r="J193" s="456"/>
      <c r="K193" s="406" t="e">
        <f>(D193*'Inputs and eligible population'!#REF!)/1000</f>
        <v>#REF!</v>
      </c>
      <c r="L193" s="406" t="e">
        <f>(E193*'Inputs and eligible population'!#REF!)/1000</f>
        <v>#REF!</v>
      </c>
      <c r="M193" s="406" t="e">
        <f>(F193*'Inputs and eligible population'!#REF!)/1000</f>
        <v>#REF!</v>
      </c>
      <c r="N193" s="406" t="e">
        <f>(G193*'Inputs and eligible population'!#REF!)/1000</f>
        <v>#REF!</v>
      </c>
      <c r="O193" s="406" t="e">
        <f>(H193*'Inputs and eligible population'!#REF!)/1000</f>
        <v>#REF!</v>
      </c>
      <c r="P193" s="406" t="e">
        <f>(I193*'Inputs and eligible population'!#REF!)/1000</f>
        <v>#REF!</v>
      </c>
      <c r="Q193" s="260"/>
      <c r="R193" s="260"/>
      <c r="S193" s="260"/>
      <c r="T193" s="260"/>
      <c r="U193" s="260"/>
      <c r="V193" s="260"/>
      <c r="W193" s="260"/>
      <c r="X193" s="260"/>
      <c r="Y193" s="260"/>
      <c r="AI193" s="396"/>
      <c r="AJ193" s="396"/>
      <c r="AK193" s="396"/>
      <c r="AL193" s="396"/>
      <c r="AM193" s="396"/>
    </row>
    <row r="194" spans="1:39" hidden="1" x14ac:dyDescent="0.25">
      <c r="A194" s="456"/>
      <c r="B194" s="394"/>
      <c r="C194" s="327"/>
      <c r="D194" s="313" t="e">
        <f t="shared" ref="D194:I194" si="73">SUM(D191:D193)</f>
        <v>#REF!</v>
      </c>
      <c r="E194" s="313" t="e">
        <f t="shared" si="73"/>
        <v>#REF!</v>
      </c>
      <c r="F194" s="313" t="e">
        <f t="shared" si="73"/>
        <v>#REF!</v>
      </c>
      <c r="G194" s="313" t="e">
        <f t="shared" si="73"/>
        <v>#REF!</v>
      </c>
      <c r="H194" s="313" t="e">
        <f t="shared" si="73"/>
        <v>#REF!</v>
      </c>
      <c r="I194" s="313" t="e">
        <f t="shared" si="73"/>
        <v>#REF!</v>
      </c>
      <c r="J194" s="456"/>
      <c r="K194" s="407" t="e">
        <f t="shared" ref="K194:P194" si="74">SUM(K191:K193)</f>
        <v>#REF!</v>
      </c>
      <c r="L194" s="407" t="e">
        <f t="shared" si="74"/>
        <v>#REF!</v>
      </c>
      <c r="M194" s="407" t="e">
        <f t="shared" si="74"/>
        <v>#REF!</v>
      </c>
      <c r="N194" s="407" t="e">
        <f t="shared" si="74"/>
        <v>#REF!</v>
      </c>
      <c r="O194" s="407" t="e">
        <f t="shared" si="74"/>
        <v>#REF!</v>
      </c>
      <c r="P194" s="407" t="e">
        <f t="shared" si="74"/>
        <v>#REF!</v>
      </c>
      <c r="Q194" s="260"/>
      <c r="R194" s="260"/>
      <c r="S194" s="260"/>
      <c r="T194" s="260"/>
      <c r="U194" s="260"/>
      <c r="V194" s="260"/>
      <c r="W194" s="260"/>
      <c r="X194" s="260"/>
      <c r="Y194" s="260"/>
      <c r="AI194" s="396"/>
      <c r="AJ194" s="396"/>
      <c r="AK194" s="396"/>
      <c r="AL194" s="396"/>
      <c r="AM194" s="396"/>
    </row>
    <row r="195" spans="1:39" hidden="1" x14ac:dyDescent="0.25">
      <c r="A195" s="456"/>
      <c r="B195" s="425"/>
      <c r="C195" s="377"/>
      <c r="D195" s="395" t="s">
        <v>823</v>
      </c>
      <c r="E195" s="313" t="e">
        <f>E194-$D$194</f>
        <v>#REF!</v>
      </c>
      <c r="F195" s="313" t="e">
        <f>F194-$D$194</f>
        <v>#REF!</v>
      </c>
      <c r="G195" s="313" t="e">
        <f>G194-$D$194</f>
        <v>#REF!</v>
      </c>
      <c r="H195" s="313" t="e">
        <f>H194-$D$194</f>
        <v>#REF!</v>
      </c>
      <c r="I195" s="313" t="e">
        <f>I194-$D$194</f>
        <v>#REF!</v>
      </c>
      <c r="J195" s="456"/>
      <c r="K195" s="1136"/>
      <c r="L195" s="407" t="e">
        <f>L194-$K$194</f>
        <v>#REF!</v>
      </c>
      <c r="M195" s="407" t="e">
        <f>M194-$K$194</f>
        <v>#REF!</v>
      </c>
      <c r="N195" s="407" t="e">
        <f>N194-$K$194</f>
        <v>#REF!</v>
      </c>
      <c r="O195" s="407" t="e">
        <f>O194-$K$194</f>
        <v>#REF!</v>
      </c>
      <c r="P195" s="407" t="e">
        <f>P194-$K$194</f>
        <v>#REF!</v>
      </c>
      <c r="U195" s="260"/>
    </row>
    <row r="196" spans="1:39" hidden="1" x14ac:dyDescent="0.25">
      <c r="A196" s="456"/>
      <c r="B196" s="456"/>
      <c r="C196" s="456"/>
      <c r="D196" s="456"/>
      <c r="E196" s="456"/>
      <c r="F196" s="456"/>
      <c r="G196" s="456"/>
      <c r="H196" s="456"/>
      <c r="I196" s="456"/>
      <c r="J196" s="456"/>
      <c r="K196" s="456"/>
      <c r="L196" s="456"/>
      <c r="M196" s="456"/>
      <c r="N196" s="456"/>
      <c r="O196" s="456"/>
      <c r="P196" s="456"/>
      <c r="U196" s="260"/>
    </row>
    <row r="197" spans="1:39" x14ac:dyDescent="0.25">
      <c r="A197" s="400"/>
      <c r="B197" s="451" t="s">
        <v>824</v>
      </c>
      <c r="C197" s="433"/>
      <c r="D197" s="434"/>
      <c r="E197" s="435"/>
      <c r="F197" s="436"/>
      <c r="G197" s="436"/>
      <c r="H197" s="436"/>
      <c r="I197" s="649"/>
      <c r="J197" s="400"/>
      <c r="K197" s="400"/>
      <c r="L197" s="400"/>
      <c r="M197" s="400"/>
      <c r="N197" s="400"/>
      <c r="O197" s="400"/>
      <c r="P197" s="340"/>
      <c r="Q197" s="260"/>
      <c r="R197" s="260"/>
      <c r="S197" s="260"/>
      <c r="T197" s="260"/>
      <c r="U197" s="260"/>
      <c r="V197" s="260"/>
      <c r="W197" s="260"/>
      <c r="X197" s="260"/>
      <c r="Y197" s="260"/>
      <c r="AI197" s="396"/>
      <c r="AJ197" s="396"/>
      <c r="AK197" s="396"/>
      <c r="AL197" s="396"/>
      <c r="AM197" s="396"/>
    </row>
    <row r="198" spans="1:39" x14ac:dyDescent="0.25">
      <c r="A198" s="400"/>
      <c r="B198" s="566" t="str">
        <f>'Inputs and eligible population'!D123</f>
        <v>Clinical biochemistry</v>
      </c>
      <c r="C198" s="567"/>
      <c r="D198" s="567"/>
      <c r="E198" s="567"/>
      <c r="F198" s="567"/>
      <c r="G198" s="567"/>
      <c r="H198" s="567"/>
      <c r="I198" s="339"/>
      <c r="J198" s="340"/>
      <c r="K198" s="400"/>
      <c r="L198" s="400"/>
      <c r="M198" s="400"/>
      <c r="N198" s="400"/>
      <c r="O198" s="400"/>
      <c r="P198" s="340"/>
      <c r="Q198" s="260"/>
      <c r="R198" s="260"/>
      <c r="S198" s="260"/>
      <c r="T198" s="260"/>
      <c r="U198" s="260"/>
      <c r="V198" s="260"/>
      <c r="W198" s="260"/>
      <c r="X198" s="260"/>
      <c r="Y198" s="260"/>
      <c r="AI198" s="396"/>
      <c r="AJ198" s="396"/>
      <c r="AK198" s="396"/>
      <c r="AL198" s="396"/>
      <c r="AM198" s="396"/>
    </row>
    <row r="199" spans="1:39" ht="45" x14ac:dyDescent="0.25">
      <c r="A199" s="400"/>
      <c r="B199" s="390" t="s">
        <v>111</v>
      </c>
      <c r="C199" s="291" t="s">
        <v>825</v>
      </c>
      <c r="D199" s="629" t="s">
        <v>792</v>
      </c>
      <c r="E199" s="376" t="s">
        <v>56</v>
      </c>
      <c r="F199" s="376" t="s">
        <v>57</v>
      </c>
      <c r="G199" s="290" t="s">
        <v>793</v>
      </c>
      <c r="H199" s="290" t="s">
        <v>794</v>
      </c>
      <c r="I199" s="376" t="s">
        <v>795</v>
      </c>
      <c r="J199" s="400"/>
      <c r="K199" s="400"/>
      <c r="L199" s="400"/>
      <c r="M199" s="400"/>
      <c r="N199" s="400"/>
      <c r="O199" s="400"/>
      <c r="P199" s="340"/>
      <c r="Q199" s="260"/>
      <c r="R199" s="260"/>
      <c r="S199" s="260"/>
      <c r="T199" s="260"/>
      <c r="U199" s="260"/>
      <c r="V199" s="260"/>
      <c r="W199" s="260"/>
      <c r="X199" s="260"/>
      <c r="Y199" s="260"/>
      <c r="AI199" s="396"/>
      <c r="AJ199" s="396"/>
      <c r="AK199" s="396"/>
      <c r="AL199" s="396"/>
      <c r="AM199" s="396"/>
    </row>
    <row r="200" spans="1:39" x14ac:dyDescent="0.25">
      <c r="A200" s="400"/>
      <c r="B200" s="496" t="s">
        <v>1135</v>
      </c>
      <c r="C200" s="131">
        <f>'Inputs and eligible population'!F$123</f>
        <v>12</v>
      </c>
      <c r="D200" s="131">
        <f>$C200*'Financial impact (cash)'!D30</f>
        <v>0</v>
      </c>
      <c r="E200" s="131">
        <f>$C200*'Financial impact (cash)'!E30</f>
        <v>0</v>
      </c>
      <c r="F200" s="131">
        <f>$C200*'Financial impact (cash)'!F30</f>
        <v>0</v>
      </c>
      <c r="G200" s="131">
        <f>$C200*'Financial impact (cash)'!G30</f>
        <v>0</v>
      </c>
      <c r="H200" s="131">
        <f>$C200*'Financial impact (cash)'!H30</f>
        <v>0</v>
      </c>
      <c r="I200" s="131">
        <f>$C200*'Financial impact (cash)'!I30</f>
        <v>0</v>
      </c>
      <c r="J200" s="400"/>
      <c r="K200" s="400"/>
      <c r="L200" s="400"/>
      <c r="M200" s="400"/>
      <c r="N200" s="400"/>
      <c r="O200" s="400"/>
      <c r="P200" s="340"/>
      <c r="Q200" s="260"/>
      <c r="R200" s="260"/>
      <c r="S200" s="260"/>
      <c r="T200" s="260"/>
      <c r="U200" s="260"/>
      <c r="V200" s="260"/>
      <c r="W200" s="260"/>
      <c r="X200" s="260"/>
      <c r="Y200" s="260"/>
      <c r="AI200" s="396"/>
      <c r="AJ200" s="396"/>
      <c r="AK200" s="396"/>
      <c r="AL200" s="396"/>
      <c r="AM200" s="396"/>
    </row>
    <row r="201" spans="1:39" x14ac:dyDescent="0.25">
      <c r="A201" s="400"/>
      <c r="B201" s="496" t="s">
        <v>1136</v>
      </c>
      <c r="C201" s="131">
        <f>'Inputs and eligible population'!G$123</f>
        <v>8</v>
      </c>
      <c r="D201" s="131">
        <f>$C201*'Financial impact (cash)'!D31</f>
        <v>0</v>
      </c>
      <c r="E201" s="131">
        <f>$C201*'Financial impact (cash)'!E31</f>
        <v>0</v>
      </c>
      <c r="F201" s="131">
        <f>$C201*'Financial impact (cash)'!F31</f>
        <v>0</v>
      </c>
      <c r="G201" s="131">
        <f>$C201*'Financial impact (cash)'!G31</f>
        <v>0</v>
      </c>
      <c r="H201" s="131">
        <f>$C201*'Financial impact (cash)'!H31</f>
        <v>0</v>
      </c>
      <c r="I201" s="131">
        <f>$C201*'Financial impact (cash)'!I31</f>
        <v>0</v>
      </c>
      <c r="J201" s="400"/>
      <c r="K201" s="400"/>
      <c r="L201" s="400"/>
      <c r="M201" s="400"/>
      <c r="N201" s="400"/>
      <c r="O201" s="400"/>
      <c r="P201" s="340"/>
      <c r="Q201" s="260"/>
      <c r="R201" s="260"/>
      <c r="S201" s="260"/>
      <c r="T201" s="260"/>
      <c r="U201" s="260"/>
      <c r="V201" s="260"/>
      <c r="W201" s="260"/>
      <c r="X201" s="260"/>
      <c r="Y201" s="260"/>
      <c r="AI201" s="396"/>
      <c r="AJ201" s="396"/>
      <c r="AK201" s="396"/>
      <c r="AL201" s="396"/>
      <c r="AM201" s="396"/>
    </row>
    <row r="202" spans="1:39" x14ac:dyDescent="0.25">
      <c r="A202" s="400"/>
      <c r="B202" s="496" t="s">
        <v>1137</v>
      </c>
      <c r="C202" s="131">
        <f>'Inputs and eligible population'!H$123</f>
        <v>16</v>
      </c>
      <c r="D202" s="131">
        <f>$C202*'Financial impact (cash)'!D32</f>
        <v>0</v>
      </c>
      <c r="E202" s="131">
        <f>$C202*'Financial impact (cash)'!E32</f>
        <v>0</v>
      </c>
      <c r="F202" s="131">
        <f>$C202*'Financial impact (cash)'!F32</f>
        <v>0</v>
      </c>
      <c r="G202" s="131">
        <f>$C202*'Financial impact (cash)'!G32</f>
        <v>0</v>
      </c>
      <c r="H202" s="131">
        <f>$C202*'Financial impact (cash)'!H32</f>
        <v>0</v>
      </c>
      <c r="I202" s="131">
        <f>$C202*'Financial impact (cash)'!I32</f>
        <v>0</v>
      </c>
      <c r="J202" s="400"/>
      <c r="K202" s="400"/>
      <c r="L202" s="400"/>
      <c r="M202" s="400"/>
      <c r="N202" s="400"/>
      <c r="O202" s="400"/>
      <c r="P202" s="340"/>
      <c r="Q202" s="260"/>
      <c r="R202" s="260"/>
      <c r="S202" s="260"/>
      <c r="T202" s="260"/>
      <c r="U202" s="260"/>
      <c r="V202" s="260"/>
      <c r="W202" s="260"/>
      <c r="X202" s="260"/>
      <c r="Y202" s="260"/>
      <c r="AI202" s="396"/>
      <c r="AJ202" s="396"/>
      <c r="AK202" s="396"/>
      <c r="AL202" s="396"/>
      <c r="AM202" s="396"/>
    </row>
    <row r="203" spans="1:39" x14ac:dyDescent="0.25">
      <c r="A203" s="400"/>
      <c r="B203" s="496" t="s">
        <v>1138</v>
      </c>
      <c r="C203" s="131">
        <f>'Inputs and eligible population'!I$123</f>
        <v>12</v>
      </c>
      <c r="D203" s="131">
        <f>$C203*'Financial impact (cash)'!D33</f>
        <v>0</v>
      </c>
      <c r="E203" s="131">
        <f>$C203*'Financial impact (cash)'!E33</f>
        <v>0</v>
      </c>
      <c r="F203" s="131">
        <f>$C203*'Financial impact (cash)'!F33</f>
        <v>0</v>
      </c>
      <c r="G203" s="131">
        <f>$C203*'Financial impact (cash)'!G33</f>
        <v>0</v>
      </c>
      <c r="H203" s="131">
        <f>$C203*'Financial impact (cash)'!H33</f>
        <v>0</v>
      </c>
      <c r="I203" s="131">
        <f>$C203*'Financial impact (cash)'!I33</f>
        <v>0</v>
      </c>
      <c r="J203" s="400"/>
      <c r="K203" s="400"/>
      <c r="L203" s="400"/>
      <c r="M203" s="400"/>
      <c r="N203" s="400"/>
      <c r="O203" s="400"/>
      <c r="P203" s="340"/>
      <c r="Q203" s="260"/>
      <c r="R203" s="260"/>
      <c r="S203" s="260"/>
      <c r="T203" s="260"/>
      <c r="U203" s="260"/>
      <c r="V203" s="260"/>
      <c r="W203" s="260"/>
      <c r="X203" s="260"/>
      <c r="Y203" s="260"/>
      <c r="AI203" s="396"/>
      <c r="AJ203" s="396"/>
      <c r="AK203" s="396"/>
      <c r="AL203" s="396"/>
      <c r="AM203" s="396"/>
    </row>
    <row r="204" spans="1:39" x14ac:dyDescent="0.25">
      <c r="A204" s="400"/>
      <c r="B204" s="496" t="s">
        <v>1139</v>
      </c>
      <c r="C204" s="131">
        <f>'Inputs and eligible population'!J$123</f>
        <v>12</v>
      </c>
      <c r="D204" s="131">
        <f>$C204*'Financial impact (cash)'!D34</f>
        <v>0</v>
      </c>
      <c r="E204" s="131">
        <f>$C204*'Financial impact (cash)'!E34</f>
        <v>0</v>
      </c>
      <c r="F204" s="131">
        <f>$C204*'Financial impact (cash)'!F34</f>
        <v>0</v>
      </c>
      <c r="G204" s="131">
        <f>$C204*'Financial impact (cash)'!G34</f>
        <v>0</v>
      </c>
      <c r="H204" s="131">
        <f>$C204*'Financial impact (cash)'!H34</f>
        <v>0</v>
      </c>
      <c r="I204" s="131">
        <f>$C204*'Financial impact (cash)'!I34</f>
        <v>0</v>
      </c>
      <c r="J204" s="400"/>
      <c r="K204" s="400"/>
      <c r="L204" s="400"/>
      <c r="M204" s="400"/>
      <c r="N204" s="400"/>
      <c r="O204" s="400"/>
      <c r="P204" s="340"/>
      <c r="Q204" s="260"/>
      <c r="R204" s="260"/>
      <c r="S204" s="260"/>
      <c r="T204" s="260"/>
      <c r="U204" s="260"/>
      <c r="V204" s="260"/>
      <c r="W204" s="260"/>
      <c r="X204" s="260"/>
      <c r="Y204" s="260"/>
      <c r="AI204" s="396"/>
      <c r="AJ204" s="396"/>
      <c r="AK204" s="396"/>
      <c r="AL204" s="396"/>
      <c r="AM204" s="396"/>
    </row>
    <row r="205" spans="1:39" x14ac:dyDescent="0.25">
      <c r="A205" s="400"/>
      <c r="B205" s="496" t="s">
        <v>1140</v>
      </c>
      <c r="C205" s="131">
        <f>'Inputs and eligible population'!K$123</f>
        <v>16</v>
      </c>
      <c r="D205" s="131">
        <f>$C205*'Financial impact (cash)'!D35</f>
        <v>0</v>
      </c>
      <c r="E205" s="131">
        <f>$C205*'Financial impact (cash)'!E35</f>
        <v>0</v>
      </c>
      <c r="F205" s="131">
        <f>$C205*'Financial impact (cash)'!F35</f>
        <v>0</v>
      </c>
      <c r="G205" s="131">
        <f>$C205*'Financial impact (cash)'!G35</f>
        <v>0</v>
      </c>
      <c r="H205" s="131">
        <f>$C205*'Financial impact (cash)'!H35</f>
        <v>0</v>
      </c>
      <c r="I205" s="131">
        <f>$C205*'Financial impact (cash)'!I35</f>
        <v>0</v>
      </c>
      <c r="J205" s="400"/>
      <c r="K205" s="400"/>
      <c r="L205" s="400"/>
      <c r="M205" s="400"/>
      <c r="N205" s="400"/>
      <c r="O205" s="400"/>
      <c r="P205" s="340"/>
      <c r="Q205" s="260"/>
      <c r="R205" s="260"/>
      <c r="S205" s="260"/>
      <c r="T205" s="260"/>
      <c r="U205" s="260"/>
      <c r="V205" s="260"/>
      <c r="W205" s="260"/>
      <c r="X205" s="260"/>
      <c r="Y205" s="260"/>
      <c r="AI205" s="396"/>
      <c r="AJ205" s="396"/>
      <c r="AK205" s="396"/>
      <c r="AL205" s="396"/>
      <c r="AM205" s="396"/>
    </row>
    <row r="206" spans="1:39" x14ac:dyDescent="0.25">
      <c r="A206" s="400"/>
      <c r="B206" s="496" t="s">
        <v>1141</v>
      </c>
      <c r="C206" s="131">
        <f>'Inputs and eligible population'!L$123</f>
        <v>24</v>
      </c>
      <c r="D206" s="131">
        <f>$C206*'Financial impact (cash)'!D36</f>
        <v>0</v>
      </c>
      <c r="E206" s="131">
        <f>$C206*'Financial impact (cash)'!E36</f>
        <v>0</v>
      </c>
      <c r="F206" s="131">
        <f>$C206*'Financial impact (cash)'!F36</f>
        <v>0</v>
      </c>
      <c r="G206" s="131">
        <f>$C206*'Financial impact (cash)'!G36</f>
        <v>0</v>
      </c>
      <c r="H206" s="131">
        <f>$C206*'Financial impact (cash)'!H36</f>
        <v>0</v>
      </c>
      <c r="I206" s="131">
        <f>$C206*'Financial impact (cash)'!I36</f>
        <v>0</v>
      </c>
      <c r="J206" s="400"/>
      <c r="K206" s="400"/>
      <c r="L206" s="400"/>
      <c r="M206" s="400"/>
      <c r="N206" s="400"/>
      <c r="O206" s="400"/>
      <c r="P206" s="340"/>
      <c r="Q206" s="260"/>
      <c r="R206" s="260"/>
      <c r="S206" s="260"/>
      <c r="T206" s="260"/>
      <c r="U206" s="260"/>
      <c r="V206" s="260"/>
      <c r="W206" s="260"/>
      <c r="X206" s="260"/>
      <c r="Y206" s="260"/>
      <c r="AI206" s="396"/>
      <c r="AJ206" s="396"/>
      <c r="AK206" s="396"/>
      <c r="AL206" s="396"/>
      <c r="AM206" s="396"/>
    </row>
    <row r="207" spans="1:39" x14ac:dyDescent="0.25">
      <c r="A207" s="400"/>
      <c r="B207" s="496" t="s">
        <v>1142</v>
      </c>
      <c r="C207" s="131">
        <f>'Inputs and eligible population'!M$123</f>
        <v>8</v>
      </c>
      <c r="D207" s="131">
        <f>$C207*'Financial impact (cash)'!D37</f>
        <v>0</v>
      </c>
      <c r="E207" s="131">
        <f>$C207*'Financial impact (cash)'!E37</f>
        <v>0</v>
      </c>
      <c r="F207" s="131">
        <f>$C207*'Financial impact (cash)'!F37</f>
        <v>0</v>
      </c>
      <c r="G207" s="131">
        <f>$C207*'Financial impact (cash)'!G37</f>
        <v>0</v>
      </c>
      <c r="H207" s="131">
        <f>$C207*'Financial impact (cash)'!H37</f>
        <v>0</v>
      </c>
      <c r="I207" s="131">
        <f>$C207*'Financial impact (cash)'!I37</f>
        <v>0</v>
      </c>
      <c r="J207" s="400"/>
      <c r="K207" s="400"/>
      <c r="L207" s="400"/>
      <c r="M207" s="400"/>
      <c r="N207" s="400"/>
      <c r="O207" s="400"/>
      <c r="P207" s="340"/>
      <c r="Q207" s="260"/>
      <c r="R207" s="260"/>
      <c r="S207" s="260"/>
      <c r="T207" s="260"/>
      <c r="U207" s="260"/>
      <c r="V207" s="260"/>
      <c r="W207" s="260"/>
      <c r="X207" s="260"/>
      <c r="Y207" s="260"/>
      <c r="AI207" s="396"/>
      <c r="AJ207" s="396"/>
      <c r="AK207" s="396"/>
      <c r="AL207" s="396"/>
      <c r="AM207" s="396"/>
    </row>
    <row r="208" spans="1:39" x14ac:dyDescent="0.25">
      <c r="A208" s="400"/>
      <c r="B208" s="394"/>
      <c r="C208" s="327"/>
      <c r="D208" s="313">
        <f t="shared" ref="D208:I208" si="75">SUM(D200:D207)</f>
        <v>0</v>
      </c>
      <c r="E208" s="313">
        <f t="shared" si="75"/>
        <v>0</v>
      </c>
      <c r="F208" s="313">
        <f t="shared" si="75"/>
        <v>0</v>
      </c>
      <c r="G208" s="313">
        <f t="shared" si="75"/>
        <v>0</v>
      </c>
      <c r="H208" s="313">
        <f t="shared" si="75"/>
        <v>0</v>
      </c>
      <c r="I208" s="313">
        <f t="shared" si="75"/>
        <v>0</v>
      </c>
      <c r="J208" s="400"/>
      <c r="K208" s="400"/>
      <c r="L208" s="400"/>
      <c r="M208" s="400"/>
      <c r="N208" s="400"/>
      <c r="O208" s="400"/>
      <c r="P208" s="340"/>
      <c r="Q208" s="260"/>
      <c r="R208" s="260"/>
      <c r="S208" s="260"/>
      <c r="T208" s="260"/>
      <c r="U208" s="260"/>
      <c r="V208" s="260"/>
      <c r="W208" s="260"/>
      <c r="X208" s="260"/>
      <c r="Y208" s="260"/>
      <c r="AI208" s="396"/>
      <c r="AJ208" s="396"/>
      <c r="AK208" s="396"/>
      <c r="AL208" s="396"/>
      <c r="AM208" s="396"/>
    </row>
    <row r="209" spans="1:39" x14ac:dyDescent="0.25">
      <c r="A209" s="400"/>
      <c r="B209" s="425"/>
      <c r="C209" s="377"/>
      <c r="D209" s="395" t="s">
        <v>1263</v>
      </c>
      <c r="E209" s="313">
        <f>E208-$D$208</f>
        <v>0</v>
      </c>
      <c r="F209" s="313">
        <f>F208-$D$208</f>
        <v>0</v>
      </c>
      <c r="G209" s="313">
        <f>G208-$D$208</f>
        <v>0</v>
      </c>
      <c r="H209" s="313">
        <f>H208-$D$208</f>
        <v>0</v>
      </c>
      <c r="I209" s="313">
        <f>I208-$D$208</f>
        <v>0</v>
      </c>
      <c r="J209" s="400"/>
      <c r="K209" s="400"/>
      <c r="L209" s="400"/>
      <c r="M209" s="400"/>
      <c r="N209" s="400"/>
      <c r="O209" s="400"/>
      <c r="P209" s="340"/>
      <c r="U209" s="260"/>
    </row>
    <row r="210" spans="1:39" x14ac:dyDescent="0.25">
      <c r="A210" s="400"/>
      <c r="B210" s="452"/>
      <c r="C210" s="340"/>
      <c r="D210" s="340"/>
      <c r="E210" s="340"/>
      <c r="F210" s="340"/>
      <c r="G210" s="340"/>
      <c r="H210" s="340"/>
      <c r="I210" s="340"/>
      <c r="J210" s="400"/>
      <c r="K210" s="400"/>
      <c r="L210" s="400"/>
      <c r="M210" s="400"/>
      <c r="N210" s="400"/>
      <c r="O210" s="400"/>
      <c r="P210" s="340"/>
      <c r="U210" s="260"/>
    </row>
    <row r="211" spans="1:39" x14ac:dyDescent="0.25">
      <c r="A211" s="400"/>
      <c r="B211" s="566" t="str">
        <f>'Inputs and eligible population'!D124</f>
        <v>Haematology</v>
      </c>
      <c r="C211" s="567"/>
      <c r="D211" s="567"/>
      <c r="E211" s="567"/>
      <c r="F211" s="567"/>
      <c r="G211" s="567"/>
      <c r="H211" s="567"/>
      <c r="I211" s="339"/>
      <c r="J211" s="400"/>
      <c r="K211" s="400"/>
      <c r="L211" s="400"/>
      <c r="M211" s="400"/>
      <c r="N211" s="400"/>
      <c r="O211" s="400"/>
      <c r="P211" s="340"/>
      <c r="Q211" s="260"/>
      <c r="R211" s="260"/>
      <c r="S211" s="260"/>
      <c r="T211" s="260"/>
      <c r="U211" s="260"/>
      <c r="V211" s="260"/>
      <c r="W211" s="260"/>
      <c r="X211" s="260"/>
      <c r="Y211" s="260"/>
      <c r="AI211" s="396"/>
      <c r="AJ211" s="396"/>
      <c r="AK211" s="396"/>
      <c r="AL211" s="396"/>
      <c r="AM211" s="396"/>
    </row>
    <row r="212" spans="1:39" ht="45" x14ac:dyDescent="0.25">
      <c r="A212" s="400"/>
      <c r="B212" s="390" t="s">
        <v>111</v>
      </c>
      <c r="C212" s="291" t="str">
        <f>B211</f>
        <v>Haematology</v>
      </c>
      <c r="D212" s="629" t="s">
        <v>792</v>
      </c>
      <c r="E212" s="376" t="s">
        <v>56</v>
      </c>
      <c r="F212" s="376" t="s">
        <v>57</v>
      </c>
      <c r="G212" s="290" t="s">
        <v>793</v>
      </c>
      <c r="H212" s="290" t="s">
        <v>794</v>
      </c>
      <c r="I212" s="376" t="s">
        <v>795</v>
      </c>
      <c r="J212" s="400"/>
      <c r="K212" s="400"/>
      <c r="L212" s="400"/>
      <c r="M212" s="400"/>
      <c r="N212" s="400"/>
      <c r="O212" s="400"/>
      <c r="P212" s="340"/>
      <c r="Q212" s="260"/>
      <c r="R212" s="260"/>
      <c r="S212" s="260"/>
      <c r="T212" s="260"/>
      <c r="U212" s="260"/>
      <c r="V212" s="260"/>
      <c r="W212" s="260"/>
      <c r="X212" s="260"/>
      <c r="Y212" s="260"/>
      <c r="AI212" s="396"/>
      <c r="AJ212" s="396"/>
      <c r="AK212" s="396"/>
      <c r="AL212" s="396"/>
      <c r="AM212" s="396"/>
    </row>
    <row r="213" spans="1:39" x14ac:dyDescent="0.25">
      <c r="A213" s="400"/>
      <c r="B213" s="496" t="s">
        <v>1135</v>
      </c>
      <c r="C213" s="131">
        <f>'Inputs and eligible population'!F$124</f>
        <v>6</v>
      </c>
      <c r="D213" s="131">
        <f>$C213*'Financial impact (cash)'!D30</f>
        <v>0</v>
      </c>
      <c r="E213" s="131">
        <f>$C213*'Financial impact (cash)'!E30</f>
        <v>0</v>
      </c>
      <c r="F213" s="131">
        <f>$C213*'Financial impact (cash)'!F30</f>
        <v>0</v>
      </c>
      <c r="G213" s="131">
        <f>$C213*'Financial impact (cash)'!G30</f>
        <v>0</v>
      </c>
      <c r="H213" s="131">
        <f>$C213*'Financial impact (cash)'!H30</f>
        <v>0</v>
      </c>
      <c r="I213" s="131">
        <f>$C213*'Financial impact (cash)'!I30</f>
        <v>0</v>
      </c>
      <c r="J213" s="400"/>
      <c r="K213" s="400"/>
      <c r="L213" s="400"/>
      <c r="M213" s="400"/>
      <c r="N213" s="400"/>
      <c r="O213" s="400"/>
      <c r="P213" s="340"/>
      <c r="Q213" s="260"/>
      <c r="R213" s="260"/>
      <c r="S213" s="260"/>
      <c r="T213" s="260"/>
      <c r="U213" s="260"/>
      <c r="V213" s="260"/>
      <c r="W213" s="260"/>
      <c r="X213" s="260"/>
      <c r="Y213" s="260"/>
      <c r="AI213" s="396"/>
      <c r="AJ213" s="396"/>
      <c r="AK213" s="396"/>
      <c r="AL213" s="396"/>
      <c r="AM213" s="396"/>
    </row>
    <row r="214" spans="1:39" x14ac:dyDescent="0.25">
      <c r="A214" s="400"/>
      <c r="B214" s="496" t="s">
        <v>1136</v>
      </c>
      <c r="C214" s="131">
        <f>'Inputs and eligible population'!G$124</f>
        <v>4</v>
      </c>
      <c r="D214" s="131">
        <f>$C214*'Financial impact (cash)'!D31</f>
        <v>0</v>
      </c>
      <c r="E214" s="131">
        <f>$C214*'Financial impact (cash)'!E31</f>
        <v>0</v>
      </c>
      <c r="F214" s="131">
        <f>$C214*'Financial impact (cash)'!F31</f>
        <v>0</v>
      </c>
      <c r="G214" s="131">
        <f>$C214*'Financial impact (cash)'!G31</f>
        <v>0</v>
      </c>
      <c r="H214" s="131">
        <f>$C214*'Financial impact (cash)'!H31</f>
        <v>0</v>
      </c>
      <c r="I214" s="131">
        <f>$C214*'Financial impact (cash)'!I31</f>
        <v>0</v>
      </c>
      <c r="J214" s="400"/>
      <c r="K214" s="400"/>
      <c r="L214" s="400"/>
      <c r="M214" s="400"/>
      <c r="N214" s="400"/>
      <c r="O214" s="400"/>
      <c r="P214" s="340"/>
      <c r="Q214" s="260"/>
      <c r="R214" s="260"/>
      <c r="S214" s="260"/>
      <c r="T214" s="260"/>
      <c r="U214" s="260"/>
      <c r="V214" s="260"/>
      <c r="W214" s="260"/>
      <c r="X214" s="260"/>
      <c r="Y214" s="260"/>
      <c r="AI214" s="396"/>
      <c r="AJ214" s="396"/>
      <c r="AK214" s="396"/>
      <c r="AL214" s="396"/>
      <c r="AM214" s="396"/>
    </row>
    <row r="215" spans="1:39" x14ac:dyDescent="0.25">
      <c r="A215" s="400"/>
      <c r="B215" s="496" t="s">
        <v>1137</v>
      </c>
      <c r="C215" s="131">
        <f>'Inputs and eligible population'!H$124</f>
        <v>8</v>
      </c>
      <c r="D215" s="131">
        <f>$C215*'Financial impact (cash)'!D32</f>
        <v>0</v>
      </c>
      <c r="E215" s="131">
        <f>$C215*'Financial impact (cash)'!E32</f>
        <v>0</v>
      </c>
      <c r="F215" s="131">
        <f>$C215*'Financial impact (cash)'!F32</f>
        <v>0</v>
      </c>
      <c r="G215" s="131">
        <f>$C215*'Financial impact (cash)'!G32</f>
        <v>0</v>
      </c>
      <c r="H215" s="131">
        <f>$C215*'Financial impact (cash)'!H32</f>
        <v>0</v>
      </c>
      <c r="I215" s="131">
        <f>$C215*'Financial impact (cash)'!I32</f>
        <v>0</v>
      </c>
      <c r="J215" s="400"/>
      <c r="K215" s="400"/>
      <c r="L215" s="400"/>
      <c r="M215" s="400"/>
      <c r="N215" s="400"/>
      <c r="O215" s="400"/>
      <c r="P215" s="340"/>
      <c r="Q215" s="260"/>
      <c r="R215" s="260"/>
      <c r="S215" s="260"/>
      <c r="T215" s="260"/>
      <c r="U215" s="260"/>
      <c r="V215" s="260"/>
      <c r="W215" s="260"/>
      <c r="X215" s="260"/>
      <c r="Y215" s="260"/>
      <c r="AI215" s="396"/>
      <c r="AJ215" s="396"/>
      <c r="AK215" s="396"/>
      <c r="AL215" s="396"/>
      <c r="AM215" s="396"/>
    </row>
    <row r="216" spans="1:39" x14ac:dyDescent="0.25">
      <c r="A216" s="400"/>
      <c r="B216" s="496" t="s">
        <v>1138</v>
      </c>
      <c r="C216" s="131">
        <f>'Inputs and eligible population'!I$124</f>
        <v>6</v>
      </c>
      <c r="D216" s="131">
        <f>$C216*'Financial impact (cash)'!D33</f>
        <v>0</v>
      </c>
      <c r="E216" s="131">
        <f>$C216*'Financial impact (cash)'!E33</f>
        <v>0</v>
      </c>
      <c r="F216" s="131">
        <f>$C216*'Financial impact (cash)'!F33</f>
        <v>0</v>
      </c>
      <c r="G216" s="131">
        <f>$C216*'Financial impact (cash)'!G33</f>
        <v>0</v>
      </c>
      <c r="H216" s="131">
        <f>$C216*'Financial impact (cash)'!H33</f>
        <v>0</v>
      </c>
      <c r="I216" s="131">
        <f>$C216*'Financial impact (cash)'!I33</f>
        <v>0</v>
      </c>
      <c r="J216" s="400"/>
      <c r="K216" s="400"/>
      <c r="L216" s="400"/>
      <c r="M216" s="400"/>
      <c r="N216" s="400"/>
      <c r="O216" s="400"/>
      <c r="P216" s="340"/>
      <c r="Q216" s="260"/>
      <c r="R216" s="260"/>
      <c r="S216" s="260"/>
      <c r="T216" s="260"/>
      <c r="U216" s="260"/>
      <c r="V216" s="260"/>
      <c r="W216" s="260"/>
      <c r="X216" s="260"/>
      <c r="Y216" s="260"/>
      <c r="AI216" s="396"/>
      <c r="AJ216" s="396"/>
      <c r="AK216" s="396"/>
      <c r="AL216" s="396"/>
      <c r="AM216" s="396"/>
    </row>
    <row r="217" spans="1:39" x14ac:dyDescent="0.25">
      <c r="A217" s="400"/>
      <c r="B217" s="496" t="s">
        <v>1139</v>
      </c>
      <c r="C217" s="131">
        <f>'Inputs and eligible population'!J$124</f>
        <v>6</v>
      </c>
      <c r="D217" s="131">
        <f>$C217*'Financial impact (cash)'!D34</f>
        <v>0</v>
      </c>
      <c r="E217" s="131">
        <f>$C217*'Financial impact (cash)'!E34</f>
        <v>0</v>
      </c>
      <c r="F217" s="131">
        <f>$C217*'Financial impact (cash)'!F34</f>
        <v>0</v>
      </c>
      <c r="G217" s="131">
        <f>$C217*'Financial impact (cash)'!G34</f>
        <v>0</v>
      </c>
      <c r="H217" s="131">
        <f>$C217*'Financial impact (cash)'!H34</f>
        <v>0</v>
      </c>
      <c r="I217" s="131">
        <f>$C217*'Financial impact (cash)'!I34</f>
        <v>0</v>
      </c>
      <c r="J217" s="400"/>
      <c r="K217" s="400"/>
      <c r="L217" s="400"/>
      <c r="M217" s="400"/>
      <c r="N217" s="400"/>
      <c r="O217" s="400"/>
      <c r="P217" s="340"/>
      <c r="Q217" s="260"/>
      <c r="R217" s="260"/>
      <c r="S217" s="260"/>
      <c r="T217" s="260"/>
      <c r="U217" s="260"/>
      <c r="V217" s="260"/>
      <c r="W217" s="260"/>
      <c r="X217" s="260"/>
      <c r="Y217" s="260"/>
      <c r="AI217" s="396"/>
      <c r="AJ217" s="396"/>
      <c r="AK217" s="396"/>
      <c r="AL217" s="396"/>
      <c r="AM217" s="396"/>
    </row>
    <row r="218" spans="1:39" x14ac:dyDescent="0.25">
      <c r="A218" s="400"/>
      <c r="B218" s="496" t="s">
        <v>1140</v>
      </c>
      <c r="C218" s="131">
        <f>'Inputs and eligible population'!K$124</f>
        <v>8</v>
      </c>
      <c r="D218" s="131">
        <f>$C218*'Financial impact (cash)'!D35</f>
        <v>0</v>
      </c>
      <c r="E218" s="131">
        <f>$C218*'Financial impact (cash)'!E35</f>
        <v>0</v>
      </c>
      <c r="F218" s="131">
        <f>$C218*'Financial impact (cash)'!F35</f>
        <v>0</v>
      </c>
      <c r="G218" s="131">
        <f>$C218*'Financial impact (cash)'!G35</f>
        <v>0</v>
      </c>
      <c r="H218" s="131">
        <f>$C218*'Financial impact (cash)'!H35</f>
        <v>0</v>
      </c>
      <c r="I218" s="131">
        <f>$C218*'Financial impact (cash)'!I35</f>
        <v>0</v>
      </c>
      <c r="J218" s="400"/>
      <c r="K218" s="400"/>
      <c r="L218" s="400"/>
      <c r="M218" s="400"/>
      <c r="N218" s="400"/>
      <c r="O218" s="400"/>
      <c r="P218" s="340"/>
      <c r="Q218" s="260"/>
      <c r="R218" s="260"/>
      <c r="S218" s="260"/>
      <c r="T218" s="260"/>
      <c r="U218" s="260"/>
      <c r="V218" s="260"/>
      <c r="W218" s="260"/>
      <c r="X218" s="260"/>
      <c r="Y218" s="260"/>
      <c r="AI218" s="396"/>
      <c r="AJ218" s="396"/>
      <c r="AK218" s="396"/>
      <c r="AL218" s="396"/>
      <c r="AM218" s="396"/>
    </row>
    <row r="219" spans="1:39" x14ac:dyDescent="0.25">
      <c r="A219" s="400"/>
      <c r="B219" s="496" t="s">
        <v>1141</v>
      </c>
      <c r="C219" s="131">
        <f>'Inputs and eligible population'!L$124</f>
        <v>12</v>
      </c>
      <c r="D219" s="131">
        <f>$C219*'Financial impact (cash)'!D36</f>
        <v>0</v>
      </c>
      <c r="E219" s="131">
        <f>$C219*'Financial impact (cash)'!E36</f>
        <v>0</v>
      </c>
      <c r="F219" s="131">
        <f>$C219*'Financial impact (cash)'!F36</f>
        <v>0</v>
      </c>
      <c r="G219" s="131">
        <f>$C219*'Financial impact (cash)'!G36</f>
        <v>0</v>
      </c>
      <c r="H219" s="131">
        <f>$C219*'Financial impact (cash)'!H36</f>
        <v>0</v>
      </c>
      <c r="I219" s="131">
        <f>$C219*'Financial impact (cash)'!I36</f>
        <v>0</v>
      </c>
      <c r="J219" s="400"/>
      <c r="K219" s="400"/>
      <c r="L219" s="400"/>
      <c r="M219" s="400"/>
      <c r="N219" s="400"/>
      <c r="O219" s="400"/>
      <c r="P219" s="340"/>
      <c r="Q219" s="260"/>
      <c r="R219" s="260"/>
      <c r="S219" s="260"/>
      <c r="T219" s="260"/>
      <c r="U219" s="260"/>
      <c r="V219" s="260"/>
      <c r="W219" s="260"/>
      <c r="X219" s="260"/>
      <c r="Y219" s="260"/>
      <c r="AI219" s="396"/>
      <c r="AJ219" s="396"/>
      <c r="AK219" s="396"/>
      <c r="AL219" s="396"/>
      <c r="AM219" s="396"/>
    </row>
    <row r="220" spans="1:39" x14ac:dyDescent="0.25">
      <c r="A220" s="400"/>
      <c r="B220" s="496" t="s">
        <v>1142</v>
      </c>
      <c r="C220" s="131">
        <f>'Inputs and eligible population'!M$124</f>
        <v>4</v>
      </c>
      <c r="D220" s="131">
        <f>$C220*'Financial impact (cash)'!D37</f>
        <v>0</v>
      </c>
      <c r="E220" s="131">
        <f>$C220*'Financial impact (cash)'!E37</f>
        <v>0</v>
      </c>
      <c r="F220" s="131">
        <f>$C220*'Financial impact (cash)'!F37</f>
        <v>0</v>
      </c>
      <c r="G220" s="131">
        <f>$C220*'Financial impact (cash)'!G37</f>
        <v>0</v>
      </c>
      <c r="H220" s="131">
        <f>$C220*'Financial impact (cash)'!H37</f>
        <v>0</v>
      </c>
      <c r="I220" s="131">
        <f>$C220*'Financial impact (cash)'!I37</f>
        <v>0</v>
      </c>
      <c r="J220" s="400"/>
      <c r="K220" s="400"/>
      <c r="L220" s="400"/>
      <c r="M220" s="400"/>
      <c r="N220" s="400"/>
      <c r="O220" s="400"/>
      <c r="P220" s="340"/>
      <c r="Q220" s="260"/>
      <c r="R220" s="260"/>
      <c r="S220" s="260"/>
      <c r="T220" s="260"/>
      <c r="U220" s="260"/>
      <c r="V220" s="260"/>
      <c r="W220" s="260"/>
      <c r="X220" s="260"/>
      <c r="Y220" s="260"/>
      <c r="AI220" s="396"/>
      <c r="AJ220" s="396"/>
      <c r="AK220" s="396"/>
      <c r="AL220" s="396"/>
      <c r="AM220" s="396"/>
    </row>
    <row r="221" spans="1:39" x14ac:dyDescent="0.25">
      <c r="A221" s="400"/>
      <c r="B221" s="394"/>
      <c r="C221" s="327"/>
      <c r="D221" s="313">
        <f t="shared" ref="D221:I221" si="76">SUM(D213:D220)</f>
        <v>0</v>
      </c>
      <c r="E221" s="313">
        <f t="shared" si="76"/>
        <v>0</v>
      </c>
      <c r="F221" s="313">
        <f t="shared" si="76"/>
        <v>0</v>
      </c>
      <c r="G221" s="313">
        <f t="shared" si="76"/>
        <v>0</v>
      </c>
      <c r="H221" s="313">
        <f t="shared" si="76"/>
        <v>0</v>
      </c>
      <c r="I221" s="313">
        <f t="shared" si="76"/>
        <v>0</v>
      </c>
      <c r="J221" s="400"/>
      <c r="K221" s="400"/>
      <c r="L221" s="400"/>
      <c r="M221" s="400"/>
      <c r="N221" s="400"/>
      <c r="O221" s="400"/>
      <c r="P221" s="340"/>
      <c r="Q221" s="260"/>
      <c r="R221" s="260"/>
      <c r="S221" s="260"/>
      <c r="T221" s="260"/>
      <c r="U221" s="260"/>
      <c r="V221" s="260"/>
      <c r="W221" s="260"/>
      <c r="X221" s="260"/>
      <c r="Y221" s="260"/>
      <c r="AI221" s="396"/>
      <c r="AJ221" s="396"/>
      <c r="AK221" s="396"/>
      <c r="AL221" s="396"/>
      <c r="AM221" s="396"/>
    </row>
    <row r="222" spans="1:39" x14ac:dyDescent="0.25">
      <c r="A222" s="400"/>
      <c r="B222" s="425"/>
      <c r="C222" s="377"/>
      <c r="D222" s="395" t="s">
        <v>1261</v>
      </c>
      <c r="E222" s="313">
        <f>E221-$D$221</f>
        <v>0</v>
      </c>
      <c r="F222" s="313">
        <f>F221-$D$221</f>
        <v>0</v>
      </c>
      <c r="G222" s="313">
        <f>G221-$D$221</f>
        <v>0</v>
      </c>
      <c r="H222" s="313">
        <f>H221-$D$221</f>
        <v>0</v>
      </c>
      <c r="I222" s="313">
        <f>I221-$D$221</f>
        <v>0</v>
      </c>
      <c r="J222" s="400"/>
      <c r="K222" s="400"/>
      <c r="L222" s="400"/>
      <c r="M222" s="400"/>
      <c r="N222" s="400"/>
      <c r="O222" s="400"/>
      <c r="P222" s="340"/>
      <c r="U222" s="260"/>
    </row>
    <row r="223" spans="1:39" x14ac:dyDescent="0.25">
      <c r="A223" s="400"/>
      <c r="B223" s="452"/>
      <c r="C223" s="340"/>
      <c r="D223" s="340"/>
      <c r="E223" s="340"/>
      <c r="F223" s="340"/>
      <c r="G223" s="340"/>
      <c r="H223" s="340"/>
      <c r="I223" s="340"/>
      <c r="J223" s="340"/>
      <c r="K223" s="400"/>
      <c r="L223" s="400"/>
      <c r="M223" s="400"/>
      <c r="N223" s="400"/>
      <c r="O223" s="400"/>
      <c r="P223" s="340"/>
      <c r="U223" s="260"/>
    </row>
    <row r="224" spans="1:39" x14ac:dyDescent="0.25">
      <c r="A224" s="400"/>
      <c r="B224" s="566" t="str">
        <f>'Inputs and eligible population'!D125</f>
        <v>Electrocardiogram Monitoring or Stress Testing</v>
      </c>
      <c r="C224" s="567"/>
      <c r="D224" s="567"/>
      <c r="E224" s="567"/>
      <c r="F224" s="567"/>
      <c r="G224" s="567"/>
      <c r="H224" s="567"/>
      <c r="I224" s="339"/>
      <c r="J224" s="340"/>
      <c r="K224" s="340"/>
      <c r="L224" s="340"/>
      <c r="M224" s="340"/>
      <c r="N224" s="340"/>
      <c r="O224" s="340"/>
      <c r="P224" s="340"/>
      <c r="Q224" s="260"/>
      <c r="R224" s="260"/>
      <c r="S224" s="260"/>
      <c r="T224" s="260"/>
      <c r="U224" s="260"/>
      <c r="V224" s="260"/>
      <c r="W224" s="260"/>
      <c r="X224" s="260"/>
      <c r="Y224" s="260"/>
      <c r="AI224" s="396"/>
      <c r="AJ224" s="396"/>
      <c r="AK224" s="396"/>
      <c r="AL224" s="396"/>
      <c r="AM224" s="396"/>
    </row>
    <row r="225" spans="1:39" ht="60" x14ac:dyDescent="0.25">
      <c r="A225" s="400"/>
      <c r="B225" s="390" t="s">
        <v>111</v>
      </c>
      <c r="C225" s="291" t="str">
        <f>B224</f>
        <v>Electrocardiogram Monitoring or Stress Testing</v>
      </c>
      <c r="D225" s="629" t="s">
        <v>792</v>
      </c>
      <c r="E225" s="376" t="s">
        <v>56</v>
      </c>
      <c r="F225" s="376" t="s">
        <v>57</v>
      </c>
      <c r="G225" s="290" t="s">
        <v>793</v>
      </c>
      <c r="H225" s="290" t="s">
        <v>794</v>
      </c>
      <c r="I225" s="376" t="s">
        <v>795</v>
      </c>
      <c r="J225" s="400"/>
      <c r="K225" s="629" t="s">
        <v>1248</v>
      </c>
      <c r="L225" s="1114" t="s">
        <v>1249</v>
      </c>
      <c r="M225" s="1114" t="s">
        <v>1250</v>
      </c>
      <c r="N225" s="631" t="s">
        <v>1251</v>
      </c>
      <c r="O225" s="631" t="s">
        <v>1252</v>
      </c>
      <c r="P225" s="1114" t="s">
        <v>1253</v>
      </c>
      <c r="Q225" s="260"/>
      <c r="R225" s="260"/>
      <c r="S225" s="260"/>
      <c r="T225" s="260"/>
      <c r="U225" s="260"/>
      <c r="V225" s="260"/>
      <c r="W225" s="260"/>
      <c r="X225" s="260"/>
      <c r="Y225" s="260"/>
      <c r="AI225" s="396"/>
      <c r="AJ225" s="396"/>
      <c r="AK225" s="396"/>
      <c r="AL225" s="396"/>
      <c r="AM225" s="396"/>
    </row>
    <row r="226" spans="1:39" x14ac:dyDescent="0.25">
      <c r="A226" s="400"/>
      <c r="B226" s="496" t="s">
        <v>1135</v>
      </c>
      <c r="C226" s="411">
        <f>'Inputs and eligible population'!F$125</f>
        <v>1.5</v>
      </c>
      <c r="D226" s="131">
        <f>$C226*'Financial impact (cash)'!D30</f>
        <v>0</v>
      </c>
      <c r="E226" s="131">
        <f>$C226*'Financial impact (cash)'!E30</f>
        <v>0</v>
      </c>
      <c r="F226" s="131">
        <f>$C226*'Financial impact (cash)'!F30</f>
        <v>0</v>
      </c>
      <c r="G226" s="131">
        <f>$C226*'Financial impact (cash)'!G30</f>
        <v>0</v>
      </c>
      <c r="H226" s="131">
        <f>$C226*'Financial impact (cash)'!H30</f>
        <v>0</v>
      </c>
      <c r="I226" s="131">
        <f>$C226*'Financial impact (cash)'!I30</f>
        <v>0</v>
      </c>
      <c r="J226" s="400"/>
      <c r="K226" s="406">
        <f>(D226*'Inputs and eligible population'!$Q$125)/1000</f>
        <v>0</v>
      </c>
      <c r="L226" s="406">
        <f>(E226*'Inputs and eligible population'!$Q$125)/1000</f>
        <v>0</v>
      </c>
      <c r="M226" s="406">
        <f>(F226*'Inputs and eligible population'!$Q$125)/1000</f>
        <v>0</v>
      </c>
      <c r="N226" s="406">
        <f>(G226*'Inputs and eligible population'!$Q$125)/1000</f>
        <v>0</v>
      </c>
      <c r="O226" s="406">
        <f>(H226*'Inputs and eligible population'!$Q$125)/1000</f>
        <v>0</v>
      </c>
      <c r="P226" s="406">
        <f>(I226*'Inputs and eligible population'!$Q$125)/1000</f>
        <v>0</v>
      </c>
      <c r="Q226" s="260"/>
      <c r="R226" s="260"/>
      <c r="S226" s="260"/>
      <c r="T226" s="260"/>
      <c r="U226" s="260"/>
      <c r="V226" s="260"/>
      <c r="W226" s="260"/>
      <c r="X226" s="260"/>
      <c r="Y226" s="260"/>
      <c r="AI226" s="396"/>
      <c r="AJ226" s="396"/>
      <c r="AK226" s="396"/>
      <c r="AL226" s="396"/>
      <c r="AM226" s="396"/>
    </row>
    <row r="227" spans="1:39" x14ac:dyDescent="0.25">
      <c r="A227" s="400"/>
      <c r="B227" s="496" t="s">
        <v>1136</v>
      </c>
      <c r="C227" s="411">
        <f>'Inputs and eligible population'!G$125</f>
        <v>1</v>
      </c>
      <c r="D227" s="131">
        <f>$C227*'Financial impact (cash)'!D31</f>
        <v>0</v>
      </c>
      <c r="E227" s="131">
        <f>$C227*'Financial impact (cash)'!E31</f>
        <v>0</v>
      </c>
      <c r="F227" s="131">
        <f>$C227*'Financial impact (cash)'!F31</f>
        <v>0</v>
      </c>
      <c r="G227" s="131">
        <f>$C227*'Financial impact (cash)'!G31</f>
        <v>0</v>
      </c>
      <c r="H227" s="131">
        <f>$C227*'Financial impact (cash)'!H31</f>
        <v>0</v>
      </c>
      <c r="I227" s="131">
        <f>$C227*'Financial impact (cash)'!I31</f>
        <v>0</v>
      </c>
      <c r="J227" s="400"/>
      <c r="K227" s="406">
        <f>(D227*'Inputs and eligible population'!$Q$125)/1000</f>
        <v>0</v>
      </c>
      <c r="L227" s="406">
        <f>(E227*'Inputs and eligible population'!$Q$125)/1000</f>
        <v>0</v>
      </c>
      <c r="M227" s="406">
        <f>(F227*'Inputs and eligible population'!$Q$125)/1000</f>
        <v>0</v>
      </c>
      <c r="N227" s="406">
        <f>(G227*'Inputs and eligible population'!$Q$125)/1000</f>
        <v>0</v>
      </c>
      <c r="O227" s="406">
        <f>(H227*'Inputs and eligible population'!$Q$125)/1000</f>
        <v>0</v>
      </c>
      <c r="P227" s="406">
        <f>(I227*'Inputs and eligible population'!$Q$125)/1000</f>
        <v>0</v>
      </c>
      <c r="Q227" s="260"/>
      <c r="R227" s="260"/>
      <c r="S227" s="260"/>
      <c r="T227" s="260"/>
      <c r="U227" s="260"/>
      <c r="V227" s="260"/>
      <c r="W227" s="260"/>
      <c r="X227" s="260"/>
      <c r="Y227" s="260"/>
      <c r="AI227" s="396"/>
      <c r="AJ227" s="396"/>
      <c r="AK227" s="396"/>
      <c r="AL227" s="396"/>
      <c r="AM227" s="396"/>
    </row>
    <row r="228" spans="1:39" x14ac:dyDescent="0.25">
      <c r="A228" s="400"/>
      <c r="B228" s="496" t="s">
        <v>1137</v>
      </c>
      <c r="C228" s="411">
        <f>'Inputs and eligible population'!H$125</f>
        <v>2</v>
      </c>
      <c r="D228" s="131">
        <f>$C228*'Financial impact (cash)'!D32</f>
        <v>0</v>
      </c>
      <c r="E228" s="131">
        <f>$C228*'Financial impact (cash)'!E32</f>
        <v>0</v>
      </c>
      <c r="F228" s="131">
        <f>$C228*'Financial impact (cash)'!F32</f>
        <v>0</v>
      </c>
      <c r="G228" s="131">
        <f>$C228*'Financial impact (cash)'!G32</f>
        <v>0</v>
      </c>
      <c r="H228" s="131">
        <f>$C228*'Financial impact (cash)'!H32</f>
        <v>0</v>
      </c>
      <c r="I228" s="131">
        <f>$C228*'Financial impact (cash)'!I32</f>
        <v>0</v>
      </c>
      <c r="J228" s="400"/>
      <c r="K228" s="406">
        <f>(D228*'Inputs and eligible population'!$Q$125)/1000</f>
        <v>0</v>
      </c>
      <c r="L228" s="406">
        <f>(E228*'Inputs and eligible population'!$Q$125)/1000</f>
        <v>0</v>
      </c>
      <c r="M228" s="406">
        <f>(F228*'Inputs and eligible population'!$Q$125)/1000</f>
        <v>0</v>
      </c>
      <c r="N228" s="406">
        <f>(G228*'Inputs and eligible population'!$Q$125)/1000</f>
        <v>0</v>
      </c>
      <c r="O228" s="406">
        <f>(H228*'Inputs and eligible population'!$Q$125)/1000</f>
        <v>0</v>
      </c>
      <c r="P228" s="406">
        <f>(I228*'Inputs and eligible population'!$Q$125)/1000</f>
        <v>0</v>
      </c>
      <c r="Q228" s="260"/>
      <c r="R228" s="260"/>
      <c r="S228" s="260"/>
      <c r="T228" s="260"/>
      <c r="U228" s="260"/>
      <c r="V228" s="260"/>
      <c r="W228" s="260"/>
      <c r="X228" s="260"/>
      <c r="Y228" s="260"/>
      <c r="AI228" s="396"/>
      <c r="AJ228" s="396"/>
      <c r="AK228" s="396"/>
      <c r="AL228" s="396"/>
      <c r="AM228" s="396"/>
    </row>
    <row r="229" spans="1:39" x14ac:dyDescent="0.25">
      <c r="A229" s="400"/>
      <c r="B229" s="496" t="s">
        <v>1138</v>
      </c>
      <c r="C229" s="411">
        <f>'Inputs and eligible population'!I$125</f>
        <v>1.5</v>
      </c>
      <c r="D229" s="131">
        <f>$C229*'Financial impact (cash)'!D33</f>
        <v>0</v>
      </c>
      <c r="E229" s="131">
        <f>$C229*'Financial impact (cash)'!E33</f>
        <v>0</v>
      </c>
      <c r="F229" s="131">
        <f>$C229*'Financial impact (cash)'!F33</f>
        <v>0</v>
      </c>
      <c r="G229" s="131">
        <f>$C229*'Financial impact (cash)'!G33</f>
        <v>0</v>
      </c>
      <c r="H229" s="131">
        <f>$C229*'Financial impact (cash)'!H33</f>
        <v>0</v>
      </c>
      <c r="I229" s="131">
        <f>$C229*'Financial impact (cash)'!I33</f>
        <v>0</v>
      </c>
      <c r="J229" s="400"/>
      <c r="K229" s="406">
        <f>(D229*'Inputs and eligible population'!$Q$125)/1000</f>
        <v>0</v>
      </c>
      <c r="L229" s="406">
        <f>(E229*'Inputs and eligible population'!$Q$125)/1000</f>
        <v>0</v>
      </c>
      <c r="M229" s="406">
        <f>(F229*'Inputs and eligible population'!$Q$125)/1000</f>
        <v>0</v>
      </c>
      <c r="N229" s="406">
        <f>(G229*'Inputs and eligible population'!$Q$125)/1000</f>
        <v>0</v>
      </c>
      <c r="O229" s="406">
        <f>(H229*'Inputs and eligible population'!$Q$125)/1000</f>
        <v>0</v>
      </c>
      <c r="P229" s="406">
        <f>(I229*'Inputs and eligible population'!$Q$125)/1000</f>
        <v>0</v>
      </c>
      <c r="Q229" s="260"/>
      <c r="R229" s="260"/>
      <c r="S229" s="260"/>
      <c r="T229" s="260"/>
      <c r="U229" s="260"/>
      <c r="V229" s="260"/>
      <c r="W229" s="260"/>
      <c r="X229" s="260"/>
      <c r="Y229" s="260"/>
      <c r="AI229" s="396"/>
      <c r="AJ229" s="396"/>
      <c r="AK229" s="396"/>
      <c r="AL229" s="396"/>
      <c r="AM229" s="396"/>
    </row>
    <row r="230" spans="1:39" x14ac:dyDescent="0.25">
      <c r="A230" s="400"/>
      <c r="B230" s="496" t="s">
        <v>1139</v>
      </c>
      <c r="C230" s="411">
        <f>'Inputs and eligible population'!J$125</f>
        <v>1.5</v>
      </c>
      <c r="D230" s="131">
        <f>$C230*'Financial impact (cash)'!D34</f>
        <v>0</v>
      </c>
      <c r="E230" s="131">
        <f>$C230*'Financial impact (cash)'!E34</f>
        <v>0</v>
      </c>
      <c r="F230" s="131">
        <f>$C230*'Financial impact (cash)'!F34</f>
        <v>0</v>
      </c>
      <c r="G230" s="131">
        <f>$C230*'Financial impact (cash)'!G34</f>
        <v>0</v>
      </c>
      <c r="H230" s="131">
        <f>$C230*'Financial impact (cash)'!H34</f>
        <v>0</v>
      </c>
      <c r="I230" s="131">
        <f>$C230*'Financial impact (cash)'!I34</f>
        <v>0</v>
      </c>
      <c r="J230" s="400"/>
      <c r="K230" s="406">
        <f>(D230*'Inputs and eligible population'!$Q$125)/1000</f>
        <v>0</v>
      </c>
      <c r="L230" s="406">
        <f>(E230*'Inputs and eligible population'!$Q$125)/1000</f>
        <v>0</v>
      </c>
      <c r="M230" s="406">
        <f>(F230*'Inputs and eligible population'!$Q$125)/1000</f>
        <v>0</v>
      </c>
      <c r="N230" s="406">
        <f>(G230*'Inputs and eligible population'!$Q$125)/1000</f>
        <v>0</v>
      </c>
      <c r="O230" s="406">
        <f>(H230*'Inputs and eligible population'!$Q$125)/1000</f>
        <v>0</v>
      </c>
      <c r="P230" s="406">
        <f>(I230*'Inputs and eligible population'!$Q$125)/1000</f>
        <v>0</v>
      </c>
      <c r="Q230" s="260"/>
      <c r="R230" s="260"/>
      <c r="S230" s="260"/>
      <c r="T230" s="260"/>
      <c r="U230" s="260"/>
      <c r="V230" s="260"/>
      <c r="W230" s="260"/>
      <c r="X230" s="260"/>
      <c r="Y230" s="260"/>
      <c r="AI230" s="396"/>
      <c r="AJ230" s="396"/>
      <c r="AK230" s="396"/>
      <c r="AL230" s="396"/>
      <c r="AM230" s="396"/>
    </row>
    <row r="231" spans="1:39" x14ac:dyDescent="0.25">
      <c r="A231" s="400"/>
      <c r="B231" s="496" t="s">
        <v>1140</v>
      </c>
      <c r="C231" s="411">
        <f>'Inputs and eligible population'!K$125</f>
        <v>2</v>
      </c>
      <c r="D231" s="131">
        <f>$C231*'Financial impact (cash)'!D35</f>
        <v>0</v>
      </c>
      <c r="E231" s="131">
        <f>$C231*'Financial impact (cash)'!E35</f>
        <v>0</v>
      </c>
      <c r="F231" s="131">
        <f>$C231*'Financial impact (cash)'!F35</f>
        <v>0</v>
      </c>
      <c r="G231" s="131">
        <f>$C231*'Financial impact (cash)'!G35</f>
        <v>0</v>
      </c>
      <c r="H231" s="131">
        <f>$C231*'Financial impact (cash)'!H35</f>
        <v>0</v>
      </c>
      <c r="I231" s="131">
        <f>$C231*'Financial impact (cash)'!I35</f>
        <v>0</v>
      </c>
      <c r="J231" s="400"/>
      <c r="K231" s="406">
        <f>(D231*'Inputs and eligible population'!$Q$125)/1000</f>
        <v>0</v>
      </c>
      <c r="L231" s="406">
        <f>(E231*'Inputs and eligible population'!$Q$125)/1000</f>
        <v>0</v>
      </c>
      <c r="M231" s="406">
        <f>(F231*'Inputs and eligible population'!$Q$125)/1000</f>
        <v>0</v>
      </c>
      <c r="N231" s="406">
        <f>(G231*'Inputs and eligible population'!$Q$125)/1000</f>
        <v>0</v>
      </c>
      <c r="O231" s="406">
        <f>(H231*'Inputs and eligible population'!$Q$125)/1000</f>
        <v>0</v>
      </c>
      <c r="P231" s="406">
        <f>(I231*'Inputs and eligible population'!$Q$125)/1000</f>
        <v>0</v>
      </c>
      <c r="Q231" s="260"/>
      <c r="R231" s="260"/>
      <c r="S231" s="260"/>
      <c r="T231" s="260"/>
      <c r="U231" s="260"/>
      <c r="V231" s="260"/>
      <c r="W231" s="260"/>
      <c r="X231" s="260"/>
      <c r="Y231" s="260"/>
      <c r="AI231" s="396"/>
      <c r="AJ231" s="396"/>
      <c r="AK231" s="396"/>
      <c r="AL231" s="396"/>
      <c r="AM231" s="396"/>
    </row>
    <row r="232" spans="1:39" x14ac:dyDescent="0.25">
      <c r="A232" s="400"/>
      <c r="B232" s="496" t="s">
        <v>1141</v>
      </c>
      <c r="C232" s="411">
        <f>'Inputs and eligible population'!L$125</f>
        <v>3</v>
      </c>
      <c r="D232" s="131">
        <f>$C232*'Financial impact (cash)'!D36</f>
        <v>0</v>
      </c>
      <c r="E232" s="131">
        <f>$C232*'Financial impact (cash)'!E36</f>
        <v>0</v>
      </c>
      <c r="F232" s="131">
        <f>$C232*'Financial impact (cash)'!F36</f>
        <v>0</v>
      </c>
      <c r="G232" s="131">
        <f>$C232*'Financial impact (cash)'!G36</f>
        <v>0</v>
      </c>
      <c r="H232" s="131">
        <f>$C232*'Financial impact (cash)'!H36</f>
        <v>0</v>
      </c>
      <c r="I232" s="131">
        <f>$C232*'Financial impact (cash)'!I36</f>
        <v>0</v>
      </c>
      <c r="J232" s="400"/>
      <c r="K232" s="406">
        <f>(D232*'Inputs and eligible population'!$Q$125)/1000</f>
        <v>0</v>
      </c>
      <c r="L232" s="406">
        <f>(E232*'Inputs and eligible population'!$Q$125)/1000</f>
        <v>0</v>
      </c>
      <c r="M232" s="406">
        <f>(F232*'Inputs and eligible population'!$Q$125)/1000</f>
        <v>0</v>
      </c>
      <c r="N232" s="406">
        <f>(G232*'Inputs and eligible population'!$Q$125)/1000</f>
        <v>0</v>
      </c>
      <c r="O232" s="406">
        <f>(H232*'Inputs and eligible population'!$Q$125)/1000</f>
        <v>0</v>
      </c>
      <c r="P232" s="406">
        <f>(I232*'Inputs and eligible population'!$Q$125)/1000</f>
        <v>0</v>
      </c>
      <c r="Q232" s="260"/>
      <c r="R232" s="260"/>
      <c r="S232" s="260"/>
      <c r="T232" s="260"/>
      <c r="U232" s="260"/>
      <c r="V232" s="260"/>
      <c r="W232" s="260"/>
      <c r="X232" s="260"/>
      <c r="Y232" s="260"/>
      <c r="AI232" s="396"/>
      <c r="AJ232" s="396"/>
      <c r="AK232" s="396"/>
      <c r="AL232" s="396"/>
      <c r="AM232" s="396"/>
    </row>
    <row r="233" spans="1:39" x14ac:dyDescent="0.25">
      <c r="A233" s="400"/>
      <c r="B233" s="496" t="s">
        <v>1142</v>
      </c>
      <c r="C233" s="411">
        <f>'Inputs and eligible population'!M$125</f>
        <v>1</v>
      </c>
      <c r="D233" s="131">
        <f>$C233*'Financial impact (cash)'!D37</f>
        <v>0</v>
      </c>
      <c r="E233" s="131">
        <f>$C233*'Financial impact (cash)'!E37</f>
        <v>0</v>
      </c>
      <c r="F233" s="131">
        <f>$C233*'Financial impact (cash)'!F37</f>
        <v>0</v>
      </c>
      <c r="G233" s="131">
        <f>$C233*'Financial impact (cash)'!G37</f>
        <v>0</v>
      </c>
      <c r="H233" s="131">
        <f>$C233*'Financial impact (cash)'!H37</f>
        <v>0</v>
      </c>
      <c r="I233" s="131">
        <f>$C233*'Financial impact (cash)'!I37</f>
        <v>0</v>
      </c>
      <c r="J233" s="400"/>
      <c r="K233" s="406">
        <f>(D233*'Inputs and eligible population'!$Q$125)/1000</f>
        <v>0</v>
      </c>
      <c r="L233" s="406">
        <f>(E233*'Inputs and eligible population'!$Q$125)/1000</f>
        <v>0</v>
      </c>
      <c r="M233" s="406">
        <f>(F233*'Inputs and eligible population'!$Q$125)/1000</f>
        <v>0</v>
      </c>
      <c r="N233" s="406">
        <f>(G233*'Inputs and eligible population'!$Q$125)/1000</f>
        <v>0</v>
      </c>
      <c r="O233" s="406">
        <f>(H233*'Inputs and eligible population'!$Q$125)/1000</f>
        <v>0</v>
      </c>
      <c r="P233" s="406">
        <f>(I233*'Inputs and eligible population'!$Q$125)/1000</f>
        <v>0</v>
      </c>
      <c r="Q233" s="260"/>
      <c r="R233" s="260"/>
      <c r="S233" s="260"/>
      <c r="T233" s="260"/>
      <c r="U233" s="260"/>
      <c r="V233" s="260"/>
      <c r="W233" s="260"/>
      <c r="X233" s="260"/>
      <c r="Y233" s="260"/>
      <c r="AI233" s="396"/>
      <c r="AJ233" s="396"/>
      <c r="AK233" s="396"/>
      <c r="AL233" s="396"/>
      <c r="AM233" s="396"/>
    </row>
    <row r="234" spans="1:39" x14ac:dyDescent="0.25">
      <c r="A234" s="400"/>
      <c r="B234" s="394"/>
      <c r="C234" s="327"/>
      <c r="D234" s="313">
        <f t="shared" ref="D234:I234" si="77">SUM(D226:D233)</f>
        <v>0</v>
      </c>
      <c r="E234" s="313">
        <f t="shared" si="77"/>
        <v>0</v>
      </c>
      <c r="F234" s="313">
        <f t="shared" si="77"/>
        <v>0</v>
      </c>
      <c r="G234" s="313">
        <f t="shared" si="77"/>
        <v>0</v>
      </c>
      <c r="H234" s="313">
        <f t="shared" si="77"/>
        <v>0</v>
      </c>
      <c r="I234" s="313">
        <f t="shared" si="77"/>
        <v>0</v>
      </c>
      <c r="J234" s="400"/>
      <c r="K234" s="314">
        <f t="shared" ref="K234:P234" si="78">SUM(K226:K233)</f>
        <v>0</v>
      </c>
      <c r="L234" s="314">
        <f t="shared" si="78"/>
        <v>0</v>
      </c>
      <c r="M234" s="314">
        <f t="shared" si="78"/>
        <v>0</v>
      </c>
      <c r="N234" s="314">
        <f t="shared" si="78"/>
        <v>0</v>
      </c>
      <c r="O234" s="314">
        <f t="shared" si="78"/>
        <v>0</v>
      </c>
      <c r="P234" s="314">
        <f t="shared" si="78"/>
        <v>0</v>
      </c>
      <c r="Q234" s="260"/>
      <c r="R234" s="260"/>
      <c r="S234" s="260"/>
      <c r="T234" s="260"/>
      <c r="U234" s="260"/>
      <c r="V234" s="260"/>
      <c r="W234" s="260"/>
      <c r="X234" s="260"/>
      <c r="Y234" s="260"/>
      <c r="AI234" s="396"/>
      <c r="AJ234" s="396"/>
      <c r="AK234" s="396"/>
      <c r="AL234" s="396"/>
      <c r="AM234" s="396"/>
    </row>
    <row r="235" spans="1:39" x14ac:dyDescent="0.25">
      <c r="A235" s="400"/>
      <c r="B235" s="425"/>
      <c r="C235" s="377"/>
      <c r="D235" s="395" t="s">
        <v>1262</v>
      </c>
      <c r="E235" s="313">
        <f>E234-$D$234</f>
        <v>0</v>
      </c>
      <c r="F235" s="313">
        <f>F234-$D$234</f>
        <v>0</v>
      </c>
      <c r="G235" s="313">
        <f>G234-$D$234</f>
        <v>0</v>
      </c>
      <c r="H235" s="313">
        <f>H234-$D$234</f>
        <v>0</v>
      </c>
      <c r="I235" s="313">
        <f>I234-$D$234</f>
        <v>0</v>
      </c>
      <c r="J235" s="400"/>
      <c r="K235" s="1115"/>
      <c r="L235" s="314">
        <f>L234-$K$221</f>
        <v>0</v>
      </c>
      <c r="M235" s="314">
        <f>M234-$K$221</f>
        <v>0</v>
      </c>
      <c r="N235" s="314">
        <f>N234-$K$221</f>
        <v>0</v>
      </c>
      <c r="O235" s="314">
        <f>O234-$K$221</f>
        <v>0</v>
      </c>
      <c r="P235" s="314">
        <f>P234-$K$221</f>
        <v>0</v>
      </c>
      <c r="U235" s="260"/>
    </row>
    <row r="236" spans="1:39" x14ac:dyDescent="0.25">
      <c r="A236" s="400"/>
      <c r="B236" s="400"/>
      <c r="C236" s="340"/>
      <c r="D236" s="400"/>
      <c r="E236" s="400"/>
      <c r="F236" s="400"/>
      <c r="G236" s="400"/>
      <c r="H236" s="400"/>
      <c r="I236" s="340"/>
      <c r="J236" s="340"/>
      <c r="K236" s="340"/>
      <c r="L236" s="340"/>
      <c r="M236" s="340"/>
      <c r="N236" s="340"/>
      <c r="O236" s="340"/>
      <c r="P236" s="340"/>
      <c r="U236" s="260"/>
    </row>
    <row r="237" spans="1:39" hidden="1" x14ac:dyDescent="0.25">
      <c r="A237" s="400"/>
      <c r="B237" s="400"/>
      <c r="C237" s="340"/>
      <c r="D237" s="400"/>
      <c r="E237" s="400"/>
      <c r="F237" s="400"/>
      <c r="G237" s="400"/>
      <c r="H237" s="400"/>
      <c r="I237" s="340"/>
      <c r="J237" s="340"/>
      <c r="K237" s="340"/>
      <c r="L237" s="340"/>
      <c r="M237" s="340"/>
      <c r="N237" s="340"/>
      <c r="O237" s="340"/>
      <c r="P237" s="340"/>
      <c r="U237" s="260"/>
    </row>
    <row r="238" spans="1:39" hidden="1" x14ac:dyDescent="0.25">
      <c r="A238" s="401"/>
      <c r="B238" s="453" t="s">
        <v>91</v>
      </c>
      <c r="C238" s="437"/>
      <c r="D238" s="438"/>
      <c r="E238" s="439"/>
      <c r="F238" s="440"/>
      <c r="G238" s="440"/>
      <c r="H238" s="440"/>
      <c r="I238" s="643"/>
      <c r="J238" s="652"/>
      <c r="K238" s="401"/>
      <c r="L238" s="401"/>
      <c r="M238" s="401"/>
      <c r="N238" s="401"/>
      <c r="O238" s="401"/>
      <c r="P238" s="401"/>
      <c r="Q238" s="260"/>
      <c r="R238" s="260"/>
      <c r="S238" s="260"/>
      <c r="T238" s="260"/>
      <c r="U238" s="260"/>
      <c r="V238" s="260"/>
      <c r="W238" s="260"/>
      <c r="X238" s="260"/>
      <c r="Y238" s="260"/>
      <c r="AI238" s="396"/>
      <c r="AJ238" s="396"/>
      <c r="AK238" s="396"/>
      <c r="AL238" s="396"/>
      <c r="AM238" s="396"/>
    </row>
    <row r="239" spans="1:39" hidden="1" x14ac:dyDescent="0.25">
      <c r="A239" s="401"/>
      <c r="B239" s="568" t="s">
        <v>826</v>
      </c>
      <c r="C239" s="569"/>
      <c r="D239" s="569"/>
      <c r="E239" s="569"/>
      <c r="F239" s="569"/>
      <c r="G239" s="569"/>
      <c r="H239" s="569"/>
      <c r="I239" s="341"/>
      <c r="J239" s="650"/>
      <c r="K239" s="651"/>
      <c r="L239" s="651"/>
      <c r="M239" s="651"/>
      <c r="N239" s="651"/>
      <c r="O239" s="651"/>
      <c r="P239" s="651"/>
      <c r="Q239" s="260"/>
      <c r="R239" s="260"/>
      <c r="S239" s="260"/>
      <c r="T239" s="260"/>
      <c r="U239" s="260"/>
      <c r="V239" s="260"/>
      <c r="W239" s="260"/>
      <c r="X239" s="260"/>
      <c r="Y239" s="260"/>
      <c r="AI239" s="396"/>
      <c r="AJ239" s="396"/>
      <c r="AK239" s="396"/>
      <c r="AL239" s="396"/>
      <c r="AM239" s="396"/>
    </row>
    <row r="240" spans="1:39" ht="45" hidden="1" x14ac:dyDescent="0.25">
      <c r="A240" s="401"/>
      <c r="B240" s="390" t="s">
        <v>111</v>
      </c>
      <c r="C240" s="328"/>
      <c r="D240" s="629" t="s">
        <v>792</v>
      </c>
      <c r="E240" s="376" t="s">
        <v>56</v>
      </c>
      <c r="F240" s="376" t="s">
        <v>57</v>
      </c>
      <c r="G240" s="290" t="s">
        <v>793</v>
      </c>
      <c r="H240" s="290" t="s">
        <v>794</v>
      </c>
      <c r="I240" s="376" t="s">
        <v>795</v>
      </c>
      <c r="J240" s="401"/>
      <c r="K240" s="629" t="s">
        <v>1248</v>
      </c>
      <c r="L240" s="1114" t="s">
        <v>1249</v>
      </c>
      <c r="M240" s="1114" t="s">
        <v>1250</v>
      </c>
      <c r="N240" s="631" t="s">
        <v>1251</v>
      </c>
      <c r="O240" s="631" t="s">
        <v>1252</v>
      </c>
      <c r="P240" s="1114" t="s">
        <v>1253</v>
      </c>
      <c r="Q240" s="260"/>
      <c r="R240" s="260"/>
      <c r="S240" s="260"/>
      <c r="T240" s="260"/>
      <c r="U240" s="260"/>
      <c r="V240" s="260"/>
      <c r="W240" s="260"/>
      <c r="X240" s="260"/>
      <c r="Y240" s="260"/>
      <c r="AI240" s="396"/>
      <c r="AJ240" s="396"/>
      <c r="AK240" s="396"/>
      <c r="AL240" s="396"/>
      <c r="AM240" s="396"/>
    </row>
    <row r="241" spans="1:39" hidden="1" x14ac:dyDescent="0.25">
      <c r="A241" s="401"/>
      <c r="B241" s="370" t="s">
        <v>136</v>
      </c>
      <c r="C241" s="292"/>
      <c r="D241" s="131" t="e">
        <f>('Unit costs'!$C152*'Financial impact (cash)'!#REF!)+('Unit costs'!$D152*'Financial impact (cash)'!#REF!)+('Unit costs'!$E152*'Financial impact (cash)'!#REF!)</f>
        <v>#REF!</v>
      </c>
      <c r="E241" s="131" t="e">
        <f>('Unit costs'!$C152*'Financial impact (cash)'!#REF!)+('Unit costs'!$D152*'Financial impact (cash)'!#REF!)+('Unit costs'!$E152*'Financial impact (cash)'!#REF!)</f>
        <v>#REF!</v>
      </c>
      <c r="F241" s="131" t="e">
        <f>('Unit costs'!$C152*'Financial impact (cash)'!#REF!)+('Unit costs'!$D152*'Financial impact (cash)'!#REF!)+('Unit costs'!$E152*'Financial impact (cash)'!#REF!)</f>
        <v>#REF!</v>
      </c>
      <c r="G241" s="131" t="e">
        <f>('Unit costs'!$C152*'Financial impact (cash)'!#REF!)+('Unit costs'!$D152*'Financial impact (cash)'!#REF!)+('Unit costs'!$E152*'Financial impact (cash)'!#REF!)</f>
        <v>#REF!</v>
      </c>
      <c r="H241" s="131" t="e">
        <f>('Unit costs'!$C152*'Financial impact (cash)'!#REF!)+('Unit costs'!$D152*'Financial impact (cash)'!#REF!)+('Unit costs'!$E152*'Financial impact (cash)'!#REF!)</f>
        <v>#REF!</v>
      </c>
      <c r="I241" s="131" t="e">
        <f>('Unit costs'!$C152*'Financial impact (cash)'!#REF!)+('Unit costs'!$D152*'Financial impact (cash)'!#REF!)+('Unit costs'!$E152*'Financial impact (cash)'!#REF!)</f>
        <v>#REF!</v>
      </c>
      <c r="J241" s="401"/>
      <c r="K241" s="406" t="e">
        <f>(D241*'Unit costs'!$L$152)/1000</f>
        <v>#REF!</v>
      </c>
      <c r="L241" s="406" t="e">
        <f>(E241*'Unit costs'!$L$152)/1000</f>
        <v>#REF!</v>
      </c>
      <c r="M241" s="406" t="e">
        <f>(F241*'Unit costs'!$L$152)/1000</f>
        <v>#REF!</v>
      </c>
      <c r="N241" s="406" t="e">
        <f>(G241*'Unit costs'!$L$152)/1000</f>
        <v>#REF!</v>
      </c>
      <c r="O241" s="406" t="e">
        <f>(H241*'Unit costs'!$L$152)/1000</f>
        <v>#REF!</v>
      </c>
      <c r="P241" s="406" t="e">
        <f>(I241*'Unit costs'!$L$152)/1000</f>
        <v>#REF!</v>
      </c>
      <c r="Q241" s="260"/>
      <c r="R241" s="260"/>
      <c r="S241" s="260"/>
      <c r="T241" s="260"/>
      <c r="U241" s="260"/>
      <c r="V241" s="260"/>
      <c r="W241" s="260"/>
      <c r="X241" s="260"/>
      <c r="Y241" s="260"/>
      <c r="AI241" s="396"/>
      <c r="AJ241" s="396"/>
      <c r="AK241" s="396"/>
      <c r="AL241" s="396"/>
      <c r="AM241" s="396"/>
    </row>
    <row r="242" spans="1:39" hidden="1" x14ac:dyDescent="0.25">
      <c r="A242" s="401"/>
      <c r="B242" s="370" t="s">
        <v>137</v>
      </c>
      <c r="C242" s="292"/>
      <c r="D242" s="131" t="e">
        <f>('Unit costs'!$C153*'Financial impact (cash)'!#REF!)+('Unit costs'!$D153*'Financial impact (cash)'!#REF!)+('Unit costs'!$E153*'Financial impact (cash)'!#REF!)</f>
        <v>#REF!</v>
      </c>
      <c r="E242" s="131" t="e">
        <f>('Unit costs'!$C153*'Financial impact (cash)'!#REF!)+('Unit costs'!$D153*'Financial impact (cash)'!#REF!)+('Unit costs'!$E153*'Financial impact (cash)'!#REF!)</f>
        <v>#REF!</v>
      </c>
      <c r="F242" s="131" t="e">
        <f>('Unit costs'!$C153*'Financial impact (cash)'!#REF!)+('Unit costs'!$D153*'Financial impact (cash)'!#REF!)+('Unit costs'!$E153*'Financial impact (cash)'!#REF!)</f>
        <v>#REF!</v>
      </c>
      <c r="G242" s="131" t="e">
        <f>('Unit costs'!$C153*'Financial impact (cash)'!#REF!)+('Unit costs'!$D153*'Financial impact (cash)'!#REF!)+('Unit costs'!$E153*'Financial impact (cash)'!#REF!)</f>
        <v>#REF!</v>
      </c>
      <c r="H242" s="131" t="e">
        <f>('Unit costs'!$C153*'Financial impact (cash)'!#REF!)+('Unit costs'!$D153*'Financial impact (cash)'!#REF!)+('Unit costs'!$E153*'Financial impact (cash)'!#REF!)</f>
        <v>#REF!</v>
      </c>
      <c r="I242" s="131" t="e">
        <f>('Unit costs'!$C153*'Financial impact (cash)'!#REF!)+('Unit costs'!$D153*'Financial impact (cash)'!#REF!)+('Unit costs'!$E153*'Financial impact (cash)'!#REF!)</f>
        <v>#REF!</v>
      </c>
      <c r="J242" s="401"/>
      <c r="K242" s="406" t="e">
        <f>(D242*'Unit costs'!$L$152)/1000</f>
        <v>#REF!</v>
      </c>
      <c r="L242" s="406" t="e">
        <f>(E242*'Unit costs'!$L$152)/1000</f>
        <v>#REF!</v>
      </c>
      <c r="M242" s="406" t="e">
        <f>(F242*'Unit costs'!$L$152)/1000</f>
        <v>#REF!</v>
      </c>
      <c r="N242" s="406" t="e">
        <f>(G242*'Unit costs'!$L$152)/1000</f>
        <v>#REF!</v>
      </c>
      <c r="O242" s="406" t="e">
        <f>(H242*'Unit costs'!$L$152)/1000</f>
        <v>#REF!</v>
      </c>
      <c r="P242" s="406" t="e">
        <f>(I242*'Unit costs'!$L$152)/1000</f>
        <v>#REF!</v>
      </c>
      <c r="Q242" s="260"/>
      <c r="R242" s="260"/>
      <c r="S242" s="260"/>
      <c r="T242" s="260"/>
      <c r="U242" s="260"/>
      <c r="V242" s="260"/>
      <c r="W242" s="260"/>
      <c r="X242" s="260"/>
      <c r="Y242" s="260"/>
      <c r="AI242" s="396"/>
      <c r="AJ242" s="396"/>
      <c r="AK242" s="396"/>
      <c r="AL242" s="396"/>
      <c r="AM242" s="396"/>
    </row>
    <row r="243" spans="1:39" hidden="1" x14ac:dyDescent="0.25">
      <c r="A243" s="401"/>
      <c r="B243" s="370" t="s">
        <v>138</v>
      </c>
      <c r="C243" s="292"/>
      <c r="D243" s="131" t="e">
        <f>('Unit costs'!$C154*'Financial impact (cash)'!#REF!)+('Unit costs'!$D154*'Financial impact (cash)'!#REF!)+('Unit costs'!$E154*'Financial impact (cash)'!#REF!)</f>
        <v>#REF!</v>
      </c>
      <c r="E243" s="131" t="e">
        <f>('Unit costs'!$C154*'Financial impact (cash)'!#REF!)+('Unit costs'!$D154*'Financial impact (cash)'!#REF!)+('Unit costs'!$E154*'Financial impact (cash)'!#REF!)</f>
        <v>#REF!</v>
      </c>
      <c r="F243" s="131" t="e">
        <f>('Unit costs'!$C154*'Financial impact (cash)'!#REF!)+('Unit costs'!$D154*'Financial impact (cash)'!#REF!)+('Unit costs'!$E154*'Financial impact (cash)'!#REF!)</f>
        <v>#REF!</v>
      </c>
      <c r="G243" s="131" t="e">
        <f>('Unit costs'!$C154*'Financial impact (cash)'!#REF!)+('Unit costs'!$D154*'Financial impact (cash)'!#REF!)+('Unit costs'!$E154*'Financial impact (cash)'!#REF!)</f>
        <v>#REF!</v>
      </c>
      <c r="H243" s="131" t="e">
        <f>('Unit costs'!$C154*'Financial impact (cash)'!#REF!)+('Unit costs'!$D154*'Financial impact (cash)'!#REF!)+('Unit costs'!$E154*'Financial impact (cash)'!#REF!)</f>
        <v>#REF!</v>
      </c>
      <c r="I243" s="131" t="e">
        <f>('Unit costs'!$C154*'Financial impact (cash)'!#REF!)+('Unit costs'!$D154*'Financial impact (cash)'!#REF!)+('Unit costs'!$E154*'Financial impact (cash)'!#REF!)</f>
        <v>#REF!</v>
      </c>
      <c r="J243" s="401"/>
      <c r="K243" s="406" t="e">
        <f>(D243*'Unit costs'!$L$152)/1000</f>
        <v>#REF!</v>
      </c>
      <c r="L243" s="406" t="e">
        <f>(E243*'Unit costs'!$L$152)/1000</f>
        <v>#REF!</v>
      </c>
      <c r="M243" s="406" t="e">
        <f>(F243*'Unit costs'!$L$152)/1000</f>
        <v>#REF!</v>
      </c>
      <c r="N243" s="406" t="e">
        <f>(G243*'Unit costs'!$L$152)/1000</f>
        <v>#REF!</v>
      </c>
      <c r="O243" s="406" t="e">
        <f>(H243*'Unit costs'!$L$152)/1000</f>
        <v>#REF!</v>
      </c>
      <c r="P243" s="406" t="e">
        <f>(I243*'Unit costs'!$L$152)/1000</f>
        <v>#REF!</v>
      </c>
      <c r="Q243" s="260"/>
      <c r="R243" s="260"/>
      <c r="S243" s="260"/>
      <c r="T243" s="260"/>
      <c r="U243" s="260"/>
      <c r="V243" s="260"/>
      <c r="W243" s="260"/>
      <c r="X243" s="260"/>
      <c r="Y243" s="260"/>
      <c r="AI243" s="396"/>
      <c r="AJ243" s="396"/>
      <c r="AK243" s="396"/>
      <c r="AL243" s="396"/>
      <c r="AM243" s="396"/>
    </row>
    <row r="244" spans="1:39" hidden="1" x14ac:dyDescent="0.25">
      <c r="A244" s="401"/>
      <c r="B244" s="370" t="s">
        <v>139</v>
      </c>
      <c r="C244" s="292"/>
      <c r="D244" s="131" t="e">
        <f>('Unit costs'!$C155*'Financial impact (cash)'!#REF!)+('Unit costs'!$D155*'Financial impact (cash)'!#REF!)+('Unit costs'!$E155*'Financial impact (cash)'!#REF!)</f>
        <v>#REF!</v>
      </c>
      <c r="E244" s="131" t="e">
        <f>('Unit costs'!$C155*'Financial impact (cash)'!#REF!)+('Unit costs'!$D155*'Financial impact (cash)'!#REF!)+('Unit costs'!$E155*'Financial impact (cash)'!#REF!)</f>
        <v>#REF!</v>
      </c>
      <c r="F244" s="131" t="e">
        <f>('Unit costs'!$C155*'Financial impact (cash)'!#REF!)+('Unit costs'!$D155*'Financial impact (cash)'!#REF!)+('Unit costs'!$E155*'Financial impact (cash)'!#REF!)</f>
        <v>#REF!</v>
      </c>
      <c r="G244" s="131" t="e">
        <f>('Unit costs'!$C155*'Financial impact (cash)'!#REF!)+('Unit costs'!$D155*'Financial impact (cash)'!#REF!)+('Unit costs'!$E155*'Financial impact (cash)'!#REF!)</f>
        <v>#REF!</v>
      </c>
      <c r="H244" s="131" t="e">
        <f>('Unit costs'!$C155*'Financial impact (cash)'!#REF!)+('Unit costs'!$D155*'Financial impact (cash)'!#REF!)+('Unit costs'!$E155*'Financial impact (cash)'!#REF!)</f>
        <v>#REF!</v>
      </c>
      <c r="I244" s="131" t="e">
        <f>('Unit costs'!$C155*'Financial impact (cash)'!#REF!)+('Unit costs'!$D155*'Financial impact (cash)'!#REF!)+('Unit costs'!$E155*'Financial impact (cash)'!#REF!)</f>
        <v>#REF!</v>
      </c>
      <c r="J244" s="401"/>
      <c r="K244" s="406" t="e">
        <f>(D244*'Unit costs'!$L$152)/1000</f>
        <v>#REF!</v>
      </c>
      <c r="L244" s="406" t="e">
        <f>(E244*'Unit costs'!$L$152)/1000</f>
        <v>#REF!</v>
      </c>
      <c r="M244" s="406" t="e">
        <f>(F244*'Unit costs'!$L$152)/1000</f>
        <v>#REF!</v>
      </c>
      <c r="N244" s="406" t="e">
        <f>(G244*'Unit costs'!$L$152)/1000</f>
        <v>#REF!</v>
      </c>
      <c r="O244" s="406" t="e">
        <f>(H244*'Unit costs'!$L$152)/1000</f>
        <v>#REF!</v>
      </c>
      <c r="P244" s="406" t="e">
        <f>(I244*'Unit costs'!$L$152)/1000</f>
        <v>#REF!</v>
      </c>
      <c r="Q244" s="260"/>
      <c r="R244" s="260"/>
      <c r="S244" s="260"/>
      <c r="T244" s="260"/>
      <c r="U244" s="260"/>
      <c r="V244" s="260"/>
      <c r="W244" s="260"/>
      <c r="X244" s="260"/>
      <c r="Y244" s="260"/>
      <c r="AI244" s="396"/>
      <c r="AJ244" s="396"/>
      <c r="AK244" s="396"/>
      <c r="AL244" s="396"/>
      <c r="AM244" s="396"/>
    </row>
    <row r="245" spans="1:39" hidden="1" x14ac:dyDescent="0.25">
      <c r="A245" s="401"/>
      <c r="B245" s="370" t="s">
        <v>1286</v>
      </c>
      <c r="C245" s="292"/>
      <c r="D245" s="131" t="e">
        <f>('Unit costs'!$C156*'Financial impact (cash)'!#REF!)+('Unit costs'!$D156*'Financial impact (cash)'!#REF!)+('Unit costs'!$E156*'Financial impact (cash)'!#REF!)</f>
        <v>#REF!</v>
      </c>
      <c r="E245" s="131" t="e">
        <f>('Unit costs'!$C156*'Financial impact (cash)'!#REF!)+('Unit costs'!$D156*'Financial impact (cash)'!#REF!)+('Unit costs'!$E156*'Financial impact (cash)'!#REF!)</f>
        <v>#REF!</v>
      </c>
      <c r="F245" s="131" t="e">
        <f>('Unit costs'!$C156*'Financial impact (cash)'!#REF!)+('Unit costs'!$D156*'Financial impact (cash)'!#REF!)+('Unit costs'!$E156*'Financial impact (cash)'!#REF!)</f>
        <v>#REF!</v>
      </c>
      <c r="G245" s="131" t="e">
        <f>('Unit costs'!$C156*'Financial impact (cash)'!#REF!)+('Unit costs'!$D156*'Financial impact (cash)'!#REF!)+('Unit costs'!$E156*'Financial impact (cash)'!#REF!)</f>
        <v>#REF!</v>
      </c>
      <c r="H245" s="131" t="e">
        <f>('Unit costs'!$C156*'Financial impact (cash)'!#REF!)+('Unit costs'!$D156*'Financial impact (cash)'!#REF!)+('Unit costs'!$E156*'Financial impact (cash)'!#REF!)</f>
        <v>#REF!</v>
      </c>
      <c r="I245" s="131" t="e">
        <f>('Unit costs'!$C156*'Financial impact (cash)'!#REF!)+('Unit costs'!$D156*'Financial impact (cash)'!#REF!)+('Unit costs'!$E156*'Financial impact (cash)'!#REF!)</f>
        <v>#REF!</v>
      </c>
      <c r="J245" s="401"/>
      <c r="K245" s="406" t="e">
        <f>(D245*'Unit costs'!$L$152)/1000</f>
        <v>#REF!</v>
      </c>
      <c r="L245" s="406" t="e">
        <f>(E245*'Unit costs'!$L$152)/1000</f>
        <v>#REF!</v>
      </c>
      <c r="M245" s="406" t="e">
        <f>(F245*'Unit costs'!$L$152)/1000</f>
        <v>#REF!</v>
      </c>
      <c r="N245" s="406" t="e">
        <f>(G245*'Unit costs'!$L$152)/1000</f>
        <v>#REF!</v>
      </c>
      <c r="O245" s="406" t="e">
        <f>(H245*'Unit costs'!$L$152)/1000</f>
        <v>#REF!</v>
      </c>
      <c r="P245" s="406" t="e">
        <f>(I245*'Unit costs'!$L$152)/1000</f>
        <v>#REF!</v>
      </c>
      <c r="Q245" s="260"/>
      <c r="R245" s="260"/>
      <c r="S245" s="260"/>
      <c r="T245" s="260"/>
      <c r="U245" s="260"/>
      <c r="V245" s="260"/>
      <c r="W245" s="260"/>
      <c r="X245" s="260"/>
      <c r="Y245" s="260"/>
      <c r="AI245" s="396"/>
      <c r="AJ245" s="396"/>
      <c r="AK245" s="396"/>
      <c r="AL245" s="396"/>
      <c r="AM245" s="396"/>
    </row>
    <row r="246" spans="1:39" hidden="1" x14ac:dyDescent="0.25">
      <c r="A246" s="401"/>
      <c r="B246" s="370" t="s">
        <v>141</v>
      </c>
      <c r="C246" s="292"/>
      <c r="D246" s="131" t="e">
        <f>('Unit costs'!$C157*'Financial impact (cash)'!#REF!)+('Unit costs'!$D157*'Financial impact (cash)'!#REF!)+('Unit costs'!$E157*'Financial impact (cash)'!#REF!)</f>
        <v>#REF!</v>
      </c>
      <c r="E246" s="131" t="e">
        <f>('Unit costs'!$C157*'Financial impact (cash)'!#REF!)+('Unit costs'!$D157*'Financial impact (cash)'!#REF!)+('Unit costs'!$E157*'Financial impact (cash)'!#REF!)</f>
        <v>#REF!</v>
      </c>
      <c r="F246" s="131" t="e">
        <f>('Unit costs'!$C157*'Financial impact (cash)'!#REF!)+('Unit costs'!$D157*'Financial impact (cash)'!#REF!)+('Unit costs'!$E157*'Financial impact (cash)'!#REF!)</f>
        <v>#REF!</v>
      </c>
      <c r="G246" s="131" t="e">
        <f>('Unit costs'!$C157*'Financial impact (cash)'!#REF!)+('Unit costs'!$D157*'Financial impact (cash)'!#REF!)+('Unit costs'!$E157*'Financial impact (cash)'!#REF!)</f>
        <v>#REF!</v>
      </c>
      <c r="H246" s="131" t="e">
        <f>('Unit costs'!$C157*'Financial impact (cash)'!#REF!)+('Unit costs'!$D157*'Financial impact (cash)'!#REF!)+('Unit costs'!$E157*'Financial impact (cash)'!#REF!)</f>
        <v>#REF!</v>
      </c>
      <c r="I246" s="131" t="e">
        <f>('Unit costs'!$C157*'Financial impact (cash)'!#REF!)+('Unit costs'!$D157*'Financial impact (cash)'!#REF!)+('Unit costs'!$E157*'Financial impact (cash)'!#REF!)</f>
        <v>#REF!</v>
      </c>
      <c r="J246" s="401"/>
      <c r="K246" s="406" t="e">
        <f>(D246*'Unit costs'!$L$152)/1000</f>
        <v>#REF!</v>
      </c>
      <c r="L246" s="406" t="e">
        <f>(E246*'Unit costs'!$L$152)/1000</f>
        <v>#REF!</v>
      </c>
      <c r="M246" s="406" t="e">
        <f>(F246*'Unit costs'!$L$152)/1000</f>
        <v>#REF!</v>
      </c>
      <c r="N246" s="406" t="e">
        <f>(G246*'Unit costs'!$L$152)/1000</f>
        <v>#REF!</v>
      </c>
      <c r="O246" s="406" t="e">
        <f>(H246*'Unit costs'!$L$152)/1000</f>
        <v>#REF!</v>
      </c>
      <c r="P246" s="406" t="e">
        <f>(I246*'Unit costs'!$L$152)/1000</f>
        <v>#REF!</v>
      </c>
      <c r="Q246" s="260"/>
      <c r="R246" s="260"/>
      <c r="S246" s="260"/>
      <c r="T246" s="260"/>
      <c r="U246" s="260"/>
      <c r="V246" s="260"/>
      <c r="W246" s="260"/>
      <c r="X246" s="260"/>
      <c r="Y246" s="260"/>
      <c r="AI246" s="396"/>
      <c r="AJ246" s="396"/>
      <c r="AK246" s="396"/>
      <c r="AL246" s="396"/>
      <c r="AM246" s="396"/>
    </row>
    <row r="247" spans="1:39" hidden="1" x14ac:dyDescent="0.25">
      <c r="A247" s="401"/>
      <c r="B247" s="370" t="s">
        <v>142</v>
      </c>
      <c r="C247" s="292"/>
      <c r="D247" s="131" t="e">
        <f>('Unit costs'!$C158*'Financial impact (cash)'!#REF!)+('Unit costs'!$D158*'Financial impact (cash)'!#REF!)+('Unit costs'!$E158*'Financial impact (cash)'!#REF!)</f>
        <v>#REF!</v>
      </c>
      <c r="E247" s="131" t="e">
        <f>('Unit costs'!$C158*'Financial impact (cash)'!#REF!)+('Unit costs'!$D158*'Financial impact (cash)'!#REF!)+('Unit costs'!$E158*'Financial impact (cash)'!#REF!)</f>
        <v>#REF!</v>
      </c>
      <c r="F247" s="131" t="e">
        <f>('Unit costs'!$C158*'Financial impact (cash)'!#REF!)+('Unit costs'!$D158*'Financial impact (cash)'!#REF!)+('Unit costs'!$E158*'Financial impact (cash)'!#REF!)</f>
        <v>#REF!</v>
      </c>
      <c r="G247" s="131" t="e">
        <f>('Unit costs'!$C158*'Financial impact (cash)'!#REF!)+('Unit costs'!$D158*'Financial impact (cash)'!#REF!)+('Unit costs'!$E158*'Financial impact (cash)'!#REF!)</f>
        <v>#REF!</v>
      </c>
      <c r="H247" s="131" t="e">
        <f>('Unit costs'!$C158*'Financial impact (cash)'!#REF!)+('Unit costs'!$D158*'Financial impact (cash)'!#REF!)+('Unit costs'!$E158*'Financial impact (cash)'!#REF!)</f>
        <v>#REF!</v>
      </c>
      <c r="I247" s="131" t="e">
        <f>('Unit costs'!$C158*'Financial impact (cash)'!#REF!)+('Unit costs'!$D158*'Financial impact (cash)'!#REF!)+('Unit costs'!$E158*'Financial impact (cash)'!#REF!)</f>
        <v>#REF!</v>
      </c>
      <c r="J247" s="401"/>
      <c r="K247" s="406" t="e">
        <f>(D247*'Unit costs'!$L$152)/1000</f>
        <v>#REF!</v>
      </c>
      <c r="L247" s="406" t="e">
        <f>(E247*'Unit costs'!$L$152)/1000</f>
        <v>#REF!</v>
      </c>
      <c r="M247" s="406" t="e">
        <f>(F247*'Unit costs'!$L$152)/1000</f>
        <v>#REF!</v>
      </c>
      <c r="N247" s="406" t="e">
        <f>(G247*'Unit costs'!$L$152)/1000</f>
        <v>#REF!</v>
      </c>
      <c r="O247" s="406" t="e">
        <f>(H247*'Unit costs'!$L$152)/1000</f>
        <v>#REF!</v>
      </c>
      <c r="P247" s="406" t="e">
        <f>(I247*'Unit costs'!$L$152)/1000</f>
        <v>#REF!</v>
      </c>
      <c r="Q247" s="260"/>
      <c r="R247" s="260"/>
      <c r="S247" s="260"/>
      <c r="T247" s="260"/>
      <c r="U247" s="260"/>
      <c r="V247" s="260"/>
      <c r="W247" s="260"/>
      <c r="X247" s="260"/>
      <c r="Y247" s="260"/>
      <c r="AI247" s="396"/>
      <c r="AJ247" s="396"/>
      <c r="AK247" s="396"/>
      <c r="AL247" s="396"/>
      <c r="AM247" s="396"/>
    </row>
    <row r="248" spans="1:39" hidden="1" x14ac:dyDescent="0.25">
      <c r="A248" s="401"/>
      <c r="B248" s="391"/>
      <c r="C248" s="328"/>
      <c r="D248" s="313" t="e">
        <f t="shared" ref="D248:I248" si="79">SUM(D241:D247)</f>
        <v>#REF!</v>
      </c>
      <c r="E248" s="313" t="e">
        <f t="shared" si="79"/>
        <v>#REF!</v>
      </c>
      <c r="F248" s="313" t="e">
        <f t="shared" si="79"/>
        <v>#REF!</v>
      </c>
      <c r="G248" s="313" t="e">
        <f t="shared" si="79"/>
        <v>#REF!</v>
      </c>
      <c r="H248" s="313" t="e">
        <f t="shared" si="79"/>
        <v>#REF!</v>
      </c>
      <c r="I248" s="313" t="e">
        <f t="shared" si="79"/>
        <v>#REF!</v>
      </c>
      <c r="J248" s="401"/>
      <c r="K248" s="407" t="e">
        <f t="shared" ref="K248:P248" si="80">SUM(K241:K247)</f>
        <v>#REF!</v>
      </c>
      <c r="L248" s="407" t="e">
        <f t="shared" si="80"/>
        <v>#REF!</v>
      </c>
      <c r="M248" s="407" t="e">
        <f t="shared" si="80"/>
        <v>#REF!</v>
      </c>
      <c r="N248" s="407" t="e">
        <f t="shared" si="80"/>
        <v>#REF!</v>
      </c>
      <c r="O248" s="407" t="e">
        <f t="shared" si="80"/>
        <v>#REF!</v>
      </c>
      <c r="P248" s="407" t="e">
        <f t="shared" si="80"/>
        <v>#REF!</v>
      </c>
      <c r="Q248" s="260"/>
      <c r="R248" s="260"/>
      <c r="S248" s="260"/>
      <c r="T248" s="260"/>
      <c r="U248" s="260"/>
      <c r="V248" s="260"/>
      <c r="W248" s="260"/>
      <c r="X248" s="260"/>
      <c r="Y248" s="260"/>
      <c r="AI248" s="396"/>
      <c r="AJ248" s="396"/>
      <c r="AK248" s="396"/>
      <c r="AL248" s="396"/>
      <c r="AM248" s="396"/>
    </row>
    <row r="249" spans="1:39" hidden="1" x14ac:dyDescent="0.25">
      <c r="A249" s="401"/>
      <c r="B249" s="425"/>
      <c r="C249" s="328"/>
      <c r="D249" s="395" t="s">
        <v>827</v>
      </c>
      <c r="E249" s="313" t="e">
        <f>E248-$D$248</f>
        <v>#REF!</v>
      </c>
      <c r="F249" s="313" t="e">
        <f>F248-$D$248</f>
        <v>#REF!</v>
      </c>
      <c r="G249" s="313" t="e">
        <f>G248-$D$248</f>
        <v>#REF!</v>
      </c>
      <c r="H249" s="313" t="e">
        <f>H248-$D$248</f>
        <v>#REF!</v>
      </c>
      <c r="I249" s="313" t="e">
        <f>I248-$D$248</f>
        <v>#REF!</v>
      </c>
      <c r="J249" s="401"/>
      <c r="K249" s="1137"/>
      <c r="L249" s="407" t="e">
        <f>L248-$K$248</f>
        <v>#REF!</v>
      </c>
      <c r="M249" s="407" t="e">
        <f>M248-$K$248</f>
        <v>#REF!</v>
      </c>
      <c r="N249" s="407" t="e">
        <f>N248-$K$248</f>
        <v>#REF!</v>
      </c>
      <c r="O249" s="407" t="e">
        <f>O248-$K$248</f>
        <v>#REF!</v>
      </c>
      <c r="P249" s="407" t="e">
        <f>P248-$K$248</f>
        <v>#REF!</v>
      </c>
    </row>
    <row r="250" spans="1:39" hidden="1" x14ac:dyDescent="0.25">
      <c r="A250" s="401"/>
      <c r="B250" s="401"/>
      <c r="C250" s="401"/>
      <c r="D250" s="401"/>
      <c r="E250" s="401"/>
      <c r="F250" s="401"/>
      <c r="G250" s="401"/>
      <c r="H250" s="401"/>
      <c r="I250" s="401"/>
      <c r="J250" s="401"/>
      <c r="K250" s="401"/>
      <c r="L250" s="401"/>
      <c r="M250" s="401"/>
      <c r="N250" s="401"/>
      <c r="O250" s="401"/>
      <c r="P250" s="401"/>
    </row>
    <row r="251" spans="1:39" x14ac:dyDescent="0.25">
      <c r="B251"/>
    </row>
    <row r="252" spans="1:39" x14ac:dyDescent="0.25">
      <c r="B252"/>
    </row>
    <row r="253" spans="1:39" x14ac:dyDescent="0.25">
      <c r="B253"/>
    </row>
    <row r="254" spans="1:39" x14ac:dyDescent="0.25">
      <c r="B254"/>
    </row>
    <row r="255" spans="1:39" x14ac:dyDescent="0.25">
      <c r="B255"/>
    </row>
  </sheetData>
  <sheetProtection algorithmName="SHA-512" hashValue="ovXgQlYR+AGhrPdua5Vj681337MOTrLQeoLHaX3/zUsPYEcIAloPBen5FO1y13J0xfn8H5MXOJ810vFC7FRWGw==" saltValue="NHblzayp60jGi9IBvoJwaw==" spinCount="100000" sheet="1" objects="1" scenarios="1"/>
  <protectedRanges>
    <protectedRange sqref="B241:B247" name="Range1_1"/>
    <protectedRange sqref="E15:J18" name="Range1_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6E243B0D-397A-4ED5-9487-4EB021B0F2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purl.org/dc/terms/"/>
    <ds:schemaRef ds:uri="http://schemas.microsoft.com/office/2006/documentManagement/types"/>
    <ds:schemaRef ds:uri="0eb656aa-4e79-4e95-9076-bc119a23e0cc"/>
    <ds:schemaRef ds:uri="http://schemas.microsoft.com/office/2006/metadata/properties"/>
    <ds:schemaRef ds:uri="http://purl.org/dc/elements/1.1/"/>
    <ds:schemaRef ds:uri="http://www.w3.org/XML/1998/namespace"/>
    <ds:schemaRef ds:uri="http://schemas.openxmlformats.org/package/2006/metadata/core-properties"/>
    <ds:schemaRef ds:uri="c1f338ac-e338-414f-952c-f74dcc6d59e1"/>
    <ds:schemaRef ds:uri="acaf4567-dc07-471f-892c-2bcb86ef35ae"/>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Inputs and eligible population</vt:lpstr>
      <vt:lpstr>Unit costs</vt:lpstr>
      <vt:lpstr>Summary</vt:lpstr>
      <vt:lpstr>Population selection</vt:lpstr>
      <vt:lpstr>Financial impact (cash)</vt:lpstr>
      <vt:lpstr>Capacity (local prices) </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 '!Print_Area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DG58 Tumour profiling tests to guide adjuvant chemotherapy decisions in early breast cancer: resource impact template 09/05/2024</dc:title>
  <dc:subject/>
  <dc:creator/>
  <cp:keywords/>
  <dc:description/>
  <cp:lastModifiedBy/>
  <cp:revision/>
  <dcterms:created xsi:type="dcterms:W3CDTF">2022-07-27T12:38:28Z</dcterms:created>
  <dcterms:modified xsi:type="dcterms:W3CDTF">2025-01-31T08:34:36Z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