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78E1D724-851D-43B9-B3DA-0C1FC2D92770}" xr6:coauthVersionLast="47" xr6:coauthVersionMax="47" xr10:uidLastSave="{00000000-0000-0000-0000-000000000000}"/>
  <bookViews>
    <workbookView xWindow="28680" yWindow="-120" windowWidth="29040" windowHeight="15720" tabRatio="676" xr2:uid="{00000000-000D-0000-FFFF-FFFF00000000}"/>
  </bookViews>
  <sheets>
    <sheet name="Cover" sheetId="38" r:id="rId1"/>
    <sheet name="User guide" sheetId="77" r:id="rId2"/>
    <sheet name="Input and decisions" sheetId="60" r:id="rId3"/>
    <sheet name="payscales" sheetId="57" r:id="rId4"/>
  </sheets>
  <externalReferences>
    <externalReference r:id="rId5"/>
    <externalReference r:id="rId6"/>
    <externalReference r:id="rId7"/>
    <externalReference r:id="rId8"/>
  </externalReferences>
  <definedNames>
    <definedName name="_xlnm._FilterDatabase" localSheetId="2" hidden="1">'Input and decisions'!$A$26:$B$41</definedName>
    <definedName name="Agent">#REF!</definedName>
    <definedName name="Band">payscales!$B$12:$B$47</definedName>
    <definedName name="_xlnm.Criteria">[1]Inputs!$C$53:$C$54</definedName>
    <definedName name="Dressings">'[1]EAG matched data clean'!$E$5:$E$294</definedName>
    <definedName name="Frequency">'[2]price selecting tool'!$A$27:$A$30</definedName>
    <definedName name="LOCALAUTHNORTHI">'[1]Population selection'!$B$521:$B$531</definedName>
    <definedName name="ORGTYPE">'[1]Population selection'!$L$5:$L$14</definedName>
    <definedName name="ORGTYPE2">'[3]Population selection'!$L$12:$L$19</definedName>
    <definedName name="ORGTYPE3">'[3]Population selection'!$L$12:$L$19</definedName>
    <definedName name="Payscales">payscales!$A$12:$M$47</definedName>
    <definedName name="_xlnm.Print_Area" localSheetId="0">Cover!$A$1:$F$26</definedName>
    <definedName name="_xlnm.Print_Area" localSheetId="2">'Input and decisions'!$A$1:$V$41</definedName>
    <definedName name="_xlnm.Print_Area" localSheetId="1">'User guide'!$A$1:$C$19</definedName>
    <definedName name="Products">#REF!</definedName>
    <definedName name="Siz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60" l="1"/>
  <c r="K40" i="60"/>
  <c r="K39" i="60"/>
  <c r="K38" i="60"/>
  <c r="K37" i="60"/>
  <c r="K36" i="60"/>
  <c r="K35" i="60"/>
  <c r="K34" i="60"/>
  <c r="K33" i="60"/>
  <c r="K32" i="60"/>
  <c r="K31" i="60"/>
  <c r="K30" i="60"/>
  <c r="K29" i="60"/>
  <c r="K28" i="60"/>
  <c r="K27" i="60"/>
  <c r="F41" i="60"/>
  <c r="F40" i="60"/>
  <c r="F39" i="60"/>
  <c r="F38" i="60"/>
  <c r="F37" i="60"/>
  <c r="F36" i="60"/>
  <c r="F35" i="60"/>
  <c r="F34" i="60"/>
  <c r="F33" i="60"/>
  <c r="F32" i="60"/>
  <c r="F31" i="60"/>
  <c r="F30" i="60"/>
  <c r="F29" i="60"/>
  <c r="F28" i="60"/>
  <c r="F27" i="60"/>
  <c r="C12" i="57" l="1"/>
  <c r="C13" i="57"/>
  <c r="C14" i="57"/>
  <c r="C15" i="57"/>
  <c r="C16" i="57"/>
  <c r="C17" i="57"/>
  <c r="C18" i="57"/>
  <c r="C19" i="57"/>
  <c r="C20" i="57"/>
  <c r="C21" i="57"/>
  <c r="C22" i="57"/>
  <c r="C23" i="57"/>
  <c r="C24" i="57"/>
  <c r="C25" i="57"/>
  <c r="C26" i="57"/>
  <c r="C27" i="57"/>
  <c r="C28" i="57"/>
  <c r="C29" i="57"/>
  <c r="C30" i="57"/>
  <c r="C31" i="57"/>
  <c r="C32" i="57"/>
  <c r="C33" i="57"/>
  <c r="C34" i="57"/>
  <c r="C35" i="57"/>
  <c r="C36" i="57"/>
  <c r="C37" i="57"/>
  <c r="C38" i="57"/>
  <c r="C39" i="57"/>
  <c r="C40" i="57"/>
  <c r="C41" i="57"/>
  <c r="O38" i="60" l="1"/>
  <c r="P38" i="60" s="1"/>
  <c r="S38" i="60" s="1"/>
  <c r="O39" i="60"/>
  <c r="P39" i="60" s="1"/>
  <c r="S39" i="60" s="1"/>
  <c r="O40" i="60"/>
  <c r="P40" i="60" s="1"/>
  <c r="S40" i="60" s="1"/>
  <c r="O41" i="60"/>
  <c r="P41" i="60" s="1"/>
  <c r="S41" i="60" s="1"/>
  <c r="O31" i="60"/>
  <c r="P31" i="60" s="1"/>
  <c r="S31" i="60" s="1"/>
  <c r="O32" i="60"/>
  <c r="P32" i="60" s="1"/>
  <c r="S32" i="60" s="1"/>
  <c r="O33" i="60"/>
  <c r="P33" i="60" s="1"/>
  <c r="S33" i="60" s="1"/>
  <c r="O34" i="60"/>
  <c r="P34" i="60" s="1"/>
  <c r="S34" i="60" s="1"/>
  <c r="O35" i="60"/>
  <c r="P35" i="60" s="1"/>
  <c r="S35" i="60" s="1"/>
  <c r="O36" i="60"/>
  <c r="P36" i="60" s="1"/>
  <c r="S36" i="60" s="1"/>
  <c r="O37" i="60"/>
  <c r="P37" i="60" s="1"/>
  <c r="S37" i="60" s="1"/>
  <c r="J44" i="57"/>
  <c r="L44" i="57" s="1"/>
  <c r="J43" i="57"/>
  <c r="L43" i="57" s="1"/>
  <c r="J42" i="57"/>
  <c r="L42" i="57" s="1"/>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0" i="57"/>
  <c r="L41" i="57"/>
  <c r="L45" i="57"/>
  <c r="L46" i="57"/>
  <c r="L47" i="57"/>
  <c r="L12" i="57"/>
  <c r="U41" i="60" l="1"/>
  <c r="U40" i="60"/>
  <c r="U39" i="60"/>
  <c r="U38" i="60"/>
  <c r="U37" i="60"/>
  <c r="U35" i="60" l="1"/>
  <c r="U36" i="60"/>
  <c r="U33" i="60" l="1"/>
  <c r="U34" i="60"/>
  <c r="U32" i="60"/>
  <c r="U31" i="60"/>
  <c r="E47" i="57" l="1"/>
  <c r="H47" i="57" s="1"/>
  <c r="D47" i="57"/>
  <c r="E46" i="57"/>
  <c r="E45" i="57"/>
  <c r="H45" i="57" s="1"/>
  <c r="D45" i="57"/>
  <c r="H44" i="57"/>
  <c r="E44" i="57"/>
  <c r="F44" i="57" s="1"/>
  <c r="D44" i="57"/>
  <c r="H43" i="57"/>
  <c r="H42" i="57"/>
  <c r="E42" i="57"/>
  <c r="D42" i="57"/>
  <c r="D41" i="57"/>
  <c r="E40" i="57"/>
  <c r="D39" i="57"/>
  <c r="E38" i="57"/>
  <c r="D37" i="57"/>
  <c r="Y37" i="57"/>
  <c r="E36" i="57"/>
  <c r="E35" i="57"/>
  <c r="E34" i="57"/>
  <c r="E33" i="57"/>
  <c r="E32" i="57"/>
  <c r="E31" i="57"/>
  <c r="E30" i="57"/>
  <c r="E29" i="57"/>
  <c r="Y29" i="57"/>
  <c r="D28" i="57"/>
  <c r="D27" i="57"/>
  <c r="E26" i="57"/>
  <c r="E25" i="57"/>
  <c r="D24" i="57"/>
  <c r="D23" i="57"/>
  <c r="E22" i="57"/>
  <c r="E21" i="57"/>
  <c r="D20" i="57"/>
  <c r="Y19" i="57"/>
  <c r="D19" i="57"/>
  <c r="E18" i="57"/>
  <c r="D17" i="57"/>
  <c r="E16" i="57"/>
  <c r="D15" i="57"/>
  <c r="E14" i="57"/>
  <c r="E13" i="57"/>
  <c r="E12" i="57"/>
  <c r="E19" i="57" l="1"/>
  <c r="G19" i="57" s="1"/>
  <c r="E15" i="57"/>
  <c r="F15" i="57" s="1"/>
  <c r="D46" i="57"/>
  <c r="D16" i="57"/>
  <c r="D12" i="57"/>
  <c r="E17" i="57"/>
  <c r="H17" i="57" s="1"/>
  <c r="D13" i="57"/>
  <c r="D34" i="57"/>
  <c r="D18" i="57"/>
  <c r="G45" i="57"/>
  <c r="D14" i="57"/>
  <c r="D35" i="57"/>
  <c r="G44" i="57"/>
  <c r="I44" i="57" s="1"/>
  <c r="D33" i="57"/>
  <c r="D36" i="57"/>
  <c r="D43" i="57"/>
  <c r="E43" i="57"/>
  <c r="H25" i="57"/>
  <c r="F25" i="57"/>
  <c r="G25" i="57"/>
  <c r="I25" i="57" s="1"/>
  <c r="M25" i="57" s="1"/>
  <c r="P25" i="57" s="1"/>
  <c r="H34" i="57"/>
  <c r="G34" i="57"/>
  <c r="F34" i="57"/>
  <c r="H38" i="57"/>
  <c r="F38" i="57"/>
  <c r="G38" i="57"/>
  <c r="G32" i="57"/>
  <c r="F32" i="57"/>
  <c r="H32" i="57"/>
  <c r="I32" i="57" s="1"/>
  <c r="M32" i="57" s="1"/>
  <c r="P32" i="57" s="1"/>
  <c r="H21" i="57"/>
  <c r="F21" i="57"/>
  <c r="G21" i="57"/>
  <c r="H22" i="57"/>
  <c r="G22" i="57"/>
  <c r="F22" i="57"/>
  <c r="I22" i="57" s="1"/>
  <c r="M22" i="57" s="1"/>
  <c r="P22" i="57" s="1"/>
  <c r="G29" i="57"/>
  <c r="F29" i="57"/>
  <c r="H29" i="57"/>
  <c r="H35" i="57"/>
  <c r="G35" i="57"/>
  <c r="F35" i="57"/>
  <c r="H40" i="57"/>
  <c r="F40" i="57"/>
  <c r="G40" i="57"/>
  <c r="I40" i="57" s="1"/>
  <c r="M40" i="57" s="1"/>
  <c r="P40" i="57" s="1"/>
  <c r="H30" i="57"/>
  <c r="G30" i="57"/>
  <c r="F30" i="57"/>
  <c r="H46" i="57"/>
  <c r="G46" i="57"/>
  <c r="F46" i="57"/>
  <c r="H12" i="57"/>
  <c r="G12" i="57"/>
  <c r="F12" i="57"/>
  <c r="I12" i="57" s="1"/>
  <c r="M12" i="57" s="1"/>
  <c r="P12" i="57" s="1"/>
  <c r="G13" i="57"/>
  <c r="F13" i="57"/>
  <c r="H13" i="57"/>
  <c r="G31" i="57"/>
  <c r="F31" i="57"/>
  <c r="H31" i="57"/>
  <c r="H36" i="57"/>
  <c r="G36" i="57"/>
  <c r="F36" i="57"/>
  <c r="H14" i="57"/>
  <c r="G14" i="57"/>
  <c r="F14" i="57"/>
  <c r="H26" i="57"/>
  <c r="G26" i="57"/>
  <c r="F26" i="57"/>
  <c r="H33" i="57"/>
  <c r="G33" i="57"/>
  <c r="F33" i="57"/>
  <c r="D22" i="57"/>
  <c r="D25" i="57"/>
  <c r="D26" i="57"/>
  <c r="D21" i="57"/>
  <c r="E20" i="57"/>
  <c r="E23" i="57"/>
  <c r="E24" i="57"/>
  <c r="E28" i="57"/>
  <c r="D29" i="57"/>
  <c r="D30" i="57"/>
  <c r="D31" i="57"/>
  <c r="D32" i="57"/>
  <c r="F16" i="57"/>
  <c r="F19" i="57"/>
  <c r="E27" i="57"/>
  <c r="G16" i="57"/>
  <c r="G18" i="57"/>
  <c r="D38" i="57"/>
  <c r="D40" i="57"/>
  <c r="H15" i="57"/>
  <c r="H16" i="57"/>
  <c r="H18" i="57"/>
  <c r="E37" i="57"/>
  <c r="E39" i="57"/>
  <c r="E41" i="57"/>
  <c r="F42" i="57"/>
  <c r="F47" i="57"/>
  <c r="F18" i="57"/>
  <c r="G42" i="57"/>
  <c r="F45" i="57"/>
  <c r="G47" i="57"/>
  <c r="G15" i="57" l="1"/>
  <c r="M44" i="57"/>
  <c r="P44" i="57" s="1"/>
  <c r="H19" i="57"/>
  <c r="I19" i="57" s="1"/>
  <c r="M19" i="57" s="1"/>
  <c r="P19" i="57" s="1"/>
  <c r="F17" i="57"/>
  <c r="I42" i="57"/>
  <c r="I29" i="57"/>
  <c r="M29" i="57" s="1"/>
  <c r="P29" i="57" s="1"/>
  <c r="I35" i="57"/>
  <c r="M35" i="57" s="1"/>
  <c r="P35" i="57" s="1"/>
  <c r="I14" i="57"/>
  <c r="M14" i="57" s="1"/>
  <c r="P14" i="57" s="1"/>
  <c r="I47" i="57"/>
  <c r="M47" i="57" s="1"/>
  <c r="P47" i="57" s="1"/>
  <c r="I36" i="57"/>
  <c r="M36" i="57" s="1"/>
  <c r="P36" i="57" s="1"/>
  <c r="I31" i="57"/>
  <c r="M31" i="57" s="1"/>
  <c r="P31" i="57" s="1"/>
  <c r="I46" i="57"/>
  <c r="M46" i="57" s="1"/>
  <c r="P46" i="57" s="1"/>
  <c r="I18" i="57"/>
  <c r="M18" i="57" s="1"/>
  <c r="P18" i="57" s="1"/>
  <c r="I13" i="57"/>
  <c r="M13" i="57" s="1"/>
  <c r="P13" i="57" s="1"/>
  <c r="G17" i="57"/>
  <c r="I30" i="57"/>
  <c r="M30" i="57" s="1"/>
  <c r="P30" i="57" s="1"/>
  <c r="I38" i="57"/>
  <c r="M38" i="57" s="1"/>
  <c r="P38" i="57" s="1"/>
  <c r="I26" i="57"/>
  <c r="M26" i="57" s="1"/>
  <c r="I34" i="57"/>
  <c r="M34" i="57" s="1"/>
  <c r="P34" i="57" s="1"/>
  <c r="F43" i="57"/>
  <c r="G43" i="57"/>
  <c r="I15" i="57"/>
  <c r="M15" i="57" s="1"/>
  <c r="P15" i="57" s="1"/>
  <c r="I45" i="57"/>
  <c r="M45" i="57" s="1"/>
  <c r="P45" i="57" s="1"/>
  <c r="I16" i="57"/>
  <c r="M16" i="57" s="1"/>
  <c r="P16" i="57" s="1"/>
  <c r="I21" i="57"/>
  <c r="M21" i="57" s="1"/>
  <c r="P21" i="57" s="1"/>
  <c r="I33" i="57"/>
  <c r="M33" i="57" s="1"/>
  <c r="P33" i="57" s="1"/>
  <c r="H27" i="57"/>
  <c r="F27" i="57"/>
  <c r="G27" i="57"/>
  <c r="H23" i="57"/>
  <c r="F23" i="57"/>
  <c r="G23" i="57"/>
  <c r="H20" i="57"/>
  <c r="G20" i="57"/>
  <c r="F20" i="57"/>
  <c r="I20" i="57" s="1"/>
  <c r="M20" i="57" s="1"/>
  <c r="P20" i="57" s="1"/>
  <c r="H41" i="57"/>
  <c r="F41" i="57"/>
  <c r="G41" i="57"/>
  <c r="H24" i="57"/>
  <c r="G24" i="57"/>
  <c r="F24" i="57"/>
  <c r="I24" i="57" s="1"/>
  <c r="M24" i="57" s="1"/>
  <c r="P24" i="57" s="1"/>
  <c r="H39" i="57"/>
  <c r="G39" i="57"/>
  <c r="F39" i="57"/>
  <c r="I39" i="57" s="1"/>
  <c r="M39" i="57" s="1"/>
  <c r="P39" i="57" s="1"/>
  <c r="H37" i="57"/>
  <c r="F37" i="57"/>
  <c r="G37" i="57"/>
  <c r="H28" i="57"/>
  <c r="G28" i="57"/>
  <c r="F28" i="57"/>
  <c r="P26" i="57" l="1"/>
  <c r="O30" i="60"/>
  <c r="P30" i="60" s="1"/>
  <c r="S30" i="60" s="1"/>
  <c r="U30" i="60" s="1"/>
  <c r="M42" i="57"/>
  <c r="P42" i="57" s="1"/>
  <c r="I17" i="57"/>
  <c r="M17" i="57" s="1"/>
  <c r="P17" i="57" s="1"/>
  <c r="O27" i="60"/>
  <c r="P27" i="60" s="1"/>
  <c r="O29" i="60"/>
  <c r="P29" i="60" s="1"/>
  <c r="O28" i="60"/>
  <c r="P28" i="60" s="1"/>
  <c r="S28" i="60" s="1"/>
  <c r="U28" i="60" s="1"/>
  <c r="I37" i="57"/>
  <c r="M37" i="57" s="1"/>
  <c r="P37" i="57" s="1"/>
  <c r="I41" i="57"/>
  <c r="M41" i="57" s="1"/>
  <c r="P41" i="57" s="1"/>
  <c r="I43" i="57"/>
  <c r="I23" i="57"/>
  <c r="M23" i="57" s="1"/>
  <c r="P23" i="57" s="1"/>
  <c r="I28" i="57"/>
  <c r="M28" i="57" s="1"/>
  <c r="P28" i="57" s="1"/>
  <c r="I27" i="57"/>
  <c r="M27" i="57" s="1"/>
  <c r="P27" i="57" s="1"/>
  <c r="M43" i="57" l="1"/>
  <c r="P43" i="57" s="1"/>
  <c r="S29" i="60"/>
  <c r="U29" i="60" s="1"/>
  <c r="S27" i="60"/>
  <c r="U27" i="60" s="1"/>
  <c r="V29" i="60" l="1"/>
  <c r="V27" i="60"/>
  <c r="V38" i="60"/>
  <c r="V40" i="60"/>
  <c r="V39" i="60"/>
  <c r="V37" i="60"/>
  <c r="V41" i="60"/>
  <c r="V36" i="60"/>
  <c r="V35" i="60"/>
  <c r="V30" i="60"/>
  <c r="V31" i="60"/>
  <c r="V32" i="60"/>
  <c r="V34" i="60"/>
  <c r="V33" i="60"/>
  <c r="V28" i="60"/>
  <c r="D22" i="60" l="1"/>
  <c r="D21" i="60"/>
  <c r="D20" i="60"/>
  <c r="D19" i="60"/>
  <c r="D18" i="60"/>
  <c r="D17" i="60"/>
  <c r="D16" i="60"/>
  <c r="D15" i="60"/>
  <c r="D14" i="60"/>
  <c r="B14" i="60" s="1"/>
  <c r="D13" i="60"/>
  <c r="B13" i="60" s="1"/>
  <c r="D12" i="60"/>
  <c r="B12" i="60" s="1"/>
  <c r="D11" i="60"/>
  <c r="B11" i="60" s="1"/>
  <c r="D10" i="60"/>
  <c r="B10" i="60" s="1"/>
  <c r="D9" i="60"/>
  <c r="B9" i="60" s="1"/>
  <c r="D8" i="60"/>
  <c r="B21" i="60" l="1"/>
  <c r="C21" i="60"/>
  <c r="B19" i="60"/>
  <c r="C19" i="60"/>
  <c r="B20" i="60"/>
  <c r="C20" i="60"/>
  <c r="B22" i="60"/>
  <c r="C22" i="60"/>
  <c r="C16" i="60"/>
  <c r="B16" i="60"/>
  <c r="B17" i="60"/>
  <c r="C17" i="60"/>
  <c r="B18" i="60"/>
  <c r="C18" i="60"/>
  <c r="B15" i="60"/>
  <c r="C15" i="60"/>
  <c r="C13" i="60"/>
  <c r="C14" i="60"/>
  <c r="C8" i="60"/>
  <c r="B8" i="60"/>
  <c r="C11" i="60"/>
  <c r="C9" i="60"/>
  <c r="C10" i="60"/>
  <c r="C1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26" authorId="0" shapeId="0" xr:uid="{788A989C-E3D9-4938-9137-3F1CFA632F1B}">
      <text>
        <r>
          <rPr>
            <b/>
            <sz val="12"/>
            <color indexed="81"/>
            <rFont val="Tahoma"/>
            <family val="2"/>
          </rPr>
          <t>User note:</t>
        </r>
        <r>
          <rPr>
            <sz val="12"/>
            <color indexed="81"/>
            <rFont val="Tahoma"/>
            <family val="2"/>
          </rPr>
          <t xml:space="preserve">
Use dropdown menu in the blue cells to select the relevant staff grade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9F5F1C8-0718-4FE6-9816-55E1FFAAACDA}">
      <text>
        <r>
          <rPr>
            <b/>
            <sz val="9"/>
            <color indexed="81"/>
            <rFont val="Tahoma"/>
            <family val="2"/>
          </rPr>
          <t>Author:</t>
        </r>
        <r>
          <rPr>
            <sz val="9"/>
            <color indexed="81"/>
            <rFont val="Tahoma"/>
            <family val="2"/>
          </rPr>
          <t xml:space="preserve">
0,1 and 2 years completed as a consultant
</t>
        </r>
      </text>
    </comment>
    <comment ref="B46" authorId="0" shapeId="0" xr:uid="{B661013D-13C6-4417-BCF9-67D43C5F77B3}">
      <text>
        <r>
          <rPr>
            <b/>
            <sz val="9"/>
            <color indexed="81"/>
            <rFont val="Tahoma"/>
            <family val="2"/>
          </rPr>
          <t>Author:</t>
        </r>
        <r>
          <rPr>
            <sz val="9"/>
            <color indexed="81"/>
            <rFont val="Tahoma"/>
            <family val="2"/>
          </rPr>
          <t xml:space="preserve">
4 to 13 years completed as a consultant (average pay)
</t>
        </r>
      </text>
    </comment>
    <comment ref="B47" authorId="0" shapeId="0" xr:uid="{73693D08-8210-4911-AEBE-97A33116DA4D}">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<sst xmlns="http://schemas.openxmlformats.org/spreadsheetml/2006/main" count="170" uniqueCount="151">
  <si>
    <t>Putting NICE guidance into practice</t>
  </si>
  <si>
    <t>Specialty area</t>
  </si>
  <si>
    <t>Disease area</t>
  </si>
  <si>
    <t>Pathway position</t>
  </si>
  <si>
    <t>Provider</t>
  </si>
  <si>
    <t>Commissioner</t>
  </si>
  <si>
    <t>Programme budget category</t>
  </si>
  <si>
    <t>Inputs</t>
  </si>
  <si>
    <t>Consultant mid</t>
  </si>
  <si>
    <t>Band 7 Mid</t>
  </si>
  <si>
    <t>Band 8a Bottom</t>
  </si>
  <si>
    <t>Band 6 Mid</t>
  </si>
  <si>
    <t>Band 8a Mid</t>
  </si>
  <si>
    <t>Hourly rate</t>
  </si>
  <si>
    <t>Payscales</t>
  </si>
  <si>
    <t>Payscale required</t>
  </si>
  <si>
    <t xml:space="preserve">Non HCAS </t>
  </si>
  <si>
    <t>Employer NI threshold</t>
  </si>
  <si>
    <t>Employer NI contribution</t>
  </si>
  <si>
    <t>Employer Pension contribution</t>
  </si>
  <si>
    <t>Apprenticeship levy</t>
  </si>
  <si>
    <t>Pay award not included in pay scales</t>
  </si>
  <si>
    <t>Band</t>
  </si>
  <si>
    <t>Pay scale</t>
  </si>
  <si>
    <t>Pay award not included in current pay scales</t>
  </si>
  <si>
    <t>Adjusted pay</t>
  </si>
  <si>
    <t xml:space="preserve">Employers NI </t>
  </si>
  <si>
    <t xml:space="preserve">Apprenticeship levy </t>
  </si>
  <si>
    <t>Employer Pension</t>
  </si>
  <si>
    <t>Total salary cost incl. oncosts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</si>
  <si>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</si>
  <si>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</si>
  <si>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</si>
  <si>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</si>
  <si>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</si>
  <si>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</si>
  <si>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</si>
  <si>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</si>
  <si>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</si>
  <si>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</si>
  <si>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</si>
  <si>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</si>
  <si>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</si>
  <si>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</si>
  <si>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</si>
  <si>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</si>
  <si>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</si>
  <si>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</si>
  <si>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</si>
  <si>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</si>
  <si>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</si>
  <si>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</si>
  <si>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</si>
  <si>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</si>
  <si>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</si>
  <si>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</si>
  <si>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</si>
  <si>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</si>
  <si>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</si>
  <si>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</si>
  <si>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</si>
  <si>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</si>
  <si>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</si>
  <si>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</si>
  <si>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</si>
  <si>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</si>
  <si>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</si>
  <si>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</si>
  <si>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</si>
  <si>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</si>
  <si>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</si>
  <si>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</si>
  <si>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</si>
  <si>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</si>
  <si>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</si>
  <si>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</si>
  <si>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</si>
  <si>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</si>
  <si>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</si>
  <si>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</si>
  <si>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</si>
  <si>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</si>
  <si>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</si>
  <si>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</si>
  <si>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</si>
  <si>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</si>
  <si>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</si>
  <si>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</si>
  <si>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</si>
  <si>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Rate per hour</t>
  </si>
  <si>
    <t>Multiple specialities</t>
  </si>
  <si>
    <t>Leg ulcers</t>
  </si>
  <si>
    <t>Management</t>
  </si>
  <si>
    <t>Integrated care boards</t>
  </si>
  <si>
    <t>PBC14X: Problems of the Skin</t>
  </si>
  <si>
    <t>Number of visits to change AMDs 
per person 
per week</t>
  </si>
  <si>
    <t>Unit cost of one AMD</t>
  </si>
  <si>
    <t>Introduction</t>
  </si>
  <si>
    <t>Commissioning and procurement</t>
  </si>
  <si>
    <t>What it means in practice</t>
  </si>
  <si>
    <t>Guidance implementation: Cost calculator</t>
  </si>
  <si>
    <t>Section 1: Cost of AMD products</t>
  </si>
  <si>
    <t>User guide</t>
  </si>
  <si>
    <t>Staff time to change dressing (including travel time) 
(mins)</t>
  </si>
  <si>
    <t>Cost calculator:</t>
  </si>
  <si>
    <t>Section 2: Other costs and additional products needed for each AMD option</t>
  </si>
  <si>
    <t>Staff grade (use drop down menu to select grade)</t>
  </si>
  <si>
    <t>Cost ranking</t>
  </si>
  <si>
    <t>Equivalent cost per visit</t>
  </si>
  <si>
    <t>Number of weeks</t>
  </si>
  <si>
    <t>Total staff cost per person</t>
  </si>
  <si>
    <t>Total treatment cost 
per person</t>
  </si>
  <si>
    <t>ulcers: late-stage assessment</t>
  </si>
  <si>
    <t>Topical antimicrobial dressings for locally infected leg</t>
  </si>
  <si>
    <t>% of hours directly clinical (e.g. exclude admin time)</t>
  </si>
  <si>
    <t>Hours to calculate rate</t>
  </si>
  <si>
    <t>AfC Salary with 2025/26 pay award</t>
  </si>
  <si>
    <t>GP Top</t>
  </si>
  <si>
    <t>Payscales
(optional)</t>
  </si>
  <si>
    <t>Overview of worksheets and how to input data</t>
  </si>
  <si>
    <t>HTE27</t>
  </si>
  <si>
    <t>Input and decisions tab 
Section 2: Other costs
(inputs required)</t>
  </si>
  <si>
    <t>Input and decisions tab 
Section 3: Staff costs
(inputs required)</t>
  </si>
  <si>
    <t>When deciding on the least expensive option healthcare professionals are to consider the cost of the primary dressing, the need for and cost of additional products, the frequency of dressing changes needed, and if a person can change their own dressing or if a visit by a healthcare professional is needed.</t>
  </si>
  <si>
    <t>Input and decisions tab
Section 1: Cost of AMD products
(inputs required)</t>
  </si>
  <si>
    <t>Number of AMDs needed 
per person 
per week</t>
  </si>
  <si>
    <t xml:space="preserve">Total cost of AMDs 
per person </t>
  </si>
  <si>
    <t>Unit cost of item</t>
  </si>
  <si>
    <t>Quantity needed per week</t>
  </si>
  <si>
    <t>Total of costs of additional products</t>
  </si>
  <si>
    <t>In the large table below, using the blue cells, enter a row of data for each of the clinically appropriate AMDs that meets the needs and preferences of the person. Follow the steps detailed in the user guide to complete the other sections.</t>
  </si>
  <si>
    <t>Cost calculator - input and decisions</t>
  </si>
  <si>
    <t>AMD options</t>
  </si>
  <si>
    <t>Section 3: Staff costs and capacity</t>
  </si>
  <si>
    <t>Section 3 takes account of the staffing costs to change dressings.  Input:                                                                                                                                                                       
• staff time to change dressing (including travel time)
• staff grade (selected using drop down menu). The hourly rate of pay is displayed automatically following selection of the pay band
• number of visits per week to change the dressing                                                                                                                                                                                                                                                                                     • the total number of weeks needed for treatment
On completion of this section the total staff cost needed for each AMD option will be automatically calculated.</t>
  </si>
  <si>
    <t>Summary of costs and cost ranking</t>
  </si>
  <si>
    <t>Input and decisions tab Summary of costs and cost ranking(for information)</t>
  </si>
  <si>
    <t>Select if a High Cost Allowance (HCAS) is used in your locality.  Options are non HCAS, HCAS inner, HCAS outer, HCAS fringe</t>
  </si>
  <si>
    <t>Annual working hours contracted</t>
  </si>
  <si>
    <t>Total overall cost of usage</t>
  </si>
  <si>
    <t>Total overall cost ranking</t>
  </si>
  <si>
    <t>The guidance states that if an antimicrobial dressing is needed to treat a locally infected leg ulcer, use a clinically appropriate AMD that meets the needs and preferences of the person with the leg ulcer, and if more than 1 is appropriate, choose the least expensive option.  The choice should include all elements involved in the usage of the dressings.</t>
  </si>
  <si>
    <r>
      <t>NICE has developed a cost calculator to help users</t>
    </r>
    <r>
      <rPr>
        <sz val="11"/>
        <color rgb="FFFF0000"/>
        <rFont val="Calibri"/>
        <family val="2"/>
        <scheme val="minor"/>
      </rPr>
      <t xml:space="preserve"> </t>
    </r>
    <r>
      <rPr>
        <sz val="11"/>
        <color theme="1"/>
        <rFont val="Calibri"/>
        <family val="2"/>
        <scheme val="minor"/>
      </rPr>
      <t>estimate the total overall usage costs of the clinically appropriate AMD options using local data and therefore to establish and to select the least total overall usage cost AMD option.
The calculator is a simple spreadsheet that can be used to calculate the total treatment cost with different topical AMDs. The total cost is split into three sections: cost of AMD products, other costs and additional products, and staff costs to change the dressing. The sections below show how users should complete the cost calculator to estimate the treatment costs.</t>
    </r>
  </si>
  <si>
    <t>To use section 1, firstly decide on the AMD options that are clinically appropriate following discussions with the patient, then input:                                                                                                                                                          
• the unit cost for each option using local purchasing cost information
• the number of AMDs needed per week for each option
• the number of weeks the AMD is needed for.                                                                                                                                                                        
On completion of this section the total cost per person of each option will be automatically calculated.</t>
  </si>
  <si>
    <t>Section 2 takes account of other costs and additional products for wound management such as secondary dressings to hold the dressing in place. Input:                                                                                                                                                                                                                  • the unit cost of the other item or products needed, e.g. secondary dressing
• the quantity needed per week for each option                                                                                                                                                                             
• the total number of weeks needed for treatment                                                                                                                                                               
On completion of this section the total cost per person of the additional products needed for each AMD option will be automatically calculated.</t>
  </si>
  <si>
    <t>Having completed the sections explained above, the total treatment cost for all the clinically appropriate AMD options will be summarised in a table. 
The option with a ranking of 1 will be the least expensive option taking into account considerations specified by the guidance recommendation 1.4.</t>
  </si>
  <si>
    <t xml:space="preserve">
NHS trusts should provide access to a range of different types of antimicrobial dressings, so that a product that is clinically appropriate and meets people's needs is available for everyone with locally infected leg ulcers. </t>
  </si>
  <si>
    <t xml:space="preserve">In this worksheet, users can amend the way payscales are calculated in the blue highlighted cells by amending data items such as whether a high cost allowance is paid locally and hours of contact with patient. </t>
  </si>
  <si>
    <t>Published: July 2025</t>
  </si>
  <si>
    <t>In the small table below, up to 15 options will be displayed.  The treatment option with a cost ranking of 1 is the least total overall cost of usage option. A ranking of 15 indicates the most expensive amongst the15 treatment options displayed.</t>
  </si>
  <si>
    <t>Primary care and Community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</si>
</sst>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00_);_(* \(#,##0.00\);_(* &quot;-&quot;??_);_(@_)"/>
    <numFmt numFmtId="167" formatCode="_(* #,##0_);_(* \(#,##0\);_(* &quot;-&quot;??_);_(@_)"/>
  </numFmts>
  <fonts count="52" x14ac:knownFonts="1">
    <font>
      <sz val="11"/>
      <color theme="1"/>
      <name val="Calibri"/>
      <family val="2"/>
      <scheme val="minor"/>
    </font>
    <font>
      <sz val="11"/>
      <color indexed="8"/>
      <name val="Calibri"/>
      <family val="2"/>
    </font>
    <font>
      <sz val="10"/>
      <name val="Arial"/>
      <family val="2"/>
    </font>
    <font>
      <u/>
      <sz val="10"/>
      <color indexed="12"/>
      <name val="Arial"/>
      <family val="2"/>
    </font>
    <font>
      <sz val="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b/>
      <sz val="11"/>
      <color theme="1"/>
      <name val="Calibri"/>
      <family val="2"/>
      <scheme val="minor"/>
    </font>
    <font>
      <sz val="11"/>
      <name val="Calibri"/>
      <family val="2"/>
      <scheme val="minor"/>
    </font>
    <font>
      <b/>
      <sz val="11"/>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b/>
      <sz val="24"/>
      <color rgb="FF000000"/>
      <name val="Calibri"/>
      <family val="2"/>
      <scheme val="minor"/>
    </font>
    <font>
      <b/>
      <sz val="11"/>
      <color theme="1"/>
      <name val="Aptos Narrow"/>
      <family val="2"/>
    </font>
    <font>
      <b/>
      <sz val="11"/>
      <name val="Aptos Narrow"/>
      <family val="2"/>
    </font>
    <font>
      <sz val="10"/>
      <color rgb="FF000000"/>
      <name val="Arial"/>
      <family val="2"/>
    </font>
    <font>
      <b/>
      <sz val="12"/>
      <color theme="0"/>
      <name val="Calibri"/>
      <family val="2"/>
      <scheme val="minor"/>
    </font>
    <font>
      <b/>
      <sz val="12"/>
      <color theme="1"/>
      <name val="Calibri"/>
      <family val="2"/>
      <scheme val="minor"/>
    </font>
    <font>
      <b/>
      <sz val="10"/>
      <color theme="1" tint="0.14996795556505021"/>
      <name val="Arial"/>
      <family val="2"/>
    </font>
    <font>
      <b/>
      <sz val="12"/>
      <color indexed="81"/>
      <name val="Tahoma"/>
      <family val="2"/>
    </font>
    <font>
      <sz val="12"/>
      <color indexed="81"/>
      <name val="Tahoma"/>
      <family val="2"/>
    </font>
    <font>
      <b/>
      <sz val="20"/>
      <name val="Calibri"/>
      <family val="2"/>
      <scheme val="minor"/>
    </font>
    <font>
      <b/>
      <sz val="12"/>
      <name val="Calibri"/>
      <family val="2"/>
      <scheme val="minor"/>
    </font>
    <font>
      <b/>
      <sz val="9"/>
      <color indexed="81"/>
      <name val="Tahoma"/>
      <family val="2"/>
    </font>
    <font>
      <sz val="9"/>
      <color indexed="81"/>
      <name val="Tahoma"/>
      <family val="2"/>
    </font>
    <font>
      <sz val="11"/>
      <color rgb="FFFF0000"/>
      <name val="Calibri"/>
      <family val="2"/>
      <scheme val="minor"/>
    </font>
    <font>
      <sz val="14"/>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4.9989318521683403E-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rgb="FF000000"/>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0" borderId="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6" fontId="2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2" fillId="0" borderId="0"/>
    <xf numFmtId="0" fontId="2" fillId="0" borderId="0"/>
    <xf numFmtId="0" fontId="2" fillId="0" borderId="0"/>
    <xf numFmtId="0" fontId="2" fillId="0" borderId="0"/>
    <xf numFmtId="0" fontId="22" fillId="0" borderId="0"/>
    <xf numFmtId="0" fontId="1" fillId="23" borderId="7" applyNumberFormat="0" applyFont="0" applyAlignment="0" applyProtection="0"/>
    <xf numFmtId="0" fontId="1"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6" fillId="0" borderId="0" applyNumberFormat="0" applyFill="0" applyBorder="0" applyAlignment="0" applyProtection="0"/>
    <xf numFmtId="0" fontId="24" fillId="0" borderId="0" applyNumberFormat="0" applyFill="0" applyBorder="0" applyAlignment="0" applyProtection="0">
      <alignment vertical="top"/>
      <protection locked="0"/>
    </xf>
    <xf numFmtId="0" fontId="4" fillId="0" borderId="0"/>
    <xf numFmtId="0" fontId="25" fillId="0" borderId="0"/>
    <xf numFmtId="0" fontId="27" fillId="0" borderId="0"/>
    <xf numFmtId="0" fontId="14" fillId="0" borderId="25" applyNumberFormat="0" applyFill="0" applyAlignment="0" applyProtection="0"/>
    <xf numFmtId="0" fontId="14" fillId="0" borderId="25" applyNumberFormat="0" applyFill="0" applyAlignment="0" applyProtection="0"/>
    <xf numFmtId="0" fontId="23" fillId="0" borderId="0"/>
    <xf numFmtId="0" fontId="2" fillId="0" borderId="0"/>
    <xf numFmtId="0" fontId="40" fillId="0" borderId="0"/>
    <xf numFmtId="3" fontId="2" fillId="32" borderId="0" applyBorder="0">
      <alignment horizontal="center" vertical="center"/>
    </xf>
    <xf numFmtId="164" fontId="2" fillId="32" borderId="0" applyBorder="0">
      <alignment horizontal="center" vertical="center"/>
    </xf>
    <xf numFmtId="0" fontId="43" fillId="33" borderId="0" applyBorder="0">
      <alignment horizontal="center" vertical="center"/>
    </xf>
  </cellStyleXfs>
  <cellXfs count="178">
    <xf numFmtId="0" fontId="0" fillId="0" borderId="0" xfId="0"/>
    <xf numFmtId="0" fontId="29" fillId="0" borderId="0" xfId="0" applyFont="1" applyAlignment="1">
      <alignment vertical="center"/>
    </xf>
    <xf numFmtId="0" fontId="0" fillId="0" borderId="11" xfId="0" applyBorder="1"/>
    <xf numFmtId="0" fontId="29" fillId="26" borderId="19" xfId="0" applyFont="1" applyFill="1" applyBorder="1" applyAlignment="1">
      <alignment horizontal="center" vertical="center"/>
    </xf>
    <xf numFmtId="0" fontId="29" fillId="26" borderId="19" xfId="0" applyFont="1" applyFill="1" applyBorder="1" applyAlignment="1">
      <alignment horizontal="left" vertical="center"/>
    </xf>
    <xf numFmtId="0" fontId="0" fillId="0" borderId="20" xfId="0" applyBorder="1"/>
    <xf numFmtId="0" fontId="0" fillId="0" borderId="17"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26" borderId="0" xfId="0" applyFill="1"/>
    <xf numFmtId="0" fontId="0" fillId="0" borderId="13" xfId="0" applyBorder="1"/>
    <xf numFmtId="0" fontId="28" fillId="26" borderId="0" xfId="0" applyFont="1" applyFill="1"/>
    <xf numFmtId="0" fontId="33" fillId="26" borderId="0" xfId="0" applyFont="1" applyFill="1"/>
    <xf numFmtId="0" fontId="34" fillId="0" borderId="0" xfId="0" applyFont="1"/>
    <xf numFmtId="0" fontId="36" fillId="0" borderId="0" xfId="0" applyFont="1"/>
    <xf numFmtId="3" fontId="0" fillId="0" borderId="0" xfId="0" applyNumberFormat="1"/>
    <xf numFmtId="0" fontId="0" fillId="0" borderId="30" xfId="0" applyBorder="1"/>
    <xf numFmtId="0" fontId="37" fillId="0" borderId="0" xfId="0" applyFont="1" applyAlignment="1">
      <alignment vertical="center"/>
    </xf>
    <xf numFmtId="3" fontId="30" fillId="0" borderId="0" xfId="0" applyNumberFormat="1" applyFont="1"/>
    <xf numFmtId="3" fontId="0" fillId="0" borderId="0" xfId="0" applyNumberFormat="1" applyAlignment="1">
      <alignment horizontal="right"/>
    </xf>
    <xf numFmtId="9" fontId="0" fillId="0" borderId="11" xfId="0" applyNumberFormat="1" applyBorder="1"/>
    <xf numFmtId="9" fontId="23" fillId="0" borderId="11" xfId="89" applyFont="1" applyFill="1" applyBorder="1" applyAlignment="1" applyProtection="1">
      <alignment horizontal="right" vertical="center"/>
      <protection locked="0"/>
    </xf>
    <xf numFmtId="167" fontId="31" fillId="0" borderId="11" xfId="56" applyNumberFormat="1" applyFont="1" applyFill="1" applyBorder="1" applyProtection="1"/>
    <xf numFmtId="0" fontId="0" fillId="0" borderId="28" xfId="0" applyBorder="1"/>
    <xf numFmtId="0" fontId="0" fillId="0" borderId="23" xfId="0" applyBorder="1" applyAlignment="1">
      <alignment horizontal="center"/>
    </xf>
    <xf numFmtId="0" fontId="0" fillId="0" borderId="27" xfId="0" applyBorder="1" applyAlignment="1">
      <alignment horizontal="center"/>
    </xf>
    <xf numFmtId="167" fontId="32" fillId="0" borderId="14" xfId="80" applyNumberFormat="1" applyFont="1" applyBorder="1"/>
    <xf numFmtId="167" fontId="31" fillId="0" borderId="14" xfId="80" applyNumberFormat="1" applyFont="1" applyBorder="1"/>
    <xf numFmtId="0" fontId="35" fillId="0" borderId="0" xfId="0" applyFont="1"/>
    <xf numFmtId="9" fontId="0" fillId="0" borderId="31" xfId="0" applyNumberFormat="1" applyBorder="1"/>
    <xf numFmtId="9" fontId="23" fillId="0" borderId="31" xfId="89" applyFont="1" applyFill="1" applyBorder="1" applyAlignment="1" applyProtection="1">
      <alignment horizontal="right" vertical="center"/>
      <protection locked="0"/>
    </xf>
    <xf numFmtId="9" fontId="23" fillId="0" borderId="28" xfId="89" applyFont="1" applyFill="1" applyBorder="1" applyAlignment="1" applyProtection="1">
      <alignment horizontal="right" vertical="center"/>
      <protection locked="0"/>
    </xf>
    <xf numFmtId="9" fontId="23" fillId="0" borderId="26" xfId="89" applyFont="1" applyFill="1" applyBorder="1" applyAlignment="1" applyProtection="1">
      <alignment horizontal="right" vertical="center"/>
      <protection locked="0"/>
    </xf>
    <xf numFmtId="0" fontId="29" fillId="26" borderId="0" xfId="0" applyFont="1" applyFill="1" applyAlignment="1">
      <alignment vertical="center"/>
    </xf>
    <xf numFmtId="0" fontId="38" fillId="24" borderId="33" xfId="0" applyFont="1" applyFill="1" applyBorder="1" applyAlignment="1">
      <alignment horizontal="center" vertical="center"/>
    </xf>
    <xf numFmtId="0" fontId="29" fillId="24" borderId="32" xfId="0" applyFont="1" applyFill="1" applyBorder="1" applyAlignment="1">
      <alignment vertical="center"/>
    </xf>
    <xf numFmtId="167" fontId="31" fillId="0" borderId="23" xfId="56" applyNumberFormat="1" applyFont="1" applyFill="1" applyBorder="1" applyProtection="1"/>
    <xf numFmtId="0" fontId="39" fillId="0" borderId="0" xfId="0" applyFont="1" applyAlignment="1">
      <alignment vertical="center"/>
    </xf>
    <xf numFmtId="167" fontId="31" fillId="0" borderId="27" xfId="56" applyNumberFormat="1" applyFont="1" applyFill="1" applyBorder="1" applyProtection="1"/>
    <xf numFmtId="167" fontId="0" fillId="0" borderId="0" xfId="0" applyNumberFormat="1"/>
    <xf numFmtId="43" fontId="0" fillId="0" borderId="0" xfId="0" applyNumberFormat="1"/>
    <xf numFmtId="0" fontId="30" fillId="24" borderId="34" xfId="0" applyFont="1" applyFill="1" applyBorder="1" applyAlignment="1">
      <alignment horizontal="center"/>
    </xf>
    <xf numFmtId="0" fontId="30" fillId="24" borderId="35" xfId="80" applyFont="1" applyFill="1" applyBorder="1" applyAlignment="1">
      <alignment horizontal="center"/>
    </xf>
    <xf numFmtId="0" fontId="30" fillId="24" borderId="35" xfId="107" applyFont="1" applyFill="1" applyBorder="1" applyAlignment="1">
      <alignment horizontal="center" wrapText="1"/>
    </xf>
    <xf numFmtId="3" fontId="30" fillId="24" borderId="35" xfId="107" applyNumberFormat="1" applyFont="1" applyFill="1" applyBorder="1" applyAlignment="1">
      <alignment horizontal="center" wrapText="1"/>
    </xf>
    <xf numFmtId="0" fontId="30" fillId="24" borderId="36" xfId="107" applyFont="1" applyFill="1" applyBorder="1" applyAlignment="1">
      <alignment horizontal="center" wrapText="1"/>
    </xf>
    <xf numFmtId="0" fontId="30" fillId="24" borderId="34" xfId="0" applyFont="1" applyFill="1" applyBorder="1" applyAlignment="1">
      <alignment horizontal="center" wrapText="1"/>
    </xf>
    <xf numFmtId="0" fontId="30" fillId="29" borderId="35" xfId="0" applyFont="1" applyFill="1" applyBorder="1" applyAlignment="1">
      <alignment horizontal="center" wrapText="1"/>
    </xf>
    <xf numFmtId="0" fontId="30" fillId="24" borderId="35" xfId="0" applyFont="1" applyFill="1" applyBorder="1" applyAlignment="1">
      <alignment horizontal="center" wrapText="1"/>
    </xf>
    <xf numFmtId="0" fontId="30" fillId="24" borderId="36" xfId="0" applyFont="1" applyFill="1" applyBorder="1" applyAlignment="1">
      <alignment horizontal="center" wrapText="1"/>
    </xf>
    <xf numFmtId="0" fontId="0" fillId="0" borderId="37" xfId="0" applyBorder="1" applyAlignment="1">
      <alignment horizontal="center"/>
    </xf>
    <xf numFmtId="167" fontId="31" fillId="0" borderId="18" xfId="56" applyNumberFormat="1" applyFont="1" applyFill="1" applyBorder="1" applyProtection="1"/>
    <xf numFmtId="9" fontId="0" fillId="0" borderId="18" xfId="0" applyNumberFormat="1" applyBorder="1"/>
    <xf numFmtId="9" fontId="0" fillId="0" borderId="24" xfId="0" applyNumberFormat="1" applyBorder="1"/>
    <xf numFmtId="0" fontId="0" fillId="0" borderId="38" xfId="0" applyBorder="1" applyAlignment="1">
      <alignment horizontal="center"/>
    </xf>
    <xf numFmtId="0" fontId="0" fillId="0" borderId="15" xfId="0" applyBorder="1"/>
    <xf numFmtId="167" fontId="31" fillId="27" borderId="31" xfId="56" applyNumberFormat="1" applyFont="1" applyFill="1" applyBorder="1" applyAlignment="1" applyProtection="1">
      <alignment horizontal="right"/>
    </xf>
    <xf numFmtId="167" fontId="31" fillId="27" borderId="31" xfId="56" applyNumberFormat="1" applyFont="1" applyFill="1" applyBorder="1" applyProtection="1"/>
    <xf numFmtId="10" fontId="31" fillId="27" borderId="31" xfId="89" applyNumberFormat="1" applyFont="1" applyFill="1" applyBorder="1" applyProtection="1"/>
    <xf numFmtId="10" fontId="31" fillId="27" borderId="26" xfId="89" applyNumberFormat="1" applyFont="1" applyFill="1" applyBorder="1" applyProtection="1"/>
    <xf numFmtId="164" fontId="0" fillId="0" borderId="0" xfId="0" applyNumberFormat="1"/>
    <xf numFmtId="165" fontId="0" fillId="0" borderId="0" xfId="0" applyNumberFormat="1"/>
    <xf numFmtId="0" fontId="30" fillId="0" borderId="0" xfId="0" applyFont="1" applyAlignment="1">
      <alignment horizontal="center" wrapText="1"/>
    </xf>
    <xf numFmtId="164" fontId="0" fillId="0" borderId="0" xfId="0" applyNumberFormat="1" applyAlignment="1" applyProtection="1">
      <alignment horizontal="center"/>
      <protection locked="0" hidden="1"/>
    </xf>
    <xf numFmtId="164" fontId="0" fillId="0" borderId="0" xfId="0" applyNumberFormat="1" applyAlignment="1" applyProtection="1">
      <alignment horizontal="center"/>
      <protection hidden="1"/>
    </xf>
    <xf numFmtId="0" fontId="30" fillId="0" borderId="0" xfId="0" applyFont="1" applyAlignment="1">
      <alignment horizontal="center"/>
    </xf>
    <xf numFmtId="0" fontId="0" fillId="0" borderId="39" xfId="0" applyBorder="1"/>
    <xf numFmtId="0" fontId="30" fillId="0" borderId="39" xfId="0" applyFont="1" applyBorder="1" applyAlignment="1">
      <alignment horizontal="right"/>
    </xf>
    <xf numFmtId="0" fontId="0" fillId="0" borderId="16" xfId="0" applyBorder="1" applyAlignment="1">
      <alignment vertical="center"/>
    </xf>
    <xf numFmtId="0" fontId="0" fillId="0" borderId="45" xfId="0" applyBorder="1" applyAlignment="1">
      <alignment vertical="center"/>
    </xf>
    <xf numFmtId="0" fontId="0" fillId="0" borderId="11" xfId="0" applyBorder="1"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41" fillId="30" borderId="11" xfId="0" applyFont="1" applyFill="1" applyBorder="1" applyAlignment="1">
      <alignment horizontal="center" vertical="center" wrapText="1"/>
    </xf>
    <xf numFmtId="164" fontId="0" fillId="27" borderId="37" xfId="0" applyNumberFormat="1" applyFill="1" applyBorder="1" applyAlignment="1" applyProtection="1">
      <alignment horizontal="right"/>
      <protection locked="0" hidden="1"/>
    </xf>
    <xf numFmtId="164" fontId="0" fillId="27" borderId="23" xfId="0" applyNumberFormat="1" applyFill="1" applyBorder="1" applyAlignment="1" applyProtection="1">
      <alignment horizontal="right"/>
      <protection locked="0" hidden="1"/>
    </xf>
    <xf numFmtId="0" fontId="30" fillId="0" borderId="14" xfId="0" applyFont="1" applyBorder="1" applyAlignment="1">
      <alignment horizontal="center"/>
    </xf>
    <xf numFmtId="0" fontId="0" fillId="0" borderId="11" xfId="0" applyBorder="1" applyAlignment="1">
      <alignment vertical="center" wrapText="1"/>
    </xf>
    <xf numFmtId="3" fontId="0" fillId="27" borderId="37" xfId="0" applyNumberFormat="1" applyFill="1" applyBorder="1" applyAlignment="1" applyProtection="1">
      <alignment horizontal="right"/>
      <protection locked="0"/>
    </xf>
    <xf numFmtId="0" fontId="0" fillId="27" borderId="29" xfId="0" applyFill="1" applyBorder="1" applyAlignment="1" applyProtection="1">
      <alignment horizontal="center" wrapText="1"/>
      <protection locked="0"/>
    </xf>
    <xf numFmtId="0" fontId="0" fillId="0" borderId="20"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27" borderId="0" xfId="0" applyFill="1"/>
    <xf numFmtId="9" fontId="0" fillId="27" borderId="0" xfId="0" applyNumberFormat="1" applyFill="1"/>
    <xf numFmtId="164" fontId="0" fillId="0" borderId="0" xfId="0" applyNumberFormat="1" applyAlignment="1">
      <alignment vertical="center"/>
    </xf>
    <xf numFmtId="164" fontId="30" fillId="0" borderId="0" xfId="0" applyNumberFormat="1" applyFont="1"/>
    <xf numFmtId="164" fontId="42" fillId="31" borderId="11" xfId="0" applyNumberFormat="1" applyFont="1" applyFill="1" applyBorder="1" applyAlignment="1">
      <alignment horizontal="left"/>
    </xf>
    <xf numFmtId="0" fontId="29" fillId="26" borderId="0" xfId="0" applyFont="1" applyFill="1" applyAlignment="1">
      <alignment horizontal="center" vertical="center"/>
    </xf>
    <xf numFmtId="3" fontId="0" fillId="0" borderId="0" xfId="0" applyNumberFormat="1" applyAlignment="1">
      <alignment horizontal="center"/>
    </xf>
    <xf numFmtId="0" fontId="30" fillId="0" borderId="17" xfId="0" applyFont="1" applyBorder="1" applyAlignment="1">
      <alignment horizontal="center"/>
    </xf>
    <xf numFmtId="3" fontId="30" fillId="0" borderId="0" xfId="0" applyNumberFormat="1"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3" fontId="0" fillId="27" borderId="18" xfId="0" applyNumberFormat="1" applyFill="1" applyBorder="1" applyAlignment="1" applyProtection="1">
      <alignment horizontal="right"/>
      <protection locked="0"/>
    </xf>
    <xf numFmtId="3" fontId="0" fillId="27" borderId="11" xfId="0" applyNumberFormat="1" applyFill="1" applyBorder="1" applyAlignment="1" applyProtection="1">
      <alignment horizontal="right"/>
      <protection locked="0"/>
    </xf>
    <xf numFmtId="0" fontId="30" fillId="24" borderId="44" xfId="0" applyFont="1" applyFill="1" applyBorder="1" applyAlignment="1">
      <alignment horizontal="center" wrapText="1"/>
    </xf>
    <xf numFmtId="165" fontId="31" fillId="0" borderId="18" xfId="80" applyNumberFormat="1" applyFont="1" applyBorder="1"/>
    <xf numFmtId="165" fontId="31" fillId="0" borderId="18" xfId="80" applyNumberFormat="1" applyFont="1" applyBorder="1" applyAlignment="1">
      <alignment horizontal="right"/>
    </xf>
    <xf numFmtId="165" fontId="31" fillId="0" borderId="24" xfId="80" applyNumberFormat="1" applyFont="1" applyBorder="1"/>
    <xf numFmtId="165" fontId="31" fillId="0" borderId="11" xfId="80" applyNumberFormat="1" applyFont="1" applyBorder="1"/>
    <xf numFmtId="165" fontId="31" fillId="0" borderId="11" xfId="80" applyNumberFormat="1" applyFont="1" applyBorder="1" applyAlignment="1">
      <alignment horizontal="right"/>
    </xf>
    <xf numFmtId="165" fontId="31" fillId="0" borderId="15" xfId="80" applyNumberFormat="1" applyFont="1" applyBorder="1"/>
    <xf numFmtId="165" fontId="31" fillId="0" borderId="28" xfId="80" applyNumberFormat="1" applyFont="1" applyBorder="1"/>
    <xf numFmtId="165" fontId="31" fillId="0" borderId="28" xfId="80" applyNumberFormat="1" applyFont="1" applyBorder="1" applyAlignment="1">
      <alignment horizontal="right"/>
    </xf>
    <xf numFmtId="165" fontId="31" fillId="0" borderId="26" xfId="80" applyNumberFormat="1" applyFont="1" applyBorder="1"/>
    <xf numFmtId="3" fontId="0" fillId="27" borderId="18" xfId="0" applyNumberFormat="1" applyFill="1" applyBorder="1" applyProtection="1">
      <protection locked="0"/>
    </xf>
    <xf numFmtId="9" fontId="0" fillId="27" borderId="18" xfId="89" applyFont="1" applyFill="1" applyBorder="1" applyProtection="1">
      <protection locked="0"/>
    </xf>
    <xf numFmtId="3" fontId="0" fillId="27" borderId="11" xfId="0" applyNumberFormat="1" applyFill="1" applyBorder="1" applyProtection="1">
      <protection locked="0"/>
    </xf>
    <xf numFmtId="3" fontId="0" fillId="27" borderId="28" xfId="0" applyNumberFormat="1" applyFill="1" applyBorder="1" applyProtection="1">
      <protection locked="0"/>
    </xf>
    <xf numFmtId="9" fontId="0" fillId="27" borderId="28" xfId="89" applyFont="1" applyFill="1" applyBorder="1" applyProtection="1">
      <protection locked="0"/>
    </xf>
    <xf numFmtId="0" fontId="30" fillId="27" borderId="11" xfId="0" applyFont="1" applyFill="1" applyBorder="1" applyAlignment="1">
      <alignment horizontal="center" vertical="center" wrapText="1"/>
    </xf>
    <xf numFmtId="0" fontId="46" fillId="24" borderId="19" xfId="0" applyFont="1" applyFill="1" applyBorder="1" applyAlignment="1">
      <alignment horizontal="left"/>
    </xf>
    <xf numFmtId="0" fontId="31" fillId="24" borderId="19" xfId="0" applyFont="1" applyFill="1" applyBorder="1"/>
    <xf numFmtId="0" fontId="47" fillId="24" borderId="11" xfId="0" applyFont="1" applyFill="1" applyBorder="1" applyAlignment="1">
      <alignment horizontal="center" vertical="center" wrapText="1"/>
    </xf>
    <xf numFmtId="0" fontId="31" fillId="24" borderId="12" xfId="0" applyFont="1" applyFill="1" applyBorder="1" applyAlignment="1">
      <alignment horizontal="center" vertical="center"/>
    </xf>
    <xf numFmtId="0" fontId="32" fillId="24" borderId="16" xfId="0" applyFont="1" applyFill="1" applyBorder="1" applyAlignment="1">
      <alignment horizontal="center" vertical="center" wrapText="1"/>
    </xf>
    <xf numFmtId="164" fontId="0" fillId="0" borderId="43" xfId="0" applyNumberFormat="1" applyBorder="1" applyProtection="1">
      <protection hidden="1"/>
    </xf>
    <xf numFmtId="164" fontId="31" fillId="0" borderId="43" xfId="0" applyNumberFormat="1" applyFont="1" applyBorder="1" applyProtection="1">
      <protection hidden="1"/>
    </xf>
    <xf numFmtId="0" fontId="0" fillId="0" borderId="32" xfId="0" applyBorder="1" applyAlignment="1">
      <alignment vertical="center"/>
    </xf>
    <xf numFmtId="0" fontId="0" fillId="0" borderId="52" xfId="0" applyBorder="1"/>
    <xf numFmtId="164" fontId="42" fillId="0" borderId="0" xfId="0" applyNumberFormat="1" applyFont="1" applyAlignment="1">
      <alignment horizontal="left"/>
    </xf>
    <xf numFmtId="0" fontId="0" fillId="0" borderId="0" xfId="0" applyAlignment="1">
      <alignment horizontal="left"/>
    </xf>
    <xf numFmtId="0" fontId="30" fillId="0" borderId="0" xfId="0" applyFont="1" applyAlignment="1">
      <alignment wrapText="1"/>
    </xf>
    <xf numFmtId="0" fontId="0" fillId="0" borderId="0" xfId="0" applyAlignment="1" applyProtection="1">
      <alignment wrapText="1"/>
      <protection locked="0" hidden="1"/>
    </xf>
    <xf numFmtId="164" fontId="0" fillId="0" borderId="0" xfId="0" applyNumberFormat="1" applyProtection="1">
      <protection locked="0" hidden="1"/>
    </xf>
    <xf numFmtId="0" fontId="0" fillId="27" borderId="11" xfId="0" applyFill="1" applyBorder="1" applyAlignment="1" applyProtection="1">
      <alignment wrapText="1"/>
      <protection locked="0" hidden="1"/>
    </xf>
    <xf numFmtId="164" fontId="0" fillId="0" borderId="0" xfId="0" applyNumberFormat="1" applyAlignment="1">
      <alignment horizontal="right"/>
    </xf>
    <xf numFmtId="0" fontId="0" fillId="0" borderId="0" xfId="0" applyAlignment="1">
      <alignment horizontal="left" vertical="top"/>
    </xf>
    <xf numFmtId="164" fontId="0" fillId="0" borderId="10" xfId="0" applyNumberFormat="1" applyBorder="1" applyAlignment="1">
      <alignment horizontal="center"/>
    </xf>
    <xf numFmtId="164" fontId="42" fillId="31" borderId="11" xfId="0" applyNumberFormat="1" applyFont="1" applyFill="1" applyBorder="1" applyAlignment="1">
      <alignment horizontal="center" wrapText="1"/>
    </xf>
    <xf numFmtId="0" fontId="42" fillId="31" borderId="11" xfId="0" applyFont="1" applyFill="1" applyBorder="1" applyAlignment="1">
      <alignment horizontal="center" wrapText="1"/>
    </xf>
    <xf numFmtId="0" fontId="0" fillId="0" borderId="11" xfId="0" applyBorder="1" applyAlignment="1">
      <alignment horizontal="left" vertical="center" wrapText="1"/>
    </xf>
    <xf numFmtId="0" fontId="0" fillId="0" borderId="23" xfId="0" applyBorder="1"/>
    <xf numFmtId="164" fontId="0" fillId="27" borderId="53" xfId="0" applyNumberFormat="1" applyFill="1" applyBorder="1" applyAlignment="1" applyProtection="1">
      <alignment wrapText="1"/>
      <protection locked="0" hidden="1"/>
    </xf>
    <xf numFmtId="0" fontId="0" fillId="0" borderId="54" xfId="0" applyBorder="1"/>
    <xf numFmtId="0" fontId="30" fillId="25" borderId="12" xfId="0" applyFont="1" applyFill="1" applyBorder="1"/>
    <xf numFmtId="164" fontId="30" fillId="25" borderId="55" xfId="0" applyNumberFormat="1" applyFont="1" applyFill="1" applyBorder="1" applyAlignment="1">
      <alignment horizontal="center" wrapText="1"/>
    </xf>
    <xf numFmtId="0" fontId="30" fillId="25" borderId="46" xfId="0" applyFont="1" applyFill="1" applyBorder="1" applyAlignment="1">
      <alignment horizontal="center" wrapText="1"/>
    </xf>
    <xf numFmtId="0" fontId="30" fillId="25" borderId="48" xfId="0" applyFont="1" applyFill="1" applyBorder="1" applyAlignment="1">
      <alignment horizontal="center" wrapText="1"/>
    </xf>
    <xf numFmtId="0" fontId="30" fillId="25" borderId="47" xfId="0" applyFont="1" applyFill="1" applyBorder="1" applyAlignment="1">
      <alignment horizontal="center" wrapText="1"/>
    </xf>
    <xf numFmtId="0" fontId="30" fillId="25" borderId="55" xfId="0" applyFont="1" applyFill="1" applyBorder="1" applyAlignment="1">
      <alignment horizontal="center" wrapText="1"/>
    </xf>
    <xf numFmtId="3" fontId="30" fillId="25" borderId="55" xfId="0" applyNumberFormat="1" applyFont="1" applyFill="1" applyBorder="1" applyAlignment="1">
      <alignment horizontal="center" wrapText="1"/>
    </xf>
    <xf numFmtId="3" fontId="30" fillId="25" borderId="56" xfId="0" applyNumberFormat="1" applyFont="1" applyFill="1" applyBorder="1" applyAlignment="1">
      <alignment horizontal="center" wrapText="1"/>
    </xf>
    <xf numFmtId="165" fontId="30" fillId="25" borderId="46" xfId="0" applyNumberFormat="1" applyFont="1" applyFill="1" applyBorder="1" applyAlignment="1">
      <alignment horizontal="center" wrapText="1"/>
    </xf>
    <xf numFmtId="0" fontId="30" fillId="25" borderId="57" xfId="0" applyFont="1" applyFill="1" applyBorder="1" applyAlignment="1">
      <alignment horizontal="center" wrapText="1"/>
    </xf>
    <xf numFmtId="164" fontId="42" fillId="0" borderId="0" xfId="0" applyNumberFormat="1" applyFont="1"/>
    <xf numFmtId="0" fontId="30" fillId="25" borderId="58" xfId="0" applyFont="1" applyFill="1" applyBorder="1" applyAlignment="1">
      <alignment horizontal="center" wrapText="1"/>
    </xf>
    <xf numFmtId="164" fontId="0" fillId="0" borderId="18" xfId="0" applyNumberFormat="1" applyBorder="1" applyAlignment="1">
      <alignment horizontal="right" vertical="center"/>
    </xf>
    <xf numFmtId="164" fontId="0" fillId="0" borderId="28" xfId="0" applyNumberFormat="1" applyBorder="1" applyAlignment="1">
      <alignment horizontal="right" vertical="center"/>
    </xf>
    <xf numFmtId="3" fontId="0" fillId="27" borderId="22" xfId="0" applyNumberFormat="1" applyFill="1" applyBorder="1" applyAlignment="1" applyProtection="1">
      <alignment horizontal="right"/>
      <protection locked="0"/>
    </xf>
    <xf numFmtId="3" fontId="0" fillId="27" borderId="12" xfId="0" applyNumberFormat="1" applyFill="1" applyBorder="1" applyAlignment="1" applyProtection="1">
      <alignment horizontal="right"/>
      <protection locked="0"/>
    </xf>
    <xf numFmtId="3" fontId="0" fillId="27" borderId="11" xfId="0" applyNumberFormat="1" applyFill="1" applyBorder="1" applyAlignment="1" applyProtection="1">
      <alignment horizontal="right"/>
      <protection locked="0" hidden="1"/>
    </xf>
    <xf numFmtId="3" fontId="0" fillId="27" borderId="22" xfId="0" applyNumberFormat="1" applyFill="1" applyBorder="1" applyAlignment="1" applyProtection="1">
      <alignment horizontal="right"/>
      <protection locked="0" hidden="1"/>
    </xf>
    <xf numFmtId="3" fontId="0" fillId="27" borderId="18" xfId="0" applyNumberFormat="1" applyFill="1" applyBorder="1" applyAlignment="1" applyProtection="1">
      <alignment horizontal="right"/>
      <protection locked="0" hidden="1"/>
    </xf>
    <xf numFmtId="0" fontId="0" fillId="0" borderId="11" xfId="0" applyBorder="1" applyAlignment="1" applyProtection="1">
      <alignment horizontal="left"/>
      <protection hidden="1"/>
    </xf>
    <xf numFmtId="164" fontId="0" fillId="0" borderId="11" xfId="0" applyNumberFormat="1" applyBorder="1" applyAlignment="1" applyProtection="1">
      <alignment horizontal="right"/>
      <protection hidden="1"/>
    </xf>
    <xf numFmtId="3" fontId="0" fillId="0" borderId="11" xfId="0" applyNumberFormat="1" applyBorder="1" applyAlignment="1" applyProtection="1">
      <alignment horizontal="right"/>
      <protection hidden="1"/>
    </xf>
    <xf numFmtId="164" fontId="0" fillId="0" borderId="24" xfId="0" applyNumberFormat="1" applyBorder="1" applyAlignment="1" applyProtection="1">
      <alignment horizontal="right"/>
      <protection hidden="1"/>
    </xf>
    <xf numFmtId="164" fontId="0" fillId="0" borderId="31" xfId="0" applyNumberFormat="1" applyBorder="1" applyAlignment="1" applyProtection="1">
      <alignment horizontal="right"/>
      <protection hidden="1"/>
    </xf>
    <xf numFmtId="164" fontId="0" fillId="0" borderId="18" xfId="0" applyNumberFormat="1" applyBorder="1" applyAlignment="1" applyProtection="1">
      <alignment horizontal="right"/>
      <protection hidden="1"/>
    </xf>
    <xf numFmtId="164" fontId="0" fillId="0" borderId="49" xfId="0" applyNumberFormat="1" applyBorder="1" applyAlignment="1" applyProtection="1">
      <alignment horizontal="right"/>
      <protection hidden="1"/>
    </xf>
    <xf numFmtId="164" fontId="0" fillId="0" borderId="50" xfId="0" applyNumberFormat="1" applyBorder="1" applyAlignment="1" applyProtection="1">
      <alignment horizontal="right"/>
      <protection hidden="1"/>
    </xf>
    <xf numFmtId="0" fontId="51" fillId="0" borderId="0" xfId="0" applyFont="1" applyAlignment="1">
      <alignment horizontal="left" vertical="center" wrapText="1"/>
    </xf>
    <xf numFmtId="0" fontId="30" fillId="25" borderId="51" xfId="0" applyFont="1" applyFill="1" applyBorder="1" applyAlignment="1">
      <alignment horizontal="center" wrapText="1"/>
    </xf>
    <xf numFmtId="0" fontId="30" fillId="25" borderId="43" xfId="0" applyFont="1" applyFill="1" applyBorder="1" applyAlignment="1">
      <alignment horizontal="center" wrapText="1"/>
    </xf>
    <xf numFmtId="0" fontId="30" fillId="28" borderId="40" xfId="0" applyFont="1" applyFill="1" applyBorder="1" applyAlignment="1">
      <alignment horizontal="center" wrapText="1"/>
    </xf>
    <xf numFmtId="0" fontId="30" fillId="28" borderId="41" xfId="0" applyFont="1" applyFill="1" applyBorder="1" applyAlignment="1">
      <alignment horizontal="center" wrapText="1"/>
    </xf>
    <xf numFmtId="0" fontId="30" fillId="28" borderId="42" xfId="0" applyFont="1" applyFill="1" applyBorder="1" applyAlignment="1">
      <alignment horizontal="center" wrapText="1"/>
    </xf>
    <xf numFmtId="0" fontId="30" fillId="28" borderId="40" xfId="0" applyFont="1" applyFill="1" applyBorder="1" applyAlignment="1">
      <alignment horizontal="center"/>
    </xf>
    <xf numFmtId="0" fontId="30" fillId="28" borderId="41" xfId="0" applyFont="1" applyFill="1" applyBorder="1" applyAlignment="1">
      <alignment horizontal="center"/>
    </xf>
    <xf numFmtId="0" fontId="30" fillId="28" borderId="42" xfId="0" applyFont="1" applyFill="1" applyBorder="1" applyAlignment="1">
      <alignment horizontal="center"/>
    </xf>
    <xf numFmtId="3" fontId="30" fillId="28" borderId="40" xfId="0" applyNumberFormat="1" applyFont="1" applyFill="1" applyBorder="1" applyAlignment="1">
      <alignment horizontal="center"/>
    </xf>
    <xf numFmtId="3" fontId="30" fillId="28" borderId="41" xfId="0" applyNumberFormat="1" applyFont="1" applyFill="1" applyBorder="1" applyAlignment="1">
      <alignment horizontal="center"/>
    </xf>
    <xf numFmtId="3" fontId="30" fillId="28" borderId="42" xfId="0" applyNumberFormat="1"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2" xfId="56" xr:uid="{00000000-0005-0000-0000-000038000000}"/>
    <cellStyle name="Comma 3" xfId="57" xr:uid="{00000000-0005-0000-0000-000039000000}"/>
    <cellStyle name="Comma 4" xfId="58" xr:uid="{00000000-0005-0000-0000-00003A000000}"/>
    <cellStyle name="Explanatory Text 2" xfId="59" xr:uid="{00000000-0005-0000-0000-00003B000000}"/>
    <cellStyle name="Explanatory Text 3" xfId="60" xr:uid="{00000000-0005-0000-0000-00003C000000}"/>
    <cellStyle name="Good 2" xfId="61" xr:uid="{00000000-0005-0000-0000-00003D000000}"/>
    <cellStyle name="Good 3" xfId="62" xr:uid="{00000000-0005-0000-0000-00003E000000}"/>
    <cellStyle name="Heading 1 2" xfId="63" xr:uid="{00000000-0005-0000-0000-00003F000000}"/>
    <cellStyle name="Heading 1 3" xfId="64" xr:uid="{00000000-0005-0000-0000-000040000000}"/>
    <cellStyle name="Heading 2 2" xfId="65" xr:uid="{00000000-0005-0000-0000-000041000000}"/>
    <cellStyle name="Heading 2 3" xfId="66" xr:uid="{00000000-0005-0000-0000-000042000000}"/>
    <cellStyle name="Heading 3 2" xfId="67" xr:uid="{00000000-0005-0000-0000-000043000000}"/>
    <cellStyle name="Heading 3 2 2" xfId="105" xr:uid="{00000000-0005-0000-0000-000044000000}"/>
    <cellStyle name="Heading 3 3" xfId="68" xr:uid="{00000000-0005-0000-0000-000045000000}"/>
    <cellStyle name="Heading 3 3 2" xfId="104" xr:uid="{00000000-0005-0000-0000-000046000000}"/>
    <cellStyle name="Heading 4 2" xfId="69" xr:uid="{00000000-0005-0000-0000-000047000000}"/>
    <cellStyle name="Heading 4 3" xfId="70" xr:uid="{00000000-0005-0000-0000-000048000000}"/>
    <cellStyle name="Hyperlink 2" xfId="71" xr:uid="{00000000-0005-0000-0000-00004A000000}"/>
    <cellStyle name="Hyperlink 2 2" xfId="72" xr:uid="{00000000-0005-0000-0000-00004B000000}"/>
    <cellStyle name="Hyperlink 3" xfId="73" xr:uid="{00000000-0005-0000-0000-00004C000000}"/>
    <cellStyle name="Hyperlink 4" xfId="100" xr:uid="{00000000-0005-0000-0000-00004D000000}"/>
    <cellStyle name="Hyperlink 5" xfId="99" xr:uid="{00000000-0005-0000-0000-00004E000000}"/>
    <cellStyle name="Input 2" xfId="74" xr:uid="{00000000-0005-0000-0000-00004F000000}"/>
    <cellStyle name="Input 3" xfId="75" xr:uid="{00000000-0005-0000-0000-000050000000}"/>
    <cellStyle name="Linked Cell 2" xfId="76" xr:uid="{00000000-0005-0000-0000-000051000000}"/>
    <cellStyle name="Linked Cell 3" xfId="77" xr:uid="{00000000-0005-0000-0000-000052000000}"/>
    <cellStyle name="Neutral 2" xfId="78" xr:uid="{00000000-0005-0000-0000-000053000000}"/>
    <cellStyle name="Neutral 3" xfId="79" xr:uid="{00000000-0005-0000-0000-000054000000}"/>
    <cellStyle name="Normal" xfId="0" builtinId="0"/>
    <cellStyle name="Normal 2" xfId="80" xr:uid="{00000000-0005-0000-0000-000056000000}"/>
    <cellStyle name="Normal 2 2" xfId="81" xr:uid="{00000000-0005-0000-0000-000057000000}"/>
    <cellStyle name="Normal 3" xfId="82" xr:uid="{00000000-0005-0000-0000-000058000000}"/>
    <cellStyle name="Normal 3 2" xfId="83" xr:uid="{00000000-0005-0000-0000-000059000000}"/>
    <cellStyle name="Normal 3 3" xfId="106" xr:uid="{4DE0461D-A09A-46DB-9420-EA36D32D2B1E}"/>
    <cellStyle name="Normal 3 4" xfId="108" xr:uid="{AB076862-D8D9-490F-92A5-063872900D72}"/>
    <cellStyle name="Normal 38" xfId="107" xr:uid="{5C880423-993E-4053-9D18-8525566CBCE5}"/>
    <cellStyle name="Normal 4" xfId="84" xr:uid="{00000000-0005-0000-0000-00005A000000}"/>
    <cellStyle name="Normal 4 2" xfId="98" xr:uid="{00000000-0005-0000-0000-00005B000000}"/>
    <cellStyle name="Normal 5" xfId="101" xr:uid="{00000000-0005-0000-0000-00005C000000}"/>
    <cellStyle name="Normal 6" xfId="102" xr:uid="{00000000-0005-0000-0000-00005D000000}"/>
    <cellStyle name="Normal 7" xfId="103" xr:uid="{00000000-0005-0000-0000-00005E000000}"/>
    <cellStyle name="Note 2" xfId="85" xr:uid="{00000000-0005-0000-0000-000060000000}"/>
    <cellStyle name="Note 3" xfId="86" xr:uid="{00000000-0005-0000-0000-000061000000}"/>
    <cellStyle name="Other input" xfId="109" xr:uid="{718A5794-4FD7-49F0-9B91-0E7CB468719B}"/>
    <cellStyle name="Output 2" xfId="87" xr:uid="{00000000-0005-0000-0000-000062000000}"/>
    <cellStyle name="Output 3" xfId="88" xr:uid="{00000000-0005-0000-0000-000063000000}"/>
    <cellStyle name="Per cent" xfId="89" builtinId="5"/>
    <cellStyle name="Percent 2" xfId="90" xr:uid="{00000000-0005-0000-0000-000065000000}"/>
    <cellStyle name="Percent 3" xfId="91" xr:uid="{00000000-0005-0000-0000-000066000000}"/>
    <cellStyle name="Small cost input" xfId="110" xr:uid="{EC507B33-927B-47C5-AC14-0F09FF6D0764}"/>
    <cellStyle name="Table Header 2" xfId="111" xr:uid="{45AB15A7-03BD-4CD9-A2A7-EC2DBD0E61A8}"/>
    <cellStyle name="Title 2" xfId="92" xr:uid="{00000000-0005-0000-0000-000067000000}"/>
    <cellStyle name="Title 3" xfId="93" xr:uid="{00000000-0005-0000-0000-000068000000}"/>
    <cellStyle name="Total 2" xfId="94" xr:uid="{00000000-0005-0000-0000-000069000000}"/>
    <cellStyle name="Total 3" xfId="95" xr:uid="{00000000-0005-0000-0000-00006A000000}"/>
    <cellStyle name="Warning Text 2" xfId="96" xr:uid="{00000000-0005-0000-0000-00006B000000}"/>
    <cellStyle name="Warning Text 3" xfId="97" xr:uid="{00000000-0005-0000-0000-00006C000000}"/>
  </cellStyles>
  <dxfs count="0"/>
  <tableStyles count="0" defaultTableStyle="TableStyleMedium9" defaultPivotStyle="PivotStyleLight16"/>
  <colors>
    <mruColors>
      <color rgb="FF18646E"/>
      <color rgb="FFFFFFFF"/>
      <color rgb="FFEAEAEA"/>
      <color rgb="FFFF00FF"/>
      <color rgb="FFFFFF99"/>
      <color rgb="FFE4E5B5"/>
      <color rgb="FFE4ED69"/>
      <color rgb="FF15434A"/>
      <color rgb="FF51560A"/>
      <color rgb="FF4144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Workings/RIA%20template%20HTE10041.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Publication/RIA%20template%20HTE1004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Operational%20resources/RIA%20product%20templates/RI%20template%20v29.xlsx" TargetMode="External"/><Relationship Id="rId1" Type="http://schemas.openxmlformats.org/officeDocument/2006/relationships/externalLinkPath" Target="https://niceuk.sharepoint.com/sites/Resource_Impact_Assessment/Shared%20Documents/Operational%20resources/RIA%20product%20templates/RI%20template%20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ision table"/>
      <sheetName val="Inputs"/>
      <sheetName val="leg ulcers"/>
      <sheetName val="EAG matched data clean"/>
      <sheetName val="Sheet3 (2)"/>
      <sheetName val="Population selection (2)"/>
      <sheetName val="Uptake phasing (2)"/>
      <sheetName val="Cover (2)"/>
      <sheetName val="Contents (2)"/>
      <sheetName val="Inputs and eligible populat (2)"/>
      <sheetName val="Unit costs (2)"/>
      <sheetName val="Summary (2)"/>
      <sheetName val="Financial impact (cash) (2)"/>
      <sheetName val="Capacity (local prices) (2)"/>
      <sheetName val="Capacity (national prices) (2)"/>
      <sheetName val="payscales (2)"/>
      <sheetName val="Population selection"/>
      <sheetName val="Uptake phasing"/>
      <sheetName val="Cover"/>
      <sheetName val="Contents"/>
      <sheetName val="Inputs and eligible population"/>
      <sheetName val="Unit costs"/>
      <sheetName val="Summary"/>
      <sheetName val="Financial impact (cash)"/>
      <sheetName val="Capacity (local prices)"/>
      <sheetName val="Capacity (national prices)"/>
      <sheetName val="payscales"/>
    </sheetNames>
    <sheetDataSet>
      <sheetData sheetId="0"/>
      <sheetData sheetId="1">
        <row r="53">
          <cell r="C53" t="str">
            <v>Yes</v>
          </cell>
        </row>
        <row r="54">
          <cell r="C54" t="str">
            <v>No</v>
          </cell>
        </row>
      </sheetData>
      <sheetData sheetId="2"/>
      <sheetData sheetId="3">
        <row r="5">
          <cell r="E5" t="str">
            <v>10cm x 10cm square</v>
          </cell>
        </row>
        <row r="6">
          <cell r="E6" t="str">
            <v>15cm x 15cm square</v>
          </cell>
        </row>
        <row r="7">
          <cell r="E7" t="str">
            <v>20cm x 30cm rectangular</v>
          </cell>
        </row>
        <row r="8">
          <cell r="E8" t="str">
            <v>4cm x 10cm rectangular</v>
          </cell>
        </row>
        <row r="9">
          <cell r="E9" t="str">
            <v>4cm x 20cm rectangular</v>
          </cell>
        </row>
        <row r="10">
          <cell r="E10" t="str">
            <v>4cm x 30cm rectangular</v>
          </cell>
        </row>
        <row r="11">
          <cell r="E11" t="str">
            <v>5cm x 5cm square</v>
          </cell>
        </row>
        <row r="12">
          <cell r="E12" t="str">
            <v>5cm x 5cm square</v>
          </cell>
        </row>
        <row r="13">
          <cell r="E13" t="str">
            <v>10cm x 12.5cm rectangular</v>
          </cell>
        </row>
        <row r="14">
          <cell r="E14" t="str">
            <v>15cm x 15cm square</v>
          </cell>
        </row>
        <row r="15">
          <cell r="E15" t="str">
            <v>20cm x 30cm rectangular</v>
          </cell>
        </row>
        <row r="16">
          <cell r="E16" t="str">
            <v>2cm x 45cm</v>
          </cell>
        </row>
        <row r="17">
          <cell r="E17" t="str">
            <v>10cm x 20cm rectangular</v>
          </cell>
        </row>
        <row r="18">
          <cell r="E18" t="str">
            <v>11cm x 11cm square</v>
          </cell>
        </row>
        <row r="19">
          <cell r="E19" t="str">
            <v>5cm x 5cm square</v>
          </cell>
        </row>
        <row r="20">
          <cell r="E20" t="str">
            <v>10cm x 10cm</v>
          </cell>
        </row>
        <row r="21">
          <cell r="E21" t="str">
            <v>10cm x 20cm</v>
          </cell>
        </row>
        <row r="22">
          <cell r="E22" t="str">
            <v>5cm x 5cm</v>
          </cell>
        </row>
        <row r="23">
          <cell r="E23" t="str">
            <v>10cm x 10cm square</v>
          </cell>
        </row>
        <row r="24">
          <cell r="E24" t="str">
            <v>15cm x 15cm square</v>
          </cell>
        </row>
        <row r="25">
          <cell r="E25" t="str">
            <v>5cm x 5cm square</v>
          </cell>
        </row>
        <row r="26">
          <cell r="E26" t="str">
            <v>10cm x 10cm square</v>
          </cell>
        </row>
        <row r="27">
          <cell r="E27" t="str">
            <v>15cm x 15cm square</v>
          </cell>
        </row>
        <row r="28">
          <cell r="E28" t="str">
            <v>2.7cm x 32cm rope</v>
          </cell>
        </row>
        <row r="29">
          <cell r="E29" t="str">
            <v>5cm x 5cm square</v>
          </cell>
        </row>
        <row r="30">
          <cell r="E30" t="str">
            <v>10.8cm x 10.8cm</v>
          </cell>
        </row>
        <row r="31">
          <cell r="E31" t="str">
            <v>5cm x 5cm</v>
          </cell>
        </row>
        <row r="32">
          <cell r="E32" t="str">
            <v>10cm x 10cm</v>
          </cell>
        </row>
        <row r="33">
          <cell r="E33" t="str">
            <v>10cm x 20cm</v>
          </cell>
        </row>
        <row r="34">
          <cell r="E34" t="str">
            <v>10cm x 10cm</v>
          </cell>
        </row>
        <row r="35">
          <cell r="E35" t="str">
            <v>15cm x 15cm</v>
          </cell>
        </row>
        <row r="36">
          <cell r="E36" t="str">
            <v>5cm x 5cm</v>
          </cell>
        </row>
        <row r="37">
          <cell r="E37" t="str">
            <v>10cm x 10cm square</v>
          </cell>
        </row>
        <row r="38">
          <cell r="E38" t="str">
            <v>15cm x 15cm square</v>
          </cell>
        </row>
        <row r="39">
          <cell r="E39" t="str">
            <v>20cm x 30cm rectangular</v>
          </cell>
        </row>
        <row r="40">
          <cell r="E40" t="str">
            <v>2cm x 45cm rectangular</v>
          </cell>
        </row>
        <row r="41">
          <cell r="E41" t="str">
            <v>4cm x 10cm rectangular</v>
          </cell>
        </row>
        <row r="42">
          <cell r="E42" t="str">
            <v>4cm x 20cm rectangular</v>
          </cell>
        </row>
        <row r="43">
          <cell r="E43" t="str">
            <v>4cm x 30cm rectangular</v>
          </cell>
        </row>
        <row r="44">
          <cell r="E44" t="str">
            <v>5cm x 5cm square</v>
          </cell>
        </row>
        <row r="45">
          <cell r="E45" t="str">
            <v>10cm x 10cm square</v>
          </cell>
        </row>
        <row r="46">
          <cell r="E46" t="str">
            <v>15cm x 15cm square</v>
          </cell>
        </row>
        <row r="47">
          <cell r="E47" t="str">
            <v>20cm x 30cm rectangular</v>
          </cell>
        </row>
        <row r="48">
          <cell r="E48" t="str">
            <v>4.5cm x 10cm rectangular</v>
          </cell>
        </row>
        <row r="49">
          <cell r="E49" t="str">
            <v>4.5cm x 20cm rectangular</v>
          </cell>
        </row>
        <row r="50">
          <cell r="E50" t="str">
            <v>4.5cm x 30cm rectangular</v>
          </cell>
        </row>
        <row r="51">
          <cell r="E51" t="str">
            <v>5cm x 5cm square</v>
          </cell>
        </row>
        <row r="52">
          <cell r="E52" t="str">
            <v>10cm x 10cm</v>
          </cell>
        </row>
        <row r="53">
          <cell r="E53" t="str">
            <v>15cm x 15cm</v>
          </cell>
        </row>
        <row r="54">
          <cell r="E54" t="str">
            <v>5cm x 5cm</v>
          </cell>
        </row>
        <row r="55">
          <cell r="E55" t="str">
            <v>10cm x 10cm</v>
          </cell>
        </row>
        <row r="56">
          <cell r="E56" t="str">
            <v>10cm x 20cm</v>
          </cell>
        </row>
        <row r="57">
          <cell r="E57" t="str">
            <v>5cm x 5cm</v>
          </cell>
        </row>
        <row r="58">
          <cell r="E58" t="str">
            <v>10cm x 10cm</v>
          </cell>
        </row>
        <row r="59">
          <cell r="E59" t="str">
            <v>5cm x 5cm</v>
          </cell>
        </row>
        <row r="60">
          <cell r="E60" t="str">
            <v>10cm x 10cm</v>
          </cell>
        </row>
        <row r="61">
          <cell r="E61" t="str">
            <v>10cm x 20cm</v>
          </cell>
        </row>
        <row r="62">
          <cell r="E62" t="str">
            <v>5cm x 5cm</v>
          </cell>
        </row>
        <row r="63">
          <cell r="E63" t="str">
            <v>10cm x 10cm square</v>
          </cell>
        </row>
        <row r="64">
          <cell r="E64" t="str">
            <v>15cm x 20cm rectangular</v>
          </cell>
        </row>
        <row r="65">
          <cell r="E65" t="str">
            <v>6cm x 6cm square</v>
          </cell>
        </row>
        <row r="66">
          <cell r="E66" t="str">
            <v>10cm x 10cm square</v>
          </cell>
        </row>
        <row r="67">
          <cell r="E67" t="str">
            <v>12.5cm x 12.5cm square</v>
          </cell>
        </row>
        <row r="68">
          <cell r="E68" t="str">
            <v>17.5cm x 17.5cm square</v>
          </cell>
        </row>
        <row r="69">
          <cell r="E69" t="str">
            <v>7.5cm x 7.5cm square</v>
          </cell>
        </row>
        <row r="70">
          <cell r="E70" t="str">
            <v>10cm x 10cm square</v>
          </cell>
        </row>
        <row r="71">
          <cell r="E71" t="str">
            <v>15cm x 15cm square</v>
          </cell>
        </row>
        <row r="72">
          <cell r="E72" t="str">
            <v>20cm x 20cm square</v>
          </cell>
        </row>
        <row r="73">
          <cell r="E73" t="str">
            <v>5cm x 5cm square</v>
          </cell>
        </row>
        <row r="74">
          <cell r="E74" t="str">
            <v>10cm x 10cm square</v>
          </cell>
        </row>
        <row r="75">
          <cell r="E75" t="str">
            <v>10cm x 20cm rectangular</v>
          </cell>
        </row>
        <row r="76">
          <cell r="E76" t="str">
            <v>12.5cm x 12.5cm square</v>
          </cell>
        </row>
        <row r="77">
          <cell r="E77" t="str">
            <v>15cm x 15cm square</v>
          </cell>
        </row>
        <row r="78">
          <cell r="E78" t="str">
            <v>18cm x 18cm square</v>
          </cell>
        </row>
        <row r="79">
          <cell r="E79" t="str">
            <v>19cm x 20cm heel</v>
          </cell>
        </row>
        <row r="80">
          <cell r="E80" t="str">
            <v>20cm x 20cm square</v>
          </cell>
        </row>
        <row r="81">
          <cell r="E81" t="str">
            <v>10.8cm x 10.8cm square</v>
          </cell>
        </row>
        <row r="82">
          <cell r="E82" t="str">
            <v>12.7cm x 8.8cm oval</v>
          </cell>
        </row>
        <row r="83">
          <cell r="E83" t="str">
            <v>17cm x 19cm rectangular</v>
          </cell>
        </row>
        <row r="84">
          <cell r="E84" t="str">
            <v>5cm x 7.6cm oval</v>
          </cell>
        </row>
        <row r="85">
          <cell r="E85" t="str">
            <v>10cm x 10cm</v>
          </cell>
        </row>
        <row r="86">
          <cell r="E86" t="str">
            <v>12.5cm x 12.5cm</v>
          </cell>
        </row>
        <row r="87">
          <cell r="E87" t="str">
            <v>17.5cm x 17.5cm</v>
          </cell>
        </row>
        <row r="88">
          <cell r="E88" t="str">
            <v>21cm x 21cm</v>
          </cell>
        </row>
        <row r="89">
          <cell r="E89" t="str">
            <v>25cm x 30cm</v>
          </cell>
        </row>
        <row r="90">
          <cell r="E90" t="str">
            <v>8cm x 8cm</v>
          </cell>
        </row>
        <row r="91">
          <cell r="E91" t="str">
            <v>10cm x 10cm</v>
          </cell>
        </row>
        <row r="92">
          <cell r="E92" t="str">
            <v>15cm x 15cm</v>
          </cell>
        </row>
        <row r="93">
          <cell r="E93" t="str">
            <v>5cm x 5cm</v>
          </cell>
        </row>
        <row r="94">
          <cell r="E94" t="str">
            <v>15cm x 20cm</v>
          </cell>
        </row>
        <row r="95">
          <cell r="E95" t="str">
            <v>20cm x 20cm</v>
          </cell>
        </row>
        <row r="96">
          <cell r="E96" t="str">
            <v>10cm x 10cm</v>
          </cell>
        </row>
        <row r="97">
          <cell r="E97" t="str">
            <v>10cm x 20cm</v>
          </cell>
        </row>
        <row r="98">
          <cell r="E98" t="str">
            <v>10cm x 30cm</v>
          </cell>
        </row>
        <row r="99">
          <cell r="E99" t="str">
            <v>12.5cm x 12.5cm</v>
          </cell>
        </row>
        <row r="100">
          <cell r="E100" t="str">
            <v>15cm x 15cm</v>
          </cell>
        </row>
        <row r="101">
          <cell r="E101" t="str">
            <v>17.5cm x 17.5cm</v>
          </cell>
        </row>
        <row r="102">
          <cell r="E102" t="str">
            <v>7.5cm x 7.5cm</v>
          </cell>
        </row>
        <row r="103">
          <cell r="E103" t="str">
            <v>10cm x 10cm</v>
          </cell>
        </row>
        <row r="104">
          <cell r="E104" t="str">
            <v>2.5cm x 12.5cm</v>
          </cell>
        </row>
        <row r="105">
          <cell r="E105" t="str">
            <v>17.5cm x 17.5cm</v>
          </cell>
        </row>
        <row r="106">
          <cell r="E106" t="str">
            <v>7.5cm x 7.5cm</v>
          </cell>
        </row>
        <row r="107">
          <cell r="E107" t="str">
            <v>10cm x 10cm</v>
          </cell>
        </row>
        <row r="108">
          <cell r="E108" t="str">
            <v>10cm x 20cm</v>
          </cell>
        </row>
        <row r="109">
          <cell r="E109" t="str">
            <v>15cm x 15cm</v>
          </cell>
        </row>
        <row r="110">
          <cell r="E110" t="str">
            <v>20cm x 20cm</v>
          </cell>
        </row>
        <row r="111">
          <cell r="E111" t="str">
            <v>5cm x 5cm</v>
          </cell>
        </row>
        <row r="112">
          <cell r="E112" t="str">
            <v>10cm x 10cm</v>
          </cell>
        </row>
        <row r="113">
          <cell r="E113" t="str">
            <v>10cm x 20cm</v>
          </cell>
        </row>
        <row r="114">
          <cell r="E114" t="str">
            <v>15cm x 15cm</v>
          </cell>
        </row>
        <row r="115">
          <cell r="E115" t="str">
            <v>20cm x 20cm</v>
          </cell>
        </row>
        <row r="116">
          <cell r="E116" t="str">
            <v>20cm x 50cm</v>
          </cell>
        </row>
        <row r="117">
          <cell r="E117" t="str">
            <v>10cm x 12.5cm</v>
          </cell>
        </row>
        <row r="118">
          <cell r="E118" t="str">
            <v>10cm x 20cm</v>
          </cell>
        </row>
        <row r="119">
          <cell r="E119" t="str">
            <v>10cm x 25cm</v>
          </cell>
        </row>
        <row r="120">
          <cell r="E120" t="str">
            <v>10cm x 30cm</v>
          </cell>
        </row>
        <row r="121">
          <cell r="E121" t="str">
            <v>15cm x 17.5cm</v>
          </cell>
        </row>
        <row r="122">
          <cell r="E122" t="str">
            <v>17cm x 20cm</v>
          </cell>
        </row>
        <row r="123">
          <cell r="E123" t="str">
            <v>7cm x 7.5cm</v>
          </cell>
        </row>
        <row r="124">
          <cell r="E124" t="str">
            <v>10cm x 20cm rectangular</v>
          </cell>
        </row>
        <row r="125">
          <cell r="E125" t="str">
            <v>11cm x 11cm square</v>
          </cell>
        </row>
        <row r="126">
          <cell r="E126" t="str">
            <v>2.5cm x 30.5cm rectangular</v>
          </cell>
        </row>
        <row r="127">
          <cell r="E127" t="str">
            <v>5cm x 5cm square</v>
          </cell>
        </row>
        <row r="128">
          <cell r="E128" t="str">
            <v>10cm x 12cm</v>
          </cell>
        </row>
        <row r="129">
          <cell r="E129" t="str">
            <v>15cm x 20cm</v>
          </cell>
        </row>
        <row r="130">
          <cell r="E130" t="str">
            <v>Askina Calgitrol Paste dressing</v>
          </cell>
        </row>
        <row r="131">
          <cell r="E131" t="str">
            <v>10cm x 12.5cm rectangular</v>
          </cell>
        </row>
        <row r="132">
          <cell r="E132" t="str">
            <v>15cm x 15cm square</v>
          </cell>
        </row>
        <row r="133">
          <cell r="E133" t="str">
            <v>5cm x 5cm square</v>
          </cell>
        </row>
        <row r="134">
          <cell r="E134" t="str">
            <v>10cm x 10cm square</v>
          </cell>
        </row>
        <row r="135">
          <cell r="E135" t="str">
            <v>10cm x 20cm rectangular</v>
          </cell>
        </row>
        <row r="136">
          <cell r="E136" t="str">
            <v>20cm x 40cm rectangular</v>
          </cell>
        </row>
        <row r="137">
          <cell r="E137" t="str">
            <v>5cm x 5cm square</v>
          </cell>
        </row>
        <row r="138">
          <cell r="E138" t="str">
            <v>10cm x 10cm square</v>
          </cell>
        </row>
        <row r="139">
          <cell r="E139" t="str">
            <v>10cm x 20cm rectangular</v>
          </cell>
        </row>
        <row r="140">
          <cell r="E140" t="str">
            <v>20cm x 40cm rectangular</v>
          </cell>
        </row>
        <row r="141">
          <cell r="E141" t="str">
            <v>5cm x 5cm square</v>
          </cell>
        </row>
        <row r="142">
          <cell r="E142" t="str">
            <v>10cm x 12.5cm rectangular</v>
          </cell>
        </row>
        <row r="143">
          <cell r="E143" t="str">
            <v>15cm x 15cm square</v>
          </cell>
        </row>
        <row r="144">
          <cell r="E144" t="str">
            <v>5cm x 5cm square</v>
          </cell>
        </row>
        <row r="145">
          <cell r="E145" t="str">
            <v>10cm x 10cm square</v>
          </cell>
        </row>
        <row r="146">
          <cell r="E146" t="str">
            <v xml:space="preserve"> 5cm x 5cm square</v>
          </cell>
        </row>
        <row r="147">
          <cell r="E147" t="str">
            <v>10.5cm x 10.5cm</v>
          </cell>
        </row>
        <row r="148">
          <cell r="E148" t="str">
            <v>10.5cm x 19cm</v>
          </cell>
        </row>
        <row r="149">
          <cell r="E149" t="str">
            <v>6.5cm x 9.5cm</v>
          </cell>
        </row>
        <row r="150">
          <cell r="E150" t="str">
            <v>10cm x 10cm</v>
          </cell>
        </row>
        <row r="151">
          <cell r="E151" t="str">
            <v>10cm x 20cm</v>
          </cell>
        </row>
        <row r="152">
          <cell r="E152" t="str">
            <v>5cm x 5cm</v>
          </cell>
        </row>
        <row r="153">
          <cell r="E153" t="str">
            <v>10cm x 12.5cm rectangular</v>
          </cell>
        </row>
        <row r="154">
          <cell r="E154" t="str">
            <v>15cm x 15cm square</v>
          </cell>
        </row>
        <row r="155">
          <cell r="E155" t="str">
            <v>20cm x 40cm rectangular</v>
          </cell>
        </row>
        <row r="156">
          <cell r="E156" t="str">
            <v>5cm x 5cm square</v>
          </cell>
        </row>
        <row r="157">
          <cell r="E157" t="str">
            <v>123 square cm</v>
          </cell>
        </row>
        <row r="158">
          <cell r="E158" t="str">
            <v>28 square cm</v>
          </cell>
        </row>
        <row r="159">
          <cell r="E159" t="str">
            <v>10cm x 10cm square</v>
          </cell>
        </row>
        <row r="160">
          <cell r="E160" t="str">
            <v>5cm x 5cm square</v>
          </cell>
        </row>
        <row r="161">
          <cell r="E161" t="str">
            <v>Iodoflex paste dressing</v>
          </cell>
        </row>
        <row r="162">
          <cell r="E162" t="str">
            <v>Iodosorb ointment dressing</v>
          </cell>
        </row>
        <row r="163">
          <cell r="E163" t="str">
            <v>Iodosorb powder dressing sachets</v>
          </cell>
        </row>
        <row r="164">
          <cell r="E164" t="str">
            <v>5cm x 5cm</v>
          </cell>
        </row>
        <row r="165">
          <cell r="E165" t="str">
            <v>9.5cm x 9.5cm</v>
          </cell>
        </row>
        <row r="166">
          <cell r="E166" t="str">
            <v>5cm x 5cm</v>
          </cell>
        </row>
        <row r="167">
          <cell r="E167" t="str">
            <v>9.5cm x 9.5cm</v>
          </cell>
        </row>
        <row r="168">
          <cell r="E168" t="str">
            <v>10cm x 10cm square</v>
          </cell>
        </row>
        <row r="169">
          <cell r="E169" t="str">
            <v>5cm x 5cm square</v>
          </cell>
        </row>
        <row r="170">
          <cell r="E170" t="str">
            <v>10cm x 10cm</v>
          </cell>
        </row>
        <row r="171">
          <cell r="E171" t="str">
            <v>5cm x 5cm</v>
          </cell>
        </row>
        <row r="172">
          <cell r="E172" t="str">
            <v>10cm x 10cm</v>
          </cell>
        </row>
        <row r="173">
          <cell r="E173" t="str">
            <v>5cm x 5cm</v>
          </cell>
        </row>
        <row r="174">
          <cell r="E174" t="str">
            <v>10cm x 10cm</v>
          </cell>
        </row>
        <row r="175">
          <cell r="E175" t="str">
            <v>5cm x 5cm</v>
          </cell>
        </row>
        <row r="176">
          <cell r="E176" t="str">
            <v>10cm x 10cm</v>
          </cell>
        </row>
        <row r="177">
          <cell r="E177" t="str">
            <v xml:space="preserve"> 5cm x 5cm</v>
          </cell>
        </row>
        <row r="178">
          <cell r="E178" t="str">
            <v>11cm x 11cm square</v>
          </cell>
        </row>
        <row r="179">
          <cell r="E179" t="str">
            <v>20cm x 20cm square</v>
          </cell>
        </row>
        <row r="180">
          <cell r="E180" t="str">
            <v>20cm x 30cm rectangular</v>
          </cell>
        </row>
        <row r="181">
          <cell r="E181" t="str">
            <v>6cm x 6cm square</v>
          </cell>
        </row>
        <row r="182">
          <cell r="E182" t="str">
            <v>11cm x 11cm square</v>
          </cell>
        </row>
        <row r="183">
          <cell r="E183" t="str">
            <v>15cm x 15cm square</v>
          </cell>
        </row>
        <row r="184">
          <cell r="E184" t="str">
            <v>7.5cm x 20cm</v>
          </cell>
        </row>
        <row r="185">
          <cell r="E185" t="str">
            <v>Actibalm dressing</v>
          </cell>
        </row>
        <row r="186">
          <cell r="E186" t="str">
            <v>Activon Medical Grade Manuka Honey dressing</v>
          </cell>
        </row>
        <row r="187">
          <cell r="E187" t="str">
            <v>L-Mesitran ointment dressing</v>
          </cell>
        </row>
        <row r="188">
          <cell r="E188" t="str">
            <v>L-Mesitran SOFT ointment dressing</v>
          </cell>
        </row>
        <row r="189">
          <cell r="E189" t="str">
            <v>Manuka Fill dressing</v>
          </cell>
        </row>
        <row r="190">
          <cell r="E190" t="str">
            <v>MANUKApli dressing</v>
          </cell>
        </row>
        <row r="191">
          <cell r="E191" t="str">
            <v>Medihoney Antibacterial Medical Honey dressing</v>
          </cell>
        </row>
        <row r="192">
          <cell r="E192" t="str">
            <v>Medihoney Antibacterial Wound Gel dressing</v>
          </cell>
        </row>
        <row r="193">
          <cell r="E193" t="str">
            <v>Melloxy dressing</v>
          </cell>
        </row>
        <row r="194">
          <cell r="E194" t="str">
            <v>Revamil Balm 2g sachet</v>
          </cell>
        </row>
        <row r="195">
          <cell r="E195" t="str">
            <v>Revamil Balm dressing</v>
          </cell>
        </row>
        <row r="196">
          <cell r="E196" t="str">
            <v>Revamil Wound Gel dressing</v>
          </cell>
        </row>
        <row r="197">
          <cell r="E197" t="str">
            <v>SurgihoneyRO dressing</v>
          </cell>
        </row>
        <row r="198">
          <cell r="E198" t="str">
            <v>10cm x 10cm square</v>
          </cell>
        </row>
        <row r="199">
          <cell r="E199" t="str">
            <v>10cm x 10cm square</v>
          </cell>
        </row>
        <row r="200">
          <cell r="E200" t="str">
            <v>10cm x 10cm square</v>
          </cell>
        </row>
        <row r="201">
          <cell r="E201" t="str">
            <v>10cm x 10cm</v>
          </cell>
        </row>
        <row r="202">
          <cell r="E202" t="str">
            <v>10cm x 20cm</v>
          </cell>
        </row>
        <row r="203">
          <cell r="E203" t="str">
            <v>20cm x 30cm</v>
          </cell>
        </row>
        <row r="204">
          <cell r="E204" t="str">
            <v>30cm x 30cm</v>
          </cell>
        </row>
        <row r="205">
          <cell r="E205" t="str">
            <v>30cm x 60cm</v>
          </cell>
        </row>
        <row r="206">
          <cell r="E206" t="str">
            <v>5cm x 5cm</v>
          </cell>
        </row>
        <row r="207">
          <cell r="E207" t="str">
            <v>10cm x 10cm</v>
          </cell>
        </row>
        <row r="208">
          <cell r="E208" t="str">
            <v>5cm x 5cm</v>
          </cell>
        </row>
        <row r="209">
          <cell r="E209" t="str">
            <v>10cm x10cm</v>
          </cell>
        </row>
        <row r="210">
          <cell r="E210" t="str">
            <v>5cm x 5cm</v>
          </cell>
        </row>
        <row r="211">
          <cell r="E211" t="str">
            <v>10cm x 10cm</v>
          </cell>
        </row>
        <row r="212">
          <cell r="E212" t="str">
            <v>10cm x 20cm</v>
          </cell>
        </row>
        <row r="213">
          <cell r="E213" t="str">
            <v>5cm x 5cm</v>
          </cell>
        </row>
        <row r="214">
          <cell r="E214" t="str">
            <v>8cm x 8cm</v>
          </cell>
        </row>
        <row r="215">
          <cell r="E215" t="str">
            <v>5cm x 5cm square</v>
          </cell>
        </row>
        <row r="216">
          <cell r="E216" t="str">
            <v>10cm x 10cm</v>
          </cell>
        </row>
        <row r="217">
          <cell r="E217" t="str">
            <v>5cm x 5cm</v>
          </cell>
        </row>
        <row r="218">
          <cell r="E218" t="str">
            <v>10cm x 12cm</v>
          </cell>
        </row>
        <row r="219">
          <cell r="E219" t="str">
            <v>10cm x 20cm</v>
          </cell>
        </row>
        <row r="220">
          <cell r="E220" t="str">
            <v>5cm x 6cm</v>
          </cell>
        </row>
        <row r="221">
          <cell r="E221" t="str">
            <v>10cm x 10cm</v>
          </cell>
        </row>
        <row r="222">
          <cell r="E222" t="str">
            <v>10cm x 25cm</v>
          </cell>
        </row>
        <row r="223">
          <cell r="E223" t="str">
            <v>10cm x 10cm square</v>
          </cell>
        </row>
        <row r="224">
          <cell r="E224" t="str">
            <v>10cm x 20cm rectangular</v>
          </cell>
        </row>
        <row r="225">
          <cell r="E225" t="str">
            <v>15cm x 15cm square</v>
          </cell>
        </row>
        <row r="226">
          <cell r="E226" t="str">
            <v>20cm x 20cm square</v>
          </cell>
        </row>
        <row r="227">
          <cell r="E227" t="str">
            <v>5cm x 5cm square</v>
          </cell>
        </row>
        <row r="228">
          <cell r="E228" t="str">
            <v>7.5cm x 7.5cm square</v>
          </cell>
        </row>
        <row r="229">
          <cell r="E229" t="str">
            <v>10cm x 10cm</v>
          </cell>
        </row>
        <row r="230">
          <cell r="E230" t="str">
            <v>10cm x 20cm</v>
          </cell>
        </row>
        <row r="231">
          <cell r="E231" t="str">
            <v>12.5cm x 12.5cm</v>
          </cell>
        </row>
        <row r="232">
          <cell r="E232" t="str">
            <v>15cm x 15cm</v>
          </cell>
        </row>
        <row r="233">
          <cell r="E233" t="str">
            <v>20cm x 20cm</v>
          </cell>
        </row>
        <row r="234">
          <cell r="E234" t="str">
            <v>8cm x 8cm</v>
          </cell>
        </row>
        <row r="235">
          <cell r="E235" t="str">
            <v>10cm x 10cm square</v>
          </cell>
        </row>
        <row r="236">
          <cell r="E236" t="str">
            <v>10cm x 20cm rectangular</v>
          </cell>
        </row>
        <row r="237">
          <cell r="E237" t="str">
            <v>15cm x 15cm square</v>
          </cell>
        </row>
        <row r="238">
          <cell r="E238" t="str">
            <v>2.5cm (4mm hole) (fenestrated) disc</v>
          </cell>
        </row>
        <row r="239">
          <cell r="E239" t="str">
            <v>2.5cm (7mm hole) (fenestrated) disc</v>
          </cell>
        </row>
        <row r="240">
          <cell r="E240" t="str">
            <v>20cm x 20cm square</v>
          </cell>
        </row>
        <row r="241">
          <cell r="E241" t="str">
            <v>5cm x 5cm square</v>
          </cell>
        </row>
        <row r="242">
          <cell r="E242" t="str">
            <v>8.8cm x 7.5cm rectangular (fenestrated)</v>
          </cell>
        </row>
        <row r="243">
          <cell r="E243" t="str">
            <v>10cm x 10cm square</v>
          </cell>
        </row>
        <row r="244">
          <cell r="E244" t="str">
            <v xml:space="preserve"> 8.8cm x 7.5cm rectangular (fenestrated)</v>
          </cell>
        </row>
        <row r="245">
          <cell r="E245" t="str">
            <v>10cm x 12.5cm</v>
          </cell>
        </row>
        <row r="246">
          <cell r="E246" t="str">
            <v>30cm x 30cm</v>
          </cell>
        </row>
        <row r="247">
          <cell r="E247" t="str">
            <v>30cm x 60cm</v>
          </cell>
        </row>
        <row r="248">
          <cell r="E248" t="str">
            <v>7.5cm x 7.5cm</v>
          </cell>
        </row>
        <row r="249">
          <cell r="E249" t="str">
            <v>Prontosan Wound Gel gel dressing</v>
          </cell>
        </row>
        <row r="250">
          <cell r="E250" t="str">
            <v>Prontosan Wound Gel X dressing</v>
          </cell>
        </row>
        <row r="251">
          <cell r="E251" t="str">
            <v>10cm x 10cm square</v>
          </cell>
        </row>
        <row r="252">
          <cell r="E252" t="str">
            <v>14cm x 20cm rectangular</v>
          </cell>
        </row>
        <row r="253">
          <cell r="E253" t="str">
            <v>9cm x 9cm square</v>
          </cell>
        </row>
        <row r="254">
          <cell r="E254" t="str">
            <v>5cm x 5cm square</v>
          </cell>
        </row>
        <row r="255">
          <cell r="E255" t="str">
            <v>11.4cm x 3.7m</v>
          </cell>
        </row>
        <row r="256">
          <cell r="E256" t="str">
            <v>15.2cm x 17.1cm</v>
          </cell>
        </row>
        <row r="257">
          <cell r="E257" t="str">
            <v>10cm x 10cm</v>
          </cell>
        </row>
        <row r="258">
          <cell r="E258" t="str">
            <v>10cm x 20cm</v>
          </cell>
        </row>
        <row r="259">
          <cell r="E259" t="str">
            <v>15cm x 15cm</v>
          </cell>
        </row>
        <row r="260">
          <cell r="E260" t="str">
            <v>5cm x 6.5cm</v>
          </cell>
        </row>
        <row r="261">
          <cell r="E261" t="str">
            <v>14cm x 14cm</v>
          </cell>
        </row>
        <row r="262">
          <cell r="E262" t="str">
            <v>14cm x 24cm</v>
          </cell>
        </row>
        <row r="263">
          <cell r="E263" t="str">
            <v>19cm x 19cm</v>
          </cell>
        </row>
        <row r="264">
          <cell r="E264" t="str">
            <v>24cm x 24cm</v>
          </cell>
        </row>
        <row r="265">
          <cell r="E265" t="str">
            <v>7cm x 8.5cm</v>
          </cell>
        </row>
        <row r="266">
          <cell r="E266" t="str">
            <v>7.5cm x 15cm rectangular</v>
          </cell>
        </row>
        <row r="267">
          <cell r="E267" t="str">
            <v>7.5cm x 7.5cm square</v>
          </cell>
        </row>
        <row r="268">
          <cell r="E268" t="str">
            <v>12.5cm x 12.5cm</v>
          </cell>
        </row>
        <row r="269">
          <cell r="E269" t="str">
            <v>15cm x 15cm</v>
          </cell>
        </row>
        <row r="270">
          <cell r="E270" t="str">
            <v>17.5cm x 17.5cm</v>
          </cell>
        </row>
        <row r="271">
          <cell r="E271" t="str">
            <v>22.5cm x 22.5cm</v>
          </cell>
        </row>
        <row r="272">
          <cell r="E272" t="str">
            <v>7.5cm x 7.5cm</v>
          </cell>
        </row>
        <row r="273">
          <cell r="E273" t="str">
            <v>10cm x 10cm</v>
          </cell>
        </row>
        <row r="274">
          <cell r="E274" t="str">
            <v>10cm x 20cm</v>
          </cell>
        </row>
        <row r="275">
          <cell r="E275" t="str">
            <v>7cm x 9cm</v>
          </cell>
        </row>
        <row r="276">
          <cell r="E276" t="str">
            <v>4cm x 6cm</v>
          </cell>
        </row>
        <row r="277">
          <cell r="E277" t="str">
            <v>7cm x 9cm</v>
          </cell>
        </row>
        <row r="278">
          <cell r="E278" t="str">
            <v>10cm x 10cm square</v>
          </cell>
        </row>
        <row r="279">
          <cell r="E279" t="str">
            <v>10cm x 20cm rectangular</v>
          </cell>
        </row>
        <row r="280">
          <cell r="E280" t="str">
            <v>20cm x 20cm square</v>
          </cell>
        </row>
        <row r="281">
          <cell r="E281" t="str">
            <v>20cm x 30cm rectangular</v>
          </cell>
        </row>
        <row r="282">
          <cell r="E282" t="str">
            <v>Flaminal Forte gel dressing</v>
          </cell>
        </row>
        <row r="283">
          <cell r="E283" t="str">
            <v>Flaminal Hydro gel dressing</v>
          </cell>
        </row>
        <row r="284">
          <cell r="E284" t="str">
            <v>10cm x 10cm square</v>
          </cell>
        </row>
        <row r="285">
          <cell r="E285" t="str">
            <v>15cm x 15cm square</v>
          </cell>
        </row>
        <row r="286">
          <cell r="E286" t="str">
            <v>2.5cm x 45cm rectangular</v>
          </cell>
        </row>
        <row r="287">
          <cell r="E287" t="str">
            <v>4cm x 10cm rectangular</v>
          </cell>
        </row>
        <row r="288">
          <cell r="E288" t="str">
            <v>4cm x 20cm rectangular</v>
          </cell>
        </row>
        <row r="289">
          <cell r="E289" t="str">
            <v>5cm x 5cm square</v>
          </cell>
        </row>
        <row r="290">
          <cell r="E290" t="str">
            <v>10cm x 10cm square</v>
          </cell>
        </row>
        <row r="291">
          <cell r="E291" t="str">
            <v>15cm x 15cm square</v>
          </cell>
        </row>
        <row r="292">
          <cell r="E292" t="str">
            <v>2.5cm x 30cm rectangular</v>
          </cell>
        </row>
        <row r="293">
          <cell r="E293" t="str">
            <v>5cm x 5cm square</v>
          </cell>
        </row>
        <row r="294">
          <cell r="E294" t="str">
            <v>Octenilin Wound Gel dressing</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1"/>
      <sheetName val="Market share by agent"/>
      <sheetName val="Sheet1"/>
      <sheetName val="Market share by supplier"/>
      <sheetName val="EAG matched data clean"/>
      <sheetName val="Based on items rather than QTY"/>
      <sheetName val="SNOMED_Codes (2)"/>
      <sheetName val="PCA listing"/>
      <sheetName val="Pivot updated"/>
      <sheetName val="Sheet7"/>
      <sheetName val="EAG&amp;PCA analysis"/>
      <sheetName val="price selecting tool"/>
      <sheetName val="Sheet4"/>
      <sheetName val="Apendix H ex EAG report"/>
      <sheetName val="Based on CPRD data"/>
      <sheetName val="Pivot"/>
      <sheetName val="CPRD exc discontinued "/>
      <sheetName val="AMDs based on PCA "/>
    </sheetNames>
    <sheetDataSet>
      <sheetData sheetId="0" refreshError="1"/>
      <sheetData sheetId="1">
        <row r="4">
          <cell r="A4" t="str">
            <v>Chitosan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7">
          <cell r="A27">
            <v>4</v>
          </cell>
        </row>
        <row r="28">
          <cell r="A28">
            <v>5</v>
          </cell>
        </row>
        <row r="29">
          <cell r="A29">
            <v>6</v>
          </cell>
        </row>
        <row r="30">
          <cell r="A30">
            <v>7</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pulation selection"/>
      <sheetName val="Uptake phasing"/>
      <sheetName val="Cover"/>
      <sheetName val="Contents"/>
      <sheetName val="Inputs and population"/>
      <sheetName val="Capacity inputs"/>
      <sheetName val="Events"/>
      <sheetName val="Unit costs"/>
      <sheetName val="Summary"/>
      <sheetName val="Financial impact (cash)"/>
      <sheetName val="Capacity (local prices)"/>
      <sheetName val="Capacity (national prices)"/>
      <sheetName val="payscal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M12">
            <v>21.36</v>
          </cell>
        </row>
        <row r="13">
          <cell r="M13">
            <v>21.36</v>
          </cell>
        </row>
        <row r="14">
          <cell r="M14">
            <v>21.78</v>
          </cell>
        </row>
        <row r="15">
          <cell r="M15">
            <v>23.27</v>
          </cell>
        </row>
        <row r="16">
          <cell r="M16">
            <v>24.06</v>
          </cell>
        </row>
        <row r="17">
          <cell r="M17">
            <v>26.45</v>
          </cell>
        </row>
        <row r="18">
          <cell r="M18">
            <v>27.24</v>
          </cell>
        </row>
        <row r="19">
          <cell r="M19">
            <v>29.42</v>
          </cell>
        </row>
        <row r="20">
          <cell r="M20">
            <v>33.26</v>
          </cell>
        </row>
        <row r="21">
          <cell r="M21">
            <v>34.06</v>
          </cell>
        </row>
        <row r="22">
          <cell r="M22">
            <v>35.97</v>
          </cell>
        </row>
        <row r="23">
          <cell r="M23">
            <v>41.11</v>
          </cell>
        </row>
        <row r="24">
          <cell r="M24">
            <v>42.2</v>
          </cell>
        </row>
        <row r="25">
          <cell r="M25">
            <v>44.4</v>
          </cell>
        </row>
        <row r="26">
          <cell r="M26">
            <v>48.37</v>
          </cell>
        </row>
        <row r="27">
          <cell r="M27">
            <v>49.24</v>
          </cell>
        </row>
        <row r="28">
          <cell r="M28">
            <v>51.74</v>
          </cell>
        </row>
        <row r="29">
          <cell r="M29">
            <v>55.48</v>
          </cell>
        </row>
        <row r="30">
          <cell r="M30">
            <v>57.07</v>
          </cell>
        </row>
        <row r="31">
          <cell r="M31">
            <v>60.79</v>
          </cell>
        </row>
        <row r="32">
          <cell r="M32">
            <v>66.39</v>
          </cell>
        </row>
        <row r="33">
          <cell r="M33">
            <v>68.239999999999995</v>
          </cell>
        </row>
        <row r="34">
          <cell r="M34">
            <v>72.42</v>
          </cell>
        </row>
        <row r="35">
          <cell r="M35">
            <v>78.7</v>
          </cell>
        </row>
        <row r="36">
          <cell r="M36">
            <v>81.069999999999993</v>
          </cell>
        </row>
        <row r="37">
          <cell r="M37">
            <v>86.07</v>
          </cell>
        </row>
        <row r="38">
          <cell r="M38">
            <v>93.57</v>
          </cell>
        </row>
        <row r="39">
          <cell r="M39">
            <v>97</v>
          </cell>
        </row>
        <row r="40">
          <cell r="M40">
            <v>102.87</v>
          </cell>
        </row>
        <row r="41">
          <cell r="M41">
            <v>111.69</v>
          </cell>
        </row>
        <row r="42">
          <cell r="M42">
            <v>47.91</v>
          </cell>
        </row>
        <row r="43">
          <cell r="M43">
            <v>60.19</v>
          </cell>
        </row>
        <row r="44">
          <cell r="M44">
            <v>72.48</v>
          </cell>
        </row>
        <row r="45">
          <cell r="M45">
            <v>110.52</v>
          </cell>
        </row>
        <row r="46">
          <cell r="M46">
            <v>127.43</v>
          </cell>
        </row>
        <row r="47">
          <cell r="M47">
            <v>146.71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theme="1"/>
    <pageSetUpPr fitToPage="1"/>
  </sheetPr>
  <dimension ref="A2:E25"/>
  <sheetViews>
    <sheetView showGridLines="0" tabSelected="1" zoomScale="80" zoomScaleNormal="80" zoomScaleSheetLayoutView="80" workbookViewId="0">
      <selection activeCell="C25" sqref="C25"/>
    </sheetView>
  </sheetViews>
  <sheetFormatPr defaultRowHeight="14.5" x14ac:dyDescent="0.35"/>
  <cols>
    <col min="1" max="1" width="1.81640625" customWidth="1"/>
    <col min="2" max="2" width="31.54296875" customWidth="1"/>
    <col min="3" max="3" width="89.1796875" customWidth="1"/>
    <col min="4" max="4" width="2.81640625" customWidth="1"/>
    <col min="5" max="5" width="1.54296875" customWidth="1"/>
    <col min="6" max="6" width="1.453125" customWidth="1"/>
    <col min="11" max="11" width="31" customWidth="1"/>
  </cols>
  <sheetData>
    <row r="2" spans="1:5" x14ac:dyDescent="0.35">
      <c r="A2" s="12"/>
      <c r="B2" s="18"/>
      <c r="C2" s="18"/>
      <c r="D2" s="18"/>
      <c r="E2" s="5"/>
    </row>
    <row r="3" spans="1:5" x14ac:dyDescent="0.35">
      <c r="A3" s="7"/>
      <c r="E3" s="6"/>
    </row>
    <row r="4" spans="1:5" x14ac:dyDescent="0.35">
      <c r="A4" s="7"/>
      <c r="E4" s="6"/>
    </row>
    <row r="5" spans="1:5" x14ac:dyDescent="0.35">
      <c r="A5" s="7"/>
      <c r="E5" s="6"/>
    </row>
    <row r="6" spans="1:5" x14ac:dyDescent="0.35">
      <c r="A6" s="7"/>
      <c r="B6" s="13"/>
      <c r="C6" s="13"/>
      <c r="D6" s="13"/>
      <c r="E6" s="6"/>
    </row>
    <row r="7" spans="1:5" ht="31" x14ac:dyDescent="0.7">
      <c r="A7" s="7"/>
      <c r="B7" s="14" t="s">
        <v>0</v>
      </c>
      <c r="C7" s="13"/>
      <c r="D7" s="13"/>
      <c r="E7" s="6"/>
    </row>
    <row r="8" spans="1:5" x14ac:dyDescent="0.35">
      <c r="A8" s="7"/>
      <c r="B8" s="13"/>
      <c r="C8" s="13"/>
      <c r="D8" s="13"/>
      <c r="E8" s="6"/>
    </row>
    <row r="9" spans="1:5" x14ac:dyDescent="0.35">
      <c r="A9" s="7"/>
      <c r="E9" s="6"/>
    </row>
    <row r="10" spans="1:5" ht="31" x14ac:dyDescent="0.7">
      <c r="A10" s="7"/>
      <c r="B10" s="30" t="s">
        <v>104</v>
      </c>
      <c r="E10" s="6"/>
    </row>
    <row r="11" spans="1:5" ht="39.65" customHeight="1" x14ac:dyDescent="0.35">
      <c r="A11" s="7"/>
      <c r="B11" s="19" t="s">
        <v>113</v>
      </c>
      <c r="E11" s="6"/>
    </row>
    <row r="12" spans="1:5" ht="31" x14ac:dyDescent="0.35">
      <c r="A12" s="7"/>
      <c r="B12" s="19" t="s">
        <v>112</v>
      </c>
      <c r="E12" s="6"/>
    </row>
    <row r="13" spans="1:5" ht="31" x14ac:dyDescent="0.35">
      <c r="A13" s="7"/>
      <c r="B13" s="19"/>
      <c r="E13" s="6"/>
    </row>
    <row r="14" spans="1:5" ht="31" x14ac:dyDescent="0.7">
      <c r="A14" s="7"/>
      <c r="B14" s="15" t="s">
        <v>148</v>
      </c>
      <c r="C14" s="16"/>
      <c r="E14" s="6"/>
    </row>
    <row r="15" spans="1:5" ht="31" x14ac:dyDescent="0.7">
      <c r="A15" s="7"/>
      <c r="C15" s="16"/>
      <c r="E15" s="6"/>
    </row>
    <row r="16" spans="1:5" ht="31" x14ac:dyDescent="0.7">
      <c r="A16" s="7"/>
      <c r="B16" s="19" t="s">
        <v>120</v>
      </c>
      <c r="C16" s="16"/>
      <c r="E16" s="6"/>
    </row>
    <row r="17" spans="1:5" ht="31" x14ac:dyDescent="0.7">
      <c r="A17" s="7"/>
      <c r="C17" s="16"/>
      <c r="E17" s="6"/>
    </row>
    <row r="18" spans="1:5" x14ac:dyDescent="0.35">
      <c r="A18" s="7"/>
      <c r="E18" s="6"/>
    </row>
    <row r="19" spans="1:5" x14ac:dyDescent="0.35">
      <c r="A19" s="7"/>
      <c r="B19" s="2" t="s">
        <v>1</v>
      </c>
      <c r="C19" s="83" t="s">
        <v>90</v>
      </c>
      <c r="E19" s="6"/>
    </row>
    <row r="20" spans="1:5" x14ac:dyDescent="0.35">
      <c r="A20" s="7"/>
      <c r="B20" s="2" t="s">
        <v>2</v>
      </c>
      <c r="C20" s="85" t="s">
        <v>91</v>
      </c>
      <c r="E20" s="6"/>
    </row>
    <row r="21" spans="1:5" x14ac:dyDescent="0.35">
      <c r="A21" s="7"/>
      <c r="B21" s="2" t="s">
        <v>6</v>
      </c>
      <c r="C21" s="84" t="s">
        <v>94</v>
      </c>
      <c r="E21" s="6"/>
    </row>
    <row r="22" spans="1:5" x14ac:dyDescent="0.35">
      <c r="A22" s="7"/>
      <c r="B22" s="2" t="s">
        <v>3</v>
      </c>
      <c r="C22" s="70" t="s">
        <v>92</v>
      </c>
      <c r="E22" s="6"/>
    </row>
    <row r="23" spans="1:5" x14ac:dyDescent="0.35">
      <c r="A23" s="7"/>
      <c r="B23" s="2" t="s">
        <v>5</v>
      </c>
      <c r="C23" s="70" t="s">
        <v>93</v>
      </c>
      <c r="E23" s="6"/>
    </row>
    <row r="24" spans="1:5" x14ac:dyDescent="0.35">
      <c r="A24" s="7"/>
      <c r="B24" s="2" t="s">
        <v>4</v>
      </c>
      <c r="C24" s="71" t="s">
        <v>150</v>
      </c>
      <c r="E24" s="6"/>
    </row>
    <row r="25" spans="1:5" x14ac:dyDescent="0.35">
      <c r="A25" s="8"/>
      <c r="B25" s="9"/>
      <c r="C25" s="9"/>
      <c r="D25" s="9"/>
      <c r="E25" s="10"/>
    </row>
  </sheetData>
  <sheetProtection algorithmName="SHA-512" hashValue="oEwQYbHOPSdKUXYA5FSxqXCKXKyA3KCIqtrcpNFvQFRLBUU3OVZFdyna4UsNZcnikJRrv4aBy9ULKU+fv6ZXyg==" saltValue="nM1DZ69FC3vI1nN/+c4/TQ==" spinCount="100000" sheet="1" objects="1" scenarios="1"/>
  <pageMargins left="0.23622047244094491" right="0.23622047244094491" top="0.74803149606299213" bottom="0.74803149606299213" header="0.31496062992125984" footer="0.31496062992125984"/>
  <pageSetup paperSize="9" scale="77" fitToHeight="0" orientation="portrait" verticalDpi="300" r:id="rId1"/>
  <headerFooter>
    <oddHeader>&amp;R&amp;G</oddHeader>
    <oddFooter>&amp;CDraft.  Subject to change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9DD8-E21E-4ADD-A4D5-97E78444301E}">
  <sheetPr codeName="Sheet3">
    <tabColor theme="1"/>
    <pageSetUpPr fitToPage="1"/>
  </sheetPr>
  <dimension ref="A1:S19"/>
  <sheetViews>
    <sheetView showGridLines="0" zoomScale="80" zoomScaleNormal="80" zoomScaleSheetLayoutView="80" workbookViewId="0"/>
  </sheetViews>
  <sheetFormatPr defaultRowHeight="14.5" x14ac:dyDescent="0.35"/>
  <cols>
    <col min="1" max="1" width="25.81640625" style="67" customWidth="1"/>
    <col min="2" max="2" width="1.81640625" customWidth="1"/>
    <col min="3" max="3" width="100.453125" customWidth="1"/>
  </cols>
  <sheetData>
    <row r="1" spans="1:19" ht="26" x14ac:dyDescent="0.6">
      <c r="A1" s="115" t="s">
        <v>102</v>
      </c>
      <c r="B1" s="116"/>
      <c r="C1" s="116"/>
    </row>
    <row r="3" spans="1:19" ht="60" customHeight="1" x14ac:dyDescent="0.35">
      <c r="A3" s="117" t="s">
        <v>97</v>
      </c>
      <c r="B3" s="73"/>
      <c r="C3" s="80" t="s">
        <v>141</v>
      </c>
    </row>
    <row r="4" spans="1:19" x14ac:dyDescent="0.35">
      <c r="A4" s="79"/>
      <c r="C4" s="6"/>
    </row>
    <row r="5" spans="1:19" ht="90.75" customHeight="1" x14ac:dyDescent="0.35">
      <c r="A5" s="117" t="s">
        <v>98</v>
      </c>
      <c r="B5" s="74"/>
      <c r="C5" s="80" t="s">
        <v>146</v>
      </c>
    </row>
    <row r="6" spans="1:19" x14ac:dyDescent="0.35">
      <c r="A6" s="79"/>
      <c r="C6" s="6"/>
    </row>
    <row r="7" spans="1:19" ht="60" customHeight="1" x14ac:dyDescent="0.35">
      <c r="A7" s="117" t="s">
        <v>99</v>
      </c>
      <c r="B7" s="74"/>
      <c r="C7" s="135" t="s">
        <v>123</v>
      </c>
    </row>
    <row r="8" spans="1:19" x14ac:dyDescent="0.35">
      <c r="A8" s="79"/>
      <c r="C8" s="6"/>
    </row>
    <row r="9" spans="1:19" ht="105" customHeight="1" x14ac:dyDescent="0.35">
      <c r="A9" s="117" t="s">
        <v>100</v>
      </c>
      <c r="B9" s="73"/>
      <c r="C9" s="80" t="s">
        <v>142</v>
      </c>
    </row>
    <row r="10" spans="1:19" x14ac:dyDescent="0.35">
      <c r="A10" s="79"/>
      <c r="C10" s="6"/>
    </row>
    <row r="11" spans="1:19" ht="42" customHeight="1" x14ac:dyDescent="0.35">
      <c r="A11" s="118"/>
      <c r="B11" s="116"/>
      <c r="C11" s="119" t="s">
        <v>119</v>
      </c>
      <c r="E11" s="166"/>
      <c r="F11" s="166"/>
      <c r="G11" s="166"/>
      <c r="H11" s="166"/>
      <c r="I11" s="166"/>
      <c r="J11" s="166"/>
      <c r="K11" s="166"/>
      <c r="L11" s="166"/>
      <c r="M11" s="166"/>
      <c r="N11" s="166"/>
      <c r="O11" s="166"/>
      <c r="P11" s="166"/>
      <c r="Q11" s="166"/>
      <c r="R11" s="166"/>
      <c r="S11" s="166"/>
    </row>
    <row r="12" spans="1:19" x14ac:dyDescent="0.35">
      <c r="A12" s="79"/>
      <c r="C12" s="93"/>
    </row>
    <row r="13" spans="1:19" ht="105" customHeight="1" x14ac:dyDescent="0.35">
      <c r="A13" s="114" t="s">
        <v>124</v>
      </c>
      <c r="B13" s="75"/>
      <c r="C13" s="72" t="s">
        <v>143</v>
      </c>
    </row>
    <row r="14" spans="1:19" ht="112.25" customHeight="1" x14ac:dyDescent="0.35">
      <c r="A14" s="114" t="s">
        <v>121</v>
      </c>
      <c r="C14" s="80" t="s">
        <v>144</v>
      </c>
    </row>
    <row r="15" spans="1:19" ht="108" customHeight="1" x14ac:dyDescent="0.35">
      <c r="A15" s="114" t="s">
        <v>122</v>
      </c>
      <c r="C15" s="72" t="s">
        <v>134</v>
      </c>
    </row>
    <row r="16" spans="1:19" x14ac:dyDescent="0.35">
      <c r="A16" s="79"/>
      <c r="C16" s="6"/>
    </row>
    <row r="17" spans="1:3" ht="80.150000000000006" customHeight="1" x14ac:dyDescent="0.35">
      <c r="A17" s="76" t="s">
        <v>136</v>
      </c>
      <c r="C17" s="80" t="s">
        <v>145</v>
      </c>
    </row>
    <row r="19" spans="1:3" ht="80.150000000000006" customHeight="1" x14ac:dyDescent="0.35">
      <c r="A19" s="114" t="s">
        <v>118</v>
      </c>
      <c r="B19" s="75"/>
      <c r="C19" s="80" t="s">
        <v>147</v>
      </c>
    </row>
  </sheetData>
  <sheetProtection algorithmName="SHA-512" hashValue="GFXG9Td5XFwthA/3kk2yEZh+FJbLO2BQn8QOagd/Jbe54SvppN8CO7xtqPdurTXRzE2HJS7pB3vbMfD4HvAiPQ==" saltValue="dq6nXVBXdVcVbyV+0d4EtA==" spinCount="100000" sheet="1" objects="1" scenarios="1"/>
  <mergeCells count="1">
    <mergeCell ref="E11:S11"/>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F681-0937-46B1-8F99-B70FF13EB45C}">
  <sheetPr codeName="Sheet1">
    <tabColor theme="8" tint="0.59999389629810485"/>
    <pageSetUpPr fitToPage="1"/>
  </sheetPr>
  <dimension ref="A1:W41"/>
  <sheetViews>
    <sheetView showGridLines="0" zoomScale="80" zoomScaleNormal="80" zoomScaleSheetLayoutView="80" workbookViewId="0">
      <selection activeCell="B1" sqref="B1"/>
    </sheetView>
  </sheetViews>
  <sheetFormatPr defaultRowHeight="14.5" x14ac:dyDescent="0.35"/>
  <cols>
    <col min="1" max="1" width="4" style="62" customWidth="1"/>
    <col min="2" max="2" width="35.81640625" style="62" customWidth="1"/>
    <col min="3" max="6" width="14.1796875" customWidth="1"/>
    <col min="7" max="7" width="0.81640625" customWidth="1"/>
    <col min="8" max="11" width="14.1796875" customWidth="1"/>
    <col min="12" max="12" width="0.81640625" customWidth="1"/>
    <col min="13" max="13" width="14.1796875" style="17" customWidth="1"/>
    <col min="14" max="14" width="19" style="17" customWidth="1"/>
    <col min="15" max="15" width="14.1796875" style="63" customWidth="1"/>
    <col min="16" max="19" width="14.1796875" customWidth="1"/>
    <col min="20" max="20" width="0.81640625" customWidth="1"/>
    <col min="21" max="22" width="14.1796875" customWidth="1"/>
    <col min="23" max="23" width="0" hidden="1" customWidth="1"/>
  </cols>
  <sheetData>
    <row r="1" spans="1:22" ht="21" customHeight="1" x14ac:dyDescent="0.35">
      <c r="A1" s="95"/>
      <c r="B1" s="4" t="s">
        <v>131</v>
      </c>
      <c r="C1" s="4"/>
      <c r="D1" s="3"/>
      <c r="E1" s="91"/>
      <c r="F1" s="11"/>
      <c r="G1" s="11"/>
      <c r="H1" s="11"/>
      <c r="I1" s="11"/>
      <c r="J1" s="11"/>
      <c r="K1" s="11"/>
      <c r="L1" s="11"/>
      <c r="M1" s="11"/>
      <c r="N1" s="11"/>
      <c r="O1" s="11"/>
      <c r="P1" s="11"/>
      <c r="Q1" s="11"/>
      <c r="R1" s="11"/>
      <c r="S1" s="11"/>
      <c r="T1" s="11"/>
      <c r="U1" s="11"/>
      <c r="V1" s="11"/>
    </row>
    <row r="2" spans="1:22" ht="15" customHeight="1" x14ac:dyDescent="0.35">
      <c r="A2"/>
      <c r="B2" s="95"/>
      <c r="C2" s="95"/>
      <c r="D2" s="96"/>
      <c r="E2" s="96"/>
      <c r="G2" s="96"/>
      <c r="H2" s="96"/>
      <c r="I2" s="96"/>
      <c r="J2" s="96"/>
      <c r="K2" s="96"/>
      <c r="L2" s="96"/>
      <c r="M2" s="96"/>
      <c r="N2" s="96"/>
      <c r="O2" s="96"/>
      <c r="P2" s="96"/>
      <c r="Q2" s="96"/>
      <c r="R2" s="96"/>
      <c r="S2" s="96"/>
      <c r="T2" s="96"/>
      <c r="U2" s="96"/>
    </row>
    <row r="3" spans="1:22" ht="15" customHeight="1" x14ac:dyDescent="0.35">
      <c r="A3"/>
      <c r="B3" s="131" t="s">
        <v>130</v>
      </c>
      <c r="C3" s="95"/>
      <c r="D3" s="96"/>
      <c r="E3" s="96"/>
      <c r="G3" s="96"/>
      <c r="H3" s="96"/>
      <c r="I3" s="96"/>
      <c r="J3" s="96"/>
      <c r="K3" s="96"/>
      <c r="L3" s="96"/>
      <c r="M3" s="96"/>
      <c r="N3" s="96"/>
      <c r="O3" s="96"/>
      <c r="P3" s="96"/>
      <c r="Q3" s="96"/>
      <c r="R3" s="96"/>
      <c r="S3" s="96"/>
      <c r="T3" s="96"/>
      <c r="U3" s="96"/>
    </row>
    <row r="4" spans="1:22" ht="21.25" customHeight="1" x14ac:dyDescent="0.35">
      <c r="A4"/>
      <c r="B4" s="131" t="s">
        <v>149</v>
      </c>
      <c r="C4" s="95"/>
      <c r="D4" s="96"/>
      <c r="E4" s="96"/>
      <c r="G4" s="96"/>
      <c r="H4" s="96"/>
      <c r="I4" s="96"/>
      <c r="J4" s="96"/>
      <c r="K4" s="96"/>
      <c r="L4" s="96"/>
      <c r="M4" s="96"/>
      <c r="N4" s="96"/>
      <c r="O4" s="96"/>
      <c r="P4" s="96"/>
      <c r="Q4" s="96"/>
      <c r="R4" s="96"/>
      <c r="S4" s="96"/>
      <c r="T4" s="96"/>
      <c r="U4" s="96"/>
    </row>
    <row r="5" spans="1:22" ht="21.25" customHeight="1" x14ac:dyDescent="0.35">
      <c r="A5"/>
      <c r="B5" s="131"/>
      <c r="C5" s="95"/>
      <c r="D5" s="96"/>
      <c r="E5" s="96"/>
      <c r="G5" s="96"/>
      <c r="H5" s="96"/>
      <c r="I5" s="96"/>
      <c r="J5" s="96"/>
      <c r="K5" s="96"/>
      <c r="L5" s="96"/>
      <c r="M5" s="96"/>
      <c r="N5" s="96"/>
      <c r="O5" s="96"/>
      <c r="P5" s="96"/>
      <c r="Q5" s="96"/>
      <c r="R5" s="96"/>
      <c r="S5" s="96"/>
      <c r="T5" s="96"/>
      <c r="U5" s="96"/>
    </row>
    <row r="6" spans="1:22" ht="15.5" x14ac:dyDescent="0.35">
      <c r="A6" s="89"/>
      <c r="B6" s="149" t="s">
        <v>135</v>
      </c>
      <c r="C6" s="132"/>
      <c r="D6" s="132"/>
    </row>
    <row r="7" spans="1:22" ht="31" x14ac:dyDescent="0.35">
      <c r="A7" s="124"/>
      <c r="B7" s="90" t="s">
        <v>132</v>
      </c>
      <c r="C7" s="133" t="s">
        <v>139</v>
      </c>
      <c r="D7" s="134" t="s">
        <v>107</v>
      </c>
    </row>
    <row r="8" spans="1:22" x14ac:dyDescent="0.35">
      <c r="A8" s="125"/>
      <c r="B8" s="158" t="str">
        <f>IF(D8="","",INDEX($B$27:$B41,MATCH(D8,$V$27:$V$41,0),1))</f>
        <v/>
      </c>
      <c r="C8" s="159" t="str">
        <f t="shared" ref="C8:C14" si="0">IFERROR(INDEX($U$27:$U$41,MATCH(D8,$V$27:$V$41,0),1),"")</f>
        <v/>
      </c>
      <c r="D8" s="160" t="str">
        <f>IFERROR(SMALL($V$27:$V$41,1),"")</f>
        <v/>
      </c>
      <c r="E8" s="92"/>
    </row>
    <row r="9" spans="1:22" x14ac:dyDescent="0.35">
      <c r="A9" s="125"/>
      <c r="B9" s="158" t="str">
        <f>IF(D9="","",INDEX($B$27:$B41,MATCH(D9,$V$27:$V$41,0),1))</f>
        <v/>
      </c>
      <c r="C9" s="159" t="str">
        <f t="shared" si="0"/>
        <v/>
      </c>
      <c r="D9" s="160" t="str">
        <f>IFERROR(SMALL($V$27:$V$41,2),"")</f>
        <v/>
      </c>
      <c r="E9" s="92"/>
    </row>
    <row r="10" spans="1:22" x14ac:dyDescent="0.35">
      <c r="A10" s="125"/>
      <c r="B10" s="158" t="str">
        <f>IF(D10="","",INDEX($B$27:$B41,MATCH(D10,$V$27:$V$41,0),1))</f>
        <v/>
      </c>
      <c r="C10" s="159" t="str">
        <f t="shared" si="0"/>
        <v/>
      </c>
      <c r="D10" s="160" t="str">
        <f>IFERROR(SMALL($V$27:$V$41,3),"")</f>
        <v/>
      </c>
      <c r="E10" s="92"/>
    </row>
    <row r="11" spans="1:22" x14ac:dyDescent="0.35">
      <c r="A11" s="125"/>
      <c r="B11" s="158" t="str">
        <f>IF(D11="","",INDEX($B$27:$B41,MATCH(D11,$V$27:$V$41,0),1))</f>
        <v/>
      </c>
      <c r="C11" s="159" t="str">
        <f t="shared" si="0"/>
        <v/>
      </c>
      <c r="D11" s="160" t="str">
        <f>IFERROR(SMALL($V$27:$V$41,4),"")</f>
        <v/>
      </c>
      <c r="E11" s="92"/>
    </row>
    <row r="12" spans="1:22" x14ac:dyDescent="0.35">
      <c r="A12" s="125"/>
      <c r="B12" s="158" t="str">
        <f>IF(D12="","",INDEX($B$27:$B41,MATCH(D12,$V$27:$V$41,0),1))</f>
        <v/>
      </c>
      <c r="C12" s="159" t="str">
        <f t="shared" si="0"/>
        <v/>
      </c>
      <c r="D12" s="160" t="str">
        <f>IFERROR(SMALL($V$27:$V$41,5),"")</f>
        <v/>
      </c>
      <c r="E12" s="92"/>
    </row>
    <row r="13" spans="1:22" x14ac:dyDescent="0.35">
      <c r="A13" s="125"/>
      <c r="B13" s="158" t="str">
        <f>IF(D13="","",INDEX($B$27:$B41,MATCH(D13,$V$27:$V$41,0),1))</f>
        <v/>
      </c>
      <c r="C13" s="159" t="str">
        <f t="shared" si="0"/>
        <v/>
      </c>
      <c r="D13" s="160" t="str">
        <f>IFERROR(SMALL($V$27:$V$41,6),"")</f>
        <v/>
      </c>
      <c r="E13" s="92"/>
    </row>
    <row r="14" spans="1:22" x14ac:dyDescent="0.35">
      <c r="A14" s="125"/>
      <c r="B14" s="158" t="str">
        <f>IF(D14="","",INDEX($B$27:$B$41,MATCH(D14,$V$27:$V$41,0),1))</f>
        <v/>
      </c>
      <c r="C14" s="159" t="str">
        <f t="shared" si="0"/>
        <v/>
      </c>
      <c r="D14" s="160" t="str">
        <f>IFERROR(SMALL($V$27:$V$41,7),"")</f>
        <v/>
      </c>
      <c r="E14" s="92"/>
    </row>
    <row r="15" spans="1:22" x14ac:dyDescent="0.35">
      <c r="A15" s="125"/>
      <c r="B15" s="158" t="str">
        <f t="shared" ref="B15:B18" si="1">IF(D15="","",INDEX($B$27:$B$41,MATCH(D15,$V$27:$V$41,0),1))</f>
        <v/>
      </c>
      <c r="C15" s="159" t="str">
        <f t="shared" ref="C15:C18" si="2">IFERROR(INDEX($U$27:$U$41,MATCH(D15,$V$27:$V$41,0),1),"")</f>
        <v/>
      </c>
      <c r="D15" s="160" t="str">
        <f>IFERROR(SMALL($V$27:$V$41,8),"")</f>
        <v/>
      </c>
      <c r="E15" s="92"/>
    </row>
    <row r="16" spans="1:22" x14ac:dyDescent="0.35">
      <c r="A16" s="125"/>
      <c r="B16" s="158" t="str">
        <f t="shared" si="1"/>
        <v/>
      </c>
      <c r="C16" s="159" t="str">
        <f t="shared" si="2"/>
        <v/>
      </c>
      <c r="D16" s="160" t="str">
        <f>IFERROR(SMALL($V$27:$V$41,9),"")</f>
        <v/>
      </c>
      <c r="E16" s="92"/>
    </row>
    <row r="17" spans="1:23" x14ac:dyDescent="0.35">
      <c r="A17" s="125"/>
      <c r="B17" s="158" t="str">
        <f t="shared" si="1"/>
        <v/>
      </c>
      <c r="C17" s="159" t="str">
        <f t="shared" si="2"/>
        <v/>
      </c>
      <c r="D17" s="160" t="str">
        <f>IFERROR(SMALL($V$27:$V$41,10),"")</f>
        <v/>
      </c>
      <c r="E17" s="92"/>
    </row>
    <row r="18" spans="1:23" x14ac:dyDescent="0.35">
      <c r="A18" s="125"/>
      <c r="B18" s="158" t="str">
        <f t="shared" si="1"/>
        <v/>
      </c>
      <c r="C18" s="159" t="str">
        <f t="shared" si="2"/>
        <v/>
      </c>
      <c r="D18" s="160" t="str">
        <f>IFERROR(SMALL($V$27:$V$41,11),"")</f>
        <v/>
      </c>
      <c r="E18" s="92"/>
    </row>
    <row r="19" spans="1:23" x14ac:dyDescent="0.35">
      <c r="A19" s="125"/>
      <c r="B19" s="158" t="str">
        <f t="shared" ref="B19:B22" si="3">IF(D19="","",INDEX($B$27:$B$41,MATCH(D19,$V$27:$V$41,0),1))</f>
        <v/>
      </c>
      <c r="C19" s="159" t="str">
        <f t="shared" ref="C19:C22" si="4">IFERROR(INDEX($U$27:$U$41,MATCH(D19,$V$27:$V$41,0),1),"")</f>
        <v/>
      </c>
      <c r="D19" s="160" t="str">
        <f>IFERROR(SMALL($V$27:$V$41,12),"")</f>
        <v/>
      </c>
      <c r="E19" s="92"/>
    </row>
    <row r="20" spans="1:23" x14ac:dyDescent="0.35">
      <c r="A20" s="125"/>
      <c r="B20" s="158" t="str">
        <f t="shared" si="3"/>
        <v/>
      </c>
      <c r="C20" s="159" t="str">
        <f t="shared" si="4"/>
        <v/>
      </c>
      <c r="D20" s="160" t="str">
        <f>IFERROR(SMALL($V$27:$V$41,13),"")</f>
        <v/>
      </c>
      <c r="E20" s="92"/>
    </row>
    <row r="21" spans="1:23" x14ac:dyDescent="0.35">
      <c r="A21" s="125"/>
      <c r="B21" s="158" t="str">
        <f t="shared" si="3"/>
        <v/>
      </c>
      <c r="C21" s="159" t="str">
        <f t="shared" si="4"/>
        <v/>
      </c>
      <c r="D21" s="160" t="str">
        <f>IFERROR(SMALL($V$27:$V$41,14),"")</f>
        <v/>
      </c>
      <c r="E21" s="92"/>
    </row>
    <row r="22" spans="1:23" x14ac:dyDescent="0.35">
      <c r="A22" s="125"/>
      <c r="B22" s="158" t="str">
        <f t="shared" si="3"/>
        <v/>
      </c>
      <c r="C22" s="159" t="str">
        <f t="shared" si="4"/>
        <v/>
      </c>
      <c r="D22" s="160" t="str">
        <f>IFERROR(SMALL($V$27:$V$41,15),"")</f>
        <v/>
      </c>
      <c r="E22" s="92"/>
    </row>
    <row r="23" spans="1:23" x14ac:dyDescent="0.35">
      <c r="A23" s="125"/>
      <c r="B23" s="125"/>
      <c r="C23" s="130"/>
      <c r="D23" s="21"/>
      <c r="E23" s="92"/>
    </row>
    <row r="24" spans="1:23" ht="15" thickBot="1" x14ac:dyDescent="0.4"/>
    <row r="25" spans="1:23" s="73" customFormat="1" ht="50" customHeight="1" thickBot="1" x14ac:dyDescent="0.4">
      <c r="A25" s="88"/>
      <c r="B25" s="88"/>
      <c r="C25" s="172" t="s">
        <v>101</v>
      </c>
      <c r="D25" s="173"/>
      <c r="E25" s="173"/>
      <c r="F25" s="174"/>
      <c r="G25" s="67"/>
      <c r="H25" s="169" t="s">
        <v>105</v>
      </c>
      <c r="I25" s="170"/>
      <c r="J25" s="170"/>
      <c r="K25" s="171"/>
      <c r="L25"/>
      <c r="M25" s="175" t="s">
        <v>133</v>
      </c>
      <c r="N25" s="176"/>
      <c r="O25" s="176"/>
      <c r="P25" s="176"/>
      <c r="Q25" s="176"/>
      <c r="R25" s="176"/>
      <c r="S25" s="177"/>
      <c r="T25" s="94"/>
      <c r="U25" s="167" t="s">
        <v>111</v>
      </c>
      <c r="V25" s="167" t="s">
        <v>140</v>
      </c>
      <c r="W25" s="122"/>
    </row>
    <row r="26" spans="1:23" ht="112.5" customHeight="1" x14ac:dyDescent="0.35">
      <c r="A26" s="126"/>
      <c r="B26" s="139" t="s">
        <v>132</v>
      </c>
      <c r="C26" s="140" t="s">
        <v>96</v>
      </c>
      <c r="D26" s="141" t="s">
        <v>125</v>
      </c>
      <c r="E26" s="142" t="s">
        <v>109</v>
      </c>
      <c r="F26" s="143" t="s">
        <v>126</v>
      </c>
      <c r="G26" s="64"/>
      <c r="H26" s="144" t="s">
        <v>127</v>
      </c>
      <c r="I26" s="141" t="s">
        <v>128</v>
      </c>
      <c r="J26" s="142" t="s">
        <v>109</v>
      </c>
      <c r="K26" s="143" t="s">
        <v>129</v>
      </c>
      <c r="L26" s="64"/>
      <c r="M26" s="145" t="s">
        <v>103</v>
      </c>
      <c r="N26" s="146" t="s">
        <v>106</v>
      </c>
      <c r="O26" s="147" t="s">
        <v>89</v>
      </c>
      <c r="P26" s="141" t="s">
        <v>108</v>
      </c>
      <c r="Q26" s="142" t="s">
        <v>95</v>
      </c>
      <c r="R26" s="150" t="s">
        <v>109</v>
      </c>
      <c r="S26" s="148" t="s">
        <v>110</v>
      </c>
      <c r="T26" s="64"/>
      <c r="U26" s="168"/>
      <c r="V26" s="168"/>
      <c r="W26" s="123"/>
    </row>
    <row r="27" spans="1:23" ht="25" customHeight="1" x14ac:dyDescent="0.35">
      <c r="A27" s="127"/>
      <c r="B27" s="129"/>
      <c r="C27" s="137"/>
      <c r="D27" s="97"/>
      <c r="E27" s="153"/>
      <c r="F27" s="161" t="str">
        <f>IF(C27="","",D27*C27*E27)</f>
        <v/>
      </c>
      <c r="G27" s="65"/>
      <c r="H27" s="137"/>
      <c r="I27" s="157"/>
      <c r="J27" s="156"/>
      <c r="K27" s="161" t="str">
        <f>IF(H27="","",H27*I27*J27)</f>
        <v/>
      </c>
      <c r="L27" s="65"/>
      <c r="M27" s="81"/>
      <c r="N27" s="82"/>
      <c r="O27" s="163" t="str">
        <f>IFERROR(VLOOKUP(N27,payscales!$B$12:$M$47,12,FALSE),"")</f>
        <v/>
      </c>
      <c r="P27" s="163" t="str">
        <f>IFERROR(IF(M27="","",M27/60*O27),"")</f>
        <v/>
      </c>
      <c r="Q27" s="153"/>
      <c r="R27" s="155"/>
      <c r="S27" s="164" t="str">
        <f>IFERROR(IF(D27="","",Q27*P27*R27),"")</f>
        <v/>
      </c>
      <c r="T27" s="66"/>
      <c r="U27" s="120" t="str">
        <f>IFERROR(IF(D27="","",(F27+K27+S27)),"")</f>
        <v/>
      </c>
      <c r="V27" s="138" t="str">
        <f t="shared" ref="V27:V41" si="5">IFERROR(IF($U27=0,"",IF($U27&gt;0,RANK($U27,$U$27:$U$41,1) - COUNTIF($U$27:$U$41,0), RANK($U27,$U$27:$U$41,1))),"")</f>
        <v/>
      </c>
      <c r="W27" s="123"/>
    </row>
    <row r="28" spans="1:23" ht="25" customHeight="1" x14ac:dyDescent="0.35">
      <c r="A28" s="127"/>
      <c r="B28" s="129"/>
      <c r="C28" s="78"/>
      <c r="D28" s="97"/>
      <c r="E28" s="153"/>
      <c r="F28" s="162" t="str">
        <f t="shared" ref="F28:F41" si="6">IF(C28="","",D28*C28*E28)</f>
        <v/>
      </c>
      <c r="G28" s="65"/>
      <c r="H28" s="78"/>
      <c r="I28" s="155"/>
      <c r="J28" s="156"/>
      <c r="K28" s="161" t="str">
        <f t="shared" ref="K28:K41" si="7">IF(H28="","",H28*I28*J28)</f>
        <v/>
      </c>
      <c r="L28" s="65"/>
      <c r="M28" s="81"/>
      <c r="N28" s="82"/>
      <c r="O28" s="163" t="str">
        <f>IFERROR(VLOOKUP(N28,payscales!$B$12:$M$47,12,FALSE),"")</f>
        <v/>
      </c>
      <c r="P28" s="163" t="str">
        <f t="shared" ref="P28:P41" si="8">IFERROR(IF(M28="","",M28/60*O28),"")</f>
        <v/>
      </c>
      <c r="Q28" s="153"/>
      <c r="R28" s="157"/>
      <c r="S28" s="165" t="str">
        <f t="shared" ref="S28:S41" si="9">IFERROR(IF(D28="","",Q28*P28*R28),"")</f>
        <v/>
      </c>
      <c r="T28" s="66"/>
      <c r="U28" s="120" t="str">
        <f t="shared" ref="U28:U41" si="10">IFERROR(IF(D28="","",(F28+K28+S28)),"")</f>
        <v/>
      </c>
      <c r="V28" s="57" t="str">
        <f t="shared" si="5"/>
        <v/>
      </c>
      <c r="W28" s="123"/>
    </row>
    <row r="29" spans="1:23" ht="25" customHeight="1" x14ac:dyDescent="0.35">
      <c r="A29" s="127"/>
      <c r="B29" s="129"/>
      <c r="C29" s="78"/>
      <c r="D29" s="98"/>
      <c r="E29" s="154"/>
      <c r="F29" s="162" t="str">
        <f t="shared" si="6"/>
        <v/>
      </c>
      <c r="G29" s="65"/>
      <c r="H29" s="78"/>
      <c r="I29" s="155"/>
      <c r="J29" s="156"/>
      <c r="K29" s="161" t="str">
        <f t="shared" si="7"/>
        <v/>
      </c>
      <c r="L29" s="65"/>
      <c r="M29" s="81"/>
      <c r="N29" s="82"/>
      <c r="O29" s="163" t="str">
        <f>IFERROR(VLOOKUP(N29,payscales!$B$12:$M$47,12,FALSE),"")</f>
        <v/>
      </c>
      <c r="P29" s="163" t="str">
        <f t="shared" si="8"/>
        <v/>
      </c>
      <c r="Q29" s="153"/>
      <c r="R29" s="157"/>
      <c r="S29" s="165" t="str">
        <f t="shared" si="9"/>
        <v/>
      </c>
      <c r="T29" s="66"/>
      <c r="U29" s="120" t="str">
        <f t="shared" si="10"/>
        <v/>
      </c>
      <c r="V29" s="57" t="str">
        <f t="shared" si="5"/>
        <v/>
      </c>
      <c r="W29" s="123"/>
    </row>
    <row r="30" spans="1:23" ht="25" customHeight="1" x14ac:dyDescent="0.35">
      <c r="A30" s="127"/>
      <c r="B30" s="129"/>
      <c r="C30" s="78"/>
      <c r="D30" s="97"/>
      <c r="E30" s="154"/>
      <c r="F30" s="162" t="str">
        <f t="shared" si="6"/>
        <v/>
      </c>
      <c r="G30" s="65"/>
      <c r="H30" s="78"/>
      <c r="I30" s="155"/>
      <c r="J30" s="156"/>
      <c r="K30" s="161" t="str">
        <f t="shared" si="7"/>
        <v/>
      </c>
      <c r="L30" s="65"/>
      <c r="M30" s="81"/>
      <c r="N30" s="82"/>
      <c r="O30" s="163" t="str">
        <f>IFERROR(VLOOKUP(N30,payscales!$B$12:$M$47,12,FALSE),"")</f>
        <v/>
      </c>
      <c r="P30" s="163" t="str">
        <f t="shared" si="8"/>
        <v/>
      </c>
      <c r="Q30" s="153"/>
      <c r="R30" s="157"/>
      <c r="S30" s="165" t="str">
        <f t="shared" si="9"/>
        <v/>
      </c>
      <c r="T30" s="66"/>
      <c r="U30" s="120" t="str">
        <f t="shared" si="10"/>
        <v/>
      </c>
      <c r="V30" s="57" t="str">
        <f t="shared" si="5"/>
        <v/>
      </c>
      <c r="W30" s="123"/>
    </row>
    <row r="31" spans="1:23" ht="25" customHeight="1" x14ac:dyDescent="0.35">
      <c r="A31" s="127"/>
      <c r="B31" s="129"/>
      <c r="C31" s="78"/>
      <c r="D31" s="97"/>
      <c r="E31" s="154"/>
      <c r="F31" s="162" t="str">
        <f t="shared" si="6"/>
        <v/>
      </c>
      <c r="G31" s="65"/>
      <c r="H31" s="78"/>
      <c r="I31" s="155"/>
      <c r="J31" s="156"/>
      <c r="K31" s="161" t="str">
        <f t="shared" si="7"/>
        <v/>
      </c>
      <c r="L31" s="65"/>
      <c r="M31" s="81"/>
      <c r="N31" s="82"/>
      <c r="O31" s="163" t="str">
        <f>IFERROR(VLOOKUP(N31,payscales!$B$12:$M$47,12,FALSE),"")</f>
        <v/>
      </c>
      <c r="P31" s="163" t="str">
        <f t="shared" si="8"/>
        <v/>
      </c>
      <c r="Q31" s="153"/>
      <c r="R31" s="157"/>
      <c r="S31" s="165" t="str">
        <f t="shared" si="9"/>
        <v/>
      </c>
      <c r="T31" s="66"/>
      <c r="U31" s="120" t="str">
        <f t="shared" si="10"/>
        <v/>
      </c>
      <c r="V31" s="57" t="str">
        <f t="shared" si="5"/>
        <v/>
      </c>
      <c r="W31" s="123"/>
    </row>
    <row r="32" spans="1:23" ht="25" customHeight="1" x14ac:dyDescent="0.35">
      <c r="A32" s="127"/>
      <c r="B32" s="129"/>
      <c r="C32" s="78"/>
      <c r="D32" s="98"/>
      <c r="E32" s="154"/>
      <c r="F32" s="162" t="str">
        <f t="shared" si="6"/>
        <v/>
      </c>
      <c r="G32" s="66"/>
      <c r="H32" s="78"/>
      <c r="I32" s="155"/>
      <c r="J32" s="156"/>
      <c r="K32" s="161" t="str">
        <f t="shared" si="7"/>
        <v/>
      </c>
      <c r="L32" s="66"/>
      <c r="M32" s="81"/>
      <c r="N32" s="82"/>
      <c r="O32" s="163" t="str">
        <f>IFERROR(VLOOKUP(N32,payscales!$B$12:$M$47,12,FALSE),"")</f>
        <v/>
      </c>
      <c r="P32" s="163" t="str">
        <f t="shared" si="8"/>
        <v/>
      </c>
      <c r="Q32" s="153"/>
      <c r="R32" s="157"/>
      <c r="S32" s="165" t="str">
        <f t="shared" si="9"/>
        <v/>
      </c>
      <c r="T32" s="66"/>
      <c r="U32" s="120" t="str">
        <f t="shared" si="10"/>
        <v/>
      </c>
      <c r="V32" s="57" t="str">
        <f t="shared" si="5"/>
        <v/>
      </c>
      <c r="W32" s="123"/>
    </row>
    <row r="33" spans="1:23" ht="25" customHeight="1" x14ac:dyDescent="0.35">
      <c r="A33" s="128"/>
      <c r="B33" s="129"/>
      <c r="C33" s="78"/>
      <c r="D33" s="97"/>
      <c r="E33" s="154"/>
      <c r="F33" s="162" t="str">
        <f t="shared" si="6"/>
        <v/>
      </c>
      <c r="G33" s="66"/>
      <c r="H33" s="78"/>
      <c r="I33" s="155"/>
      <c r="J33" s="156"/>
      <c r="K33" s="161" t="str">
        <f t="shared" si="7"/>
        <v/>
      </c>
      <c r="L33" s="66"/>
      <c r="M33" s="81"/>
      <c r="N33" s="82"/>
      <c r="O33" s="163" t="str">
        <f>IFERROR(VLOOKUP(N33,payscales!$B$12:$M$47,12,FALSE),"")</f>
        <v/>
      </c>
      <c r="P33" s="163" t="str">
        <f t="shared" si="8"/>
        <v/>
      </c>
      <c r="Q33" s="153"/>
      <c r="R33" s="157"/>
      <c r="S33" s="165" t="str">
        <f t="shared" si="9"/>
        <v/>
      </c>
      <c r="T33" s="66"/>
      <c r="U33" s="120" t="str">
        <f t="shared" si="10"/>
        <v/>
      </c>
      <c r="V33" s="57" t="str">
        <f t="shared" si="5"/>
        <v/>
      </c>
      <c r="W33" s="123"/>
    </row>
    <row r="34" spans="1:23" ht="25" customHeight="1" x14ac:dyDescent="0.35">
      <c r="A34" s="127"/>
      <c r="B34" s="129"/>
      <c r="C34" s="78"/>
      <c r="D34" s="97"/>
      <c r="E34" s="154"/>
      <c r="F34" s="162" t="str">
        <f t="shared" si="6"/>
        <v/>
      </c>
      <c r="G34" s="66"/>
      <c r="H34" s="78"/>
      <c r="I34" s="155"/>
      <c r="J34" s="156"/>
      <c r="K34" s="161" t="str">
        <f t="shared" si="7"/>
        <v/>
      </c>
      <c r="L34" s="66"/>
      <c r="M34" s="81"/>
      <c r="N34" s="82"/>
      <c r="O34" s="163" t="str">
        <f>IFERROR(VLOOKUP(N34,payscales!$B$12:$M$47,12,FALSE),"")</f>
        <v/>
      </c>
      <c r="P34" s="163" t="str">
        <f t="shared" si="8"/>
        <v/>
      </c>
      <c r="Q34" s="153"/>
      <c r="R34" s="157"/>
      <c r="S34" s="165" t="str">
        <f t="shared" si="9"/>
        <v/>
      </c>
      <c r="T34" s="66"/>
      <c r="U34" s="120" t="str">
        <f t="shared" si="10"/>
        <v/>
      </c>
      <c r="V34" s="57" t="str">
        <f t="shared" si="5"/>
        <v/>
      </c>
      <c r="W34" s="123"/>
    </row>
    <row r="35" spans="1:23" ht="25" customHeight="1" x14ac:dyDescent="0.35">
      <c r="A35" s="127"/>
      <c r="B35" s="129"/>
      <c r="C35" s="78"/>
      <c r="D35" s="98"/>
      <c r="E35" s="154"/>
      <c r="F35" s="162" t="str">
        <f t="shared" si="6"/>
        <v/>
      </c>
      <c r="G35" s="66"/>
      <c r="H35" s="78"/>
      <c r="I35" s="155"/>
      <c r="J35" s="156"/>
      <c r="K35" s="161" t="str">
        <f t="shared" si="7"/>
        <v/>
      </c>
      <c r="L35" s="66"/>
      <c r="M35" s="81"/>
      <c r="N35" s="82"/>
      <c r="O35" s="163" t="str">
        <f>IFERROR(VLOOKUP(N35,payscales!$B$12:$M$47,12,FALSE),"")</f>
        <v/>
      </c>
      <c r="P35" s="163" t="str">
        <f t="shared" si="8"/>
        <v/>
      </c>
      <c r="Q35" s="153"/>
      <c r="R35" s="157"/>
      <c r="S35" s="165" t="str">
        <f t="shared" si="9"/>
        <v/>
      </c>
      <c r="T35" s="66"/>
      <c r="U35" s="120" t="str">
        <f t="shared" si="10"/>
        <v/>
      </c>
      <c r="V35" s="57" t="str">
        <f t="shared" si="5"/>
        <v/>
      </c>
      <c r="W35" s="123"/>
    </row>
    <row r="36" spans="1:23" ht="25" customHeight="1" x14ac:dyDescent="0.35">
      <c r="A36" s="127"/>
      <c r="B36" s="129"/>
      <c r="C36" s="78"/>
      <c r="D36" s="97"/>
      <c r="E36" s="154"/>
      <c r="F36" s="162" t="str">
        <f t="shared" si="6"/>
        <v/>
      </c>
      <c r="G36" s="66"/>
      <c r="H36" s="77"/>
      <c r="I36" s="155"/>
      <c r="J36" s="156"/>
      <c r="K36" s="161" t="str">
        <f t="shared" si="7"/>
        <v/>
      </c>
      <c r="L36" s="66"/>
      <c r="M36" s="81"/>
      <c r="N36" s="82"/>
      <c r="O36" s="163" t="str">
        <f>IFERROR(VLOOKUP(N36,payscales!$B$12:$M$47,12,FALSE),"")</f>
        <v/>
      </c>
      <c r="P36" s="163" t="str">
        <f t="shared" si="8"/>
        <v/>
      </c>
      <c r="Q36" s="153"/>
      <c r="R36" s="157"/>
      <c r="S36" s="165" t="str">
        <f t="shared" si="9"/>
        <v/>
      </c>
      <c r="T36" s="66"/>
      <c r="U36" s="120" t="str">
        <f t="shared" si="10"/>
        <v/>
      </c>
      <c r="V36" s="57" t="str">
        <f t="shared" si="5"/>
        <v/>
      </c>
      <c r="W36" s="123"/>
    </row>
    <row r="37" spans="1:23" ht="25" customHeight="1" x14ac:dyDescent="0.35">
      <c r="A37" s="127"/>
      <c r="B37" s="129"/>
      <c r="C37" s="78"/>
      <c r="D37" s="97"/>
      <c r="E37" s="154"/>
      <c r="F37" s="162" t="str">
        <f t="shared" si="6"/>
        <v/>
      </c>
      <c r="G37" s="66"/>
      <c r="H37" s="78"/>
      <c r="I37" s="155"/>
      <c r="J37" s="156"/>
      <c r="K37" s="161" t="str">
        <f t="shared" si="7"/>
        <v/>
      </c>
      <c r="L37" s="66"/>
      <c r="M37" s="81"/>
      <c r="N37" s="82"/>
      <c r="O37" s="163" t="str">
        <f>IFERROR(VLOOKUP(N37,payscales!$B$12:$M$47,12,FALSE),"")</f>
        <v/>
      </c>
      <c r="P37" s="163" t="str">
        <f t="shared" si="8"/>
        <v/>
      </c>
      <c r="Q37" s="153"/>
      <c r="R37" s="157"/>
      <c r="S37" s="165" t="str">
        <f t="shared" si="9"/>
        <v/>
      </c>
      <c r="T37" s="66"/>
      <c r="U37" s="120" t="str">
        <f t="shared" si="10"/>
        <v/>
      </c>
      <c r="V37" s="57" t="str">
        <f t="shared" si="5"/>
        <v/>
      </c>
      <c r="W37" s="123"/>
    </row>
    <row r="38" spans="1:23" ht="25" customHeight="1" x14ac:dyDescent="0.35">
      <c r="A38" s="127"/>
      <c r="B38" s="129"/>
      <c r="C38" s="78"/>
      <c r="D38" s="98"/>
      <c r="E38" s="154"/>
      <c r="F38" s="162" t="str">
        <f t="shared" si="6"/>
        <v/>
      </c>
      <c r="G38" s="66"/>
      <c r="H38" s="78"/>
      <c r="I38" s="155"/>
      <c r="J38" s="156"/>
      <c r="K38" s="161" t="str">
        <f t="shared" si="7"/>
        <v/>
      </c>
      <c r="L38" s="66"/>
      <c r="M38" s="81"/>
      <c r="N38" s="82"/>
      <c r="O38" s="163" t="str">
        <f>IFERROR(VLOOKUP(N38,payscales!$B$12:$M$47,12,FALSE),"")</f>
        <v/>
      </c>
      <c r="P38" s="163" t="str">
        <f t="shared" si="8"/>
        <v/>
      </c>
      <c r="Q38" s="153"/>
      <c r="R38" s="157"/>
      <c r="S38" s="165" t="str">
        <f t="shared" si="9"/>
        <v/>
      </c>
      <c r="T38" s="66"/>
      <c r="U38" s="121" t="str">
        <f t="shared" si="10"/>
        <v/>
      </c>
      <c r="V38" s="57" t="str">
        <f t="shared" si="5"/>
        <v/>
      </c>
      <c r="W38" s="123"/>
    </row>
    <row r="39" spans="1:23" ht="25" customHeight="1" x14ac:dyDescent="0.35">
      <c r="A39" s="127"/>
      <c r="B39" s="129"/>
      <c r="C39" s="78"/>
      <c r="D39" s="98"/>
      <c r="E39" s="154"/>
      <c r="F39" s="162" t="str">
        <f t="shared" si="6"/>
        <v/>
      </c>
      <c r="G39" s="66"/>
      <c r="H39" s="77"/>
      <c r="I39" s="155"/>
      <c r="J39" s="156"/>
      <c r="K39" s="161" t="str">
        <f t="shared" si="7"/>
        <v/>
      </c>
      <c r="L39" s="66"/>
      <c r="M39" s="81"/>
      <c r="N39" s="82"/>
      <c r="O39" s="163" t="str">
        <f>IFERROR(VLOOKUP(N39,payscales!$B$12:$M$47,12,FALSE),"")</f>
        <v/>
      </c>
      <c r="P39" s="163" t="str">
        <f t="shared" si="8"/>
        <v/>
      </c>
      <c r="Q39" s="153"/>
      <c r="R39" s="97"/>
      <c r="S39" s="165" t="str">
        <f t="shared" si="9"/>
        <v/>
      </c>
      <c r="T39" s="66"/>
      <c r="U39" s="121" t="str">
        <f t="shared" si="10"/>
        <v/>
      </c>
      <c r="V39" s="57" t="str">
        <f t="shared" si="5"/>
        <v/>
      </c>
      <c r="W39" s="123"/>
    </row>
    <row r="40" spans="1:23" ht="25" customHeight="1" x14ac:dyDescent="0.35">
      <c r="A40" s="127"/>
      <c r="B40" s="129"/>
      <c r="C40" s="78"/>
      <c r="D40" s="98"/>
      <c r="E40" s="154"/>
      <c r="F40" s="162" t="str">
        <f t="shared" si="6"/>
        <v/>
      </c>
      <c r="G40" s="66"/>
      <c r="H40" s="77"/>
      <c r="I40" s="155"/>
      <c r="J40" s="156"/>
      <c r="K40" s="161" t="str">
        <f t="shared" si="7"/>
        <v/>
      </c>
      <c r="L40" s="66"/>
      <c r="M40" s="81"/>
      <c r="N40" s="82"/>
      <c r="O40" s="163" t="str">
        <f>IFERROR(VLOOKUP(N40,payscales!$B$12:$M$47,12,FALSE),"")</f>
        <v/>
      </c>
      <c r="P40" s="163" t="str">
        <f t="shared" si="8"/>
        <v/>
      </c>
      <c r="Q40" s="153"/>
      <c r="R40" s="97"/>
      <c r="S40" s="165" t="str">
        <f t="shared" si="9"/>
        <v/>
      </c>
      <c r="T40" s="66"/>
      <c r="U40" s="121" t="str">
        <f t="shared" si="10"/>
        <v/>
      </c>
      <c r="V40" s="57" t="str">
        <f t="shared" si="5"/>
        <v/>
      </c>
      <c r="W40" s="123"/>
    </row>
    <row r="41" spans="1:23" ht="25" customHeight="1" x14ac:dyDescent="0.35">
      <c r="A41" s="127"/>
      <c r="B41" s="129"/>
      <c r="C41" s="78"/>
      <c r="D41" s="98"/>
      <c r="E41" s="154"/>
      <c r="F41" s="162" t="str">
        <f t="shared" si="6"/>
        <v/>
      </c>
      <c r="G41" s="66"/>
      <c r="H41" s="77"/>
      <c r="I41" s="155"/>
      <c r="J41" s="156"/>
      <c r="K41" s="161" t="str">
        <f t="shared" si="7"/>
        <v/>
      </c>
      <c r="L41" s="66"/>
      <c r="M41" s="81"/>
      <c r="N41" s="82"/>
      <c r="O41" s="163" t="str">
        <f>IFERROR(VLOOKUP(N41,payscales!$B$12:$M$47,12,FALSE),"")</f>
        <v/>
      </c>
      <c r="P41" s="163" t="str">
        <f t="shared" si="8"/>
        <v/>
      </c>
      <c r="Q41" s="153"/>
      <c r="R41" s="97"/>
      <c r="S41" s="165" t="str">
        <f t="shared" si="9"/>
        <v/>
      </c>
      <c r="T41" s="66"/>
      <c r="U41" s="121" t="str">
        <f t="shared" si="10"/>
        <v/>
      </c>
      <c r="V41" s="136" t="str">
        <f t="shared" si="5"/>
        <v/>
      </c>
      <c r="W41" s="123"/>
    </row>
  </sheetData>
  <sheetProtection algorithmName="SHA-512" hashValue="6ljGUjNKbCV+/rxVDLkhZEXynNdxJDlj/HFdQjJOKvTDbTAb76LGxO9iMTJ1Ji6J8J3sbvphI4f2Rxrc2qxtzg==" saltValue="aIDSqSfrkwGR3KliY843RQ==" spinCount="100000" sheet="1" sort="0" autoFilter="0"/>
  <mergeCells count="5">
    <mergeCell ref="V25:V26"/>
    <mergeCell ref="H25:K25"/>
    <mergeCell ref="C25:F25"/>
    <mergeCell ref="M25:S25"/>
    <mergeCell ref="U25:U26"/>
  </mergeCells>
  <dataValidations count="1">
    <dataValidation type="list" allowBlank="1" showInputMessage="1" showErrorMessage="1" sqref="N27:N41" xr:uid="{CC38B90F-AFEB-43AC-B3AE-4B600C212F5E}">
      <formula1>Band</formula1>
    </dataValidation>
  </dataValidations>
  <printOptions horizontalCentered="1" verticalCentered="1"/>
  <pageMargins left="0" right="0" top="0" bottom="0" header="0" footer="0"/>
  <pageSetup paperSize="9" scale="49" fitToHeight="0" orientation="landscape" r:id="rId1"/>
  <ignoredErrors>
    <ignoredError sqref="T34:T37 T38:T41" unlockedFormula="1"/>
    <ignoredError sqref="B12"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codeName="Sheet27">
    <tabColor theme="8" tint="0.59999389629810485"/>
    <pageSetUpPr fitToPage="1"/>
  </sheetPr>
  <dimension ref="A1:AB102"/>
  <sheetViews>
    <sheetView showGridLines="0" zoomScale="80" zoomScaleNormal="80" zoomScaleSheetLayoutView="80" workbookViewId="0"/>
  </sheetViews>
  <sheetFormatPr defaultColWidth="8.54296875" defaultRowHeight="14.5" x14ac:dyDescent="0.35"/>
  <cols>
    <col min="1" max="1" width="13.54296875" customWidth="1"/>
    <col min="2" max="2" width="41.81640625" customWidth="1"/>
    <col min="3" max="4" width="12.81640625" customWidth="1"/>
    <col min="5" max="6" width="11.81640625" customWidth="1"/>
    <col min="7" max="7" width="10.453125" style="21" customWidth="1"/>
    <col min="8" max="8" width="11.81640625" customWidth="1"/>
    <col min="9" max="9" width="12.54296875" customWidth="1"/>
    <col min="10" max="12" width="15.1796875" customWidth="1"/>
    <col min="13" max="14" width="9" customWidth="1"/>
    <col min="15" max="15" width="11.36328125" customWidth="1"/>
    <col min="16" max="16" width="12.81640625" hidden="1" customWidth="1"/>
    <col min="17" max="17" width="15.453125" hidden="1" customWidth="1"/>
    <col min="18" max="18" width="13.453125" hidden="1" customWidth="1"/>
    <col min="19" max="19" width="14.453125" hidden="1" customWidth="1"/>
    <col min="20" max="20" width="10.453125" hidden="1" customWidth="1"/>
    <col min="21" max="22" width="8.54296875" hidden="1" customWidth="1"/>
    <col min="23" max="23" width="8.54296875" customWidth="1"/>
    <col min="24" max="24" width="47.1796875" bestFit="1" customWidth="1"/>
    <col min="25" max="25" width="10" customWidth="1"/>
    <col min="28" max="28" width="10.81640625" bestFit="1" customWidth="1"/>
  </cols>
  <sheetData>
    <row r="1" spans="1:26" ht="21" customHeight="1" x14ac:dyDescent="0.35">
      <c r="A1" s="35" t="s">
        <v>14</v>
      </c>
      <c r="B1" s="35"/>
      <c r="C1" s="35"/>
      <c r="D1" s="35"/>
      <c r="E1" s="35"/>
      <c r="F1" s="35"/>
      <c r="G1" s="35"/>
      <c r="H1" s="35"/>
      <c r="I1" s="35"/>
      <c r="J1" s="35"/>
      <c r="K1" s="35"/>
      <c r="L1" s="35"/>
      <c r="M1" s="35"/>
      <c r="N1" s="35"/>
      <c r="O1" s="35"/>
    </row>
    <row r="2" spans="1:26" ht="14.9" customHeight="1" thickBot="1" x14ac:dyDescent="0.4">
      <c r="A2" s="1"/>
      <c r="B2" s="1"/>
      <c r="C2" s="1"/>
      <c r="D2" s="1"/>
      <c r="E2" s="1"/>
      <c r="F2" s="1"/>
      <c r="G2" s="1"/>
      <c r="H2" s="1"/>
      <c r="I2" s="1"/>
      <c r="J2" s="1"/>
      <c r="K2" s="1"/>
      <c r="L2" s="1"/>
      <c r="M2" s="1"/>
      <c r="N2" s="1"/>
      <c r="O2" s="1"/>
    </row>
    <row r="3" spans="1:26" ht="14.9" customHeight="1" x14ac:dyDescent="0.35">
      <c r="A3" s="1"/>
      <c r="B3" s="36" t="s">
        <v>7</v>
      </c>
      <c r="C3" s="37"/>
      <c r="D3" s="1"/>
      <c r="E3" s="1"/>
      <c r="F3" s="1"/>
      <c r="G3" s="1"/>
      <c r="H3" s="1"/>
      <c r="I3" s="1"/>
      <c r="J3" s="1"/>
      <c r="K3" s="1"/>
      <c r="L3" s="1"/>
      <c r="M3" s="1"/>
      <c r="N3" s="1"/>
      <c r="O3" s="1"/>
    </row>
    <row r="4" spans="1:26" ht="14.9" customHeight="1" x14ac:dyDescent="0.35">
      <c r="A4" s="1"/>
      <c r="B4" s="38" t="s">
        <v>15</v>
      </c>
      <c r="C4" s="58" t="s">
        <v>16</v>
      </c>
      <c r="D4" s="39" t="s">
        <v>137</v>
      </c>
      <c r="E4" s="1"/>
      <c r="F4" s="1"/>
      <c r="G4" s="1"/>
      <c r="H4" s="1"/>
      <c r="I4" s="1"/>
      <c r="J4" s="1"/>
      <c r="K4" s="1"/>
      <c r="L4" s="1"/>
      <c r="M4" s="1"/>
      <c r="N4" s="1"/>
      <c r="O4" s="1"/>
    </row>
    <row r="5" spans="1:26" ht="14.9" customHeight="1" x14ac:dyDescent="0.35">
      <c r="A5" s="1"/>
      <c r="B5" s="38" t="s">
        <v>17</v>
      </c>
      <c r="C5" s="59">
        <v>5000</v>
      </c>
      <c r="D5" s="1"/>
      <c r="E5" s="1"/>
      <c r="F5" s="1"/>
      <c r="G5" s="1"/>
      <c r="H5" s="1"/>
      <c r="I5" s="1"/>
      <c r="J5" s="1"/>
      <c r="K5" s="1"/>
      <c r="L5" s="1"/>
      <c r="M5" s="1"/>
      <c r="N5" s="1"/>
      <c r="O5" s="1"/>
    </row>
    <row r="6" spans="1:26" ht="14.9" customHeight="1" x14ac:dyDescent="0.35">
      <c r="A6" s="1"/>
      <c r="B6" s="38" t="s">
        <v>18</v>
      </c>
      <c r="C6" s="60">
        <v>0.15</v>
      </c>
      <c r="D6" s="1"/>
      <c r="E6" s="1"/>
      <c r="F6" s="1"/>
      <c r="G6" s="1"/>
      <c r="H6" s="1"/>
      <c r="I6" s="1"/>
      <c r="J6" s="1"/>
      <c r="K6" s="1"/>
      <c r="L6" s="1"/>
      <c r="M6" s="1"/>
      <c r="N6" s="1"/>
      <c r="O6" s="1"/>
    </row>
    <row r="7" spans="1:26" ht="14.9" customHeight="1" x14ac:dyDescent="0.35">
      <c r="A7" s="1"/>
      <c r="B7" s="38" t="s">
        <v>19</v>
      </c>
      <c r="C7" s="60">
        <v>0.23780000000000001</v>
      </c>
      <c r="D7" s="1"/>
      <c r="E7" s="1"/>
      <c r="F7" s="1"/>
      <c r="G7" s="1"/>
      <c r="H7" s="1"/>
      <c r="I7" s="1"/>
      <c r="J7" s="1"/>
      <c r="K7" s="1"/>
      <c r="L7" s="1"/>
      <c r="M7" s="1"/>
      <c r="N7" s="1"/>
      <c r="O7" s="1"/>
    </row>
    <row r="8" spans="1:26" ht="14.9" customHeight="1" x14ac:dyDescent="0.35">
      <c r="A8" s="1"/>
      <c r="B8" s="38" t="s">
        <v>20</v>
      </c>
      <c r="C8" s="60">
        <v>5.0000000000000001E-3</v>
      </c>
      <c r="D8" s="1"/>
      <c r="E8" s="1"/>
      <c r="F8" s="1"/>
      <c r="G8" s="1"/>
      <c r="H8" s="1"/>
      <c r="I8" s="1"/>
      <c r="J8" s="1"/>
      <c r="K8" s="1"/>
      <c r="L8" s="1"/>
      <c r="M8" s="1"/>
      <c r="N8" s="1"/>
      <c r="O8" s="1"/>
    </row>
    <row r="9" spans="1:26" ht="14.9" customHeight="1" thickBot="1" x14ac:dyDescent="0.4">
      <c r="A9" s="1"/>
      <c r="B9" s="40" t="s">
        <v>21</v>
      </c>
      <c r="C9" s="61">
        <v>0</v>
      </c>
      <c r="D9" s="1"/>
      <c r="E9" s="1"/>
      <c r="F9" s="1"/>
      <c r="G9" s="1"/>
      <c r="H9" s="1"/>
      <c r="I9" s="1"/>
      <c r="J9" s="1"/>
      <c r="K9" s="1"/>
      <c r="L9" s="1"/>
      <c r="M9" s="1"/>
      <c r="N9" s="1"/>
      <c r="O9" s="1"/>
      <c r="T9" s="41"/>
    </row>
    <row r="10" spans="1:26" ht="15" thickBot="1" x14ac:dyDescent="0.4">
      <c r="R10" s="42"/>
      <c r="T10" s="42"/>
    </row>
    <row r="11" spans="1:26" ht="109.75" customHeight="1" thickBot="1" x14ac:dyDescent="0.4">
      <c r="A11" s="43" t="s">
        <v>22</v>
      </c>
      <c r="B11" s="44" t="s">
        <v>23</v>
      </c>
      <c r="C11" s="45" t="s">
        <v>116</v>
      </c>
      <c r="D11" s="45" t="s">
        <v>24</v>
      </c>
      <c r="E11" s="45" t="s">
        <v>25</v>
      </c>
      <c r="F11" s="45" t="s">
        <v>26</v>
      </c>
      <c r="G11" s="46" t="s">
        <v>27</v>
      </c>
      <c r="H11" s="45" t="s">
        <v>28</v>
      </c>
      <c r="I11" s="47" t="s">
        <v>29</v>
      </c>
      <c r="J11" s="48" t="s">
        <v>138</v>
      </c>
      <c r="K11" s="99" t="s">
        <v>114</v>
      </c>
      <c r="L11" s="99" t="s">
        <v>115</v>
      </c>
      <c r="M11" s="49" t="s">
        <v>13</v>
      </c>
      <c r="N11" s="50" t="s">
        <v>30</v>
      </c>
      <c r="O11" s="51" t="s">
        <v>31</v>
      </c>
      <c r="Q11" t="s">
        <v>16</v>
      </c>
      <c r="R11" t="s">
        <v>32</v>
      </c>
      <c r="S11" t="s">
        <v>33</v>
      </c>
      <c r="T11" t="s">
        <v>34</v>
      </c>
    </row>
    <row r="12" spans="1:26" x14ac:dyDescent="0.35">
      <c r="A12" s="52">
        <v>2</v>
      </c>
      <c r="B12" s="53" t="s">
        <v>35</v>
      </c>
      <c r="C12" s="100">
        <f>HLOOKUP($C$4,$Q$11:$T$41,2,FALSE)</f>
        <v>24465</v>
      </c>
      <c r="D12" s="100">
        <f>C12*$C$9</f>
        <v>0</v>
      </c>
      <c r="E12" s="100">
        <f>C12*(100%+$C$9)</f>
        <v>24465</v>
      </c>
      <c r="F12" s="100">
        <f>(E12-$C$5)*$C$6</f>
        <v>2919.75</v>
      </c>
      <c r="G12" s="101">
        <f>E12*$C$8</f>
        <v>122.325</v>
      </c>
      <c r="H12" s="100">
        <f>E12*$C$7</f>
        <v>5817.777</v>
      </c>
      <c r="I12" s="102">
        <f>SUM(E12:H12)</f>
        <v>33324.851999999999</v>
      </c>
      <c r="J12" s="109">
        <v>1560</v>
      </c>
      <c r="K12" s="110">
        <v>1</v>
      </c>
      <c r="L12" s="109">
        <f>J12*K12</f>
        <v>1560</v>
      </c>
      <c r="M12" s="151">
        <f>ROUND(I12/L12,2)</f>
        <v>21.36</v>
      </c>
      <c r="N12" s="54">
        <v>0.41</v>
      </c>
      <c r="O12" s="55">
        <v>0.83</v>
      </c>
      <c r="P12" t="b">
        <f>M12=[4]payscales!$M$12</f>
        <v>1</v>
      </c>
      <c r="Q12" s="41">
        <v>24465</v>
      </c>
      <c r="R12" s="17">
        <v>30074</v>
      </c>
      <c r="S12" s="17">
        <v>29179</v>
      </c>
      <c r="T12" s="17">
        <v>25768</v>
      </c>
      <c r="X12" s="12"/>
      <c r="Y12" s="68"/>
      <c r="Z12" s="5"/>
    </row>
    <row r="13" spans="1:26" x14ac:dyDescent="0.35">
      <c r="A13" s="26">
        <v>2</v>
      </c>
      <c r="B13" s="24" t="s">
        <v>36</v>
      </c>
      <c r="C13" s="103">
        <f>HLOOKUP($C$4,$Q$11:$T$41,3,FALSE)</f>
        <v>24465</v>
      </c>
      <c r="D13" s="103">
        <f t="shared" ref="D13:D47" si="0">C13*$C$9</f>
        <v>0</v>
      </c>
      <c r="E13" s="103">
        <f t="shared" ref="E13:E47" si="1">C13*(100%+$C$9)</f>
        <v>24465</v>
      </c>
      <c r="F13" s="103">
        <f t="shared" ref="F13:F47" si="2">(E13-$C$5)*$C$6</f>
        <v>2919.75</v>
      </c>
      <c r="G13" s="104">
        <f t="shared" ref="G13:G47" si="3">E13*$C$8</f>
        <v>122.325</v>
      </c>
      <c r="H13" s="103">
        <f t="shared" ref="H13:H47" si="4">E13*$C$7</f>
        <v>5817.777</v>
      </c>
      <c r="I13" s="102">
        <f t="shared" ref="I13:I47" si="5">SUM(E13:H13)</f>
        <v>33324.851999999999</v>
      </c>
      <c r="J13" s="111">
        <v>1560</v>
      </c>
      <c r="K13" s="110">
        <v>1</v>
      </c>
      <c r="L13" s="109">
        <f t="shared" ref="L13:L47" si="6">J13*K13</f>
        <v>1560</v>
      </c>
      <c r="M13" s="151">
        <f t="shared" ref="M13:M41" si="7">ROUND(I13/L13,2)</f>
        <v>21.36</v>
      </c>
      <c r="N13" s="22">
        <v>0.41</v>
      </c>
      <c r="O13" s="31">
        <v>0.83</v>
      </c>
      <c r="P13" t="b">
        <f>M13=[4]payscales!M13</f>
        <v>1</v>
      </c>
      <c r="Q13" s="41">
        <v>24465</v>
      </c>
      <c r="R13" s="17">
        <v>30074</v>
      </c>
      <c r="S13" s="17">
        <v>29179</v>
      </c>
      <c r="T13" s="17">
        <v>25768</v>
      </c>
      <c r="X13" s="28" t="s">
        <v>37</v>
      </c>
      <c r="Z13" s="6"/>
    </row>
    <row r="14" spans="1:26" x14ac:dyDescent="0.35">
      <c r="A14" s="26">
        <v>3</v>
      </c>
      <c r="B14" s="24" t="s">
        <v>38</v>
      </c>
      <c r="C14" s="103">
        <f>HLOOKUP($C$4,$Q$11:$T$41,4,FALSE)</f>
        <v>24937</v>
      </c>
      <c r="D14" s="103">
        <f t="shared" si="0"/>
        <v>0</v>
      </c>
      <c r="E14" s="103">
        <f t="shared" si="1"/>
        <v>24937</v>
      </c>
      <c r="F14" s="103">
        <f t="shared" si="2"/>
        <v>2990.5499999999997</v>
      </c>
      <c r="G14" s="104">
        <f t="shared" si="3"/>
        <v>124.685</v>
      </c>
      <c r="H14" s="103">
        <f t="shared" si="4"/>
        <v>5930.0186000000003</v>
      </c>
      <c r="I14" s="102">
        <f t="shared" si="5"/>
        <v>33982.253600000004</v>
      </c>
      <c r="J14" s="111">
        <v>1560</v>
      </c>
      <c r="K14" s="110">
        <v>1</v>
      </c>
      <c r="L14" s="109">
        <f t="shared" si="6"/>
        <v>1560</v>
      </c>
      <c r="M14" s="151">
        <f t="shared" si="7"/>
        <v>21.78</v>
      </c>
      <c r="N14" s="22">
        <v>0.35</v>
      </c>
      <c r="O14" s="31">
        <v>0.69</v>
      </c>
      <c r="P14" t="b">
        <f>M14=[4]payscales!M14</f>
        <v>1</v>
      </c>
      <c r="Q14" s="41">
        <v>24937</v>
      </c>
      <c r="R14" s="17">
        <v>30546</v>
      </c>
      <c r="S14" s="17">
        <v>29651</v>
      </c>
      <c r="T14" s="17">
        <v>26240</v>
      </c>
      <c r="U14" t="s">
        <v>16</v>
      </c>
      <c r="X14" s="29" t="s">
        <v>39</v>
      </c>
      <c r="Y14" s="86">
        <v>260</v>
      </c>
      <c r="Z14" s="6"/>
    </row>
    <row r="15" spans="1:26" x14ac:dyDescent="0.35">
      <c r="A15" s="26">
        <v>3</v>
      </c>
      <c r="B15" s="24" t="s">
        <v>40</v>
      </c>
      <c r="C15" s="103">
        <f>HLOOKUP($C$4,$Q$11:$T$41,5,FALSE)</f>
        <v>26598</v>
      </c>
      <c r="D15" s="103">
        <f t="shared" si="0"/>
        <v>0</v>
      </c>
      <c r="E15" s="103">
        <f t="shared" si="1"/>
        <v>26598</v>
      </c>
      <c r="F15" s="103">
        <f t="shared" si="2"/>
        <v>3239.7</v>
      </c>
      <c r="G15" s="104">
        <f t="shared" si="3"/>
        <v>132.99</v>
      </c>
      <c r="H15" s="103">
        <f t="shared" si="4"/>
        <v>6325.0044000000007</v>
      </c>
      <c r="I15" s="102">
        <f t="shared" si="5"/>
        <v>36295.6944</v>
      </c>
      <c r="J15" s="111">
        <v>1560</v>
      </c>
      <c r="K15" s="110">
        <v>1</v>
      </c>
      <c r="L15" s="109">
        <f t="shared" si="6"/>
        <v>1560</v>
      </c>
      <c r="M15" s="151">
        <f t="shared" si="7"/>
        <v>23.27</v>
      </c>
      <c r="N15" s="22">
        <v>0.35</v>
      </c>
      <c r="O15" s="31">
        <v>0.69</v>
      </c>
      <c r="P15" t="b">
        <f>M15=[4]payscales!M15</f>
        <v>1</v>
      </c>
      <c r="Q15" s="41">
        <v>26598</v>
      </c>
      <c r="R15" s="17">
        <v>32207</v>
      </c>
      <c r="S15" s="17">
        <v>31312</v>
      </c>
      <c r="T15" s="17">
        <v>27928</v>
      </c>
      <c r="U15" t="s">
        <v>41</v>
      </c>
      <c r="X15" s="29" t="s">
        <v>42</v>
      </c>
      <c r="Y15" s="86">
        <v>-40</v>
      </c>
      <c r="Z15" s="6"/>
    </row>
    <row r="16" spans="1:26" x14ac:dyDescent="0.35">
      <c r="A16" s="26">
        <v>4</v>
      </c>
      <c r="B16" s="24" t="s">
        <v>43</v>
      </c>
      <c r="C16" s="103">
        <f>HLOOKUP($C$4,$Q$11:$T$41,6,FALSE)</f>
        <v>27485</v>
      </c>
      <c r="D16" s="103">
        <f t="shared" si="0"/>
        <v>0</v>
      </c>
      <c r="E16" s="103">
        <f t="shared" si="1"/>
        <v>27485</v>
      </c>
      <c r="F16" s="103">
        <f t="shared" si="2"/>
        <v>3372.75</v>
      </c>
      <c r="G16" s="104">
        <f t="shared" si="3"/>
        <v>137.42500000000001</v>
      </c>
      <c r="H16" s="103">
        <f t="shared" si="4"/>
        <v>6535.933</v>
      </c>
      <c r="I16" s="102">
        <f t="shared" si="5"/>
        <v>37531.108</v>
      </c>
      <c r="J16" s="111">
        <v>1560</v>
      </c>
      <c r="K16" s="110">
        <v>1</v>
      </c>
      <c r="L16" s="109">
        <f t="shared" si="6"/>
        <v>1560</v>
      </c>
      <c r="M16" s="151">
        <f t="shared" si="7"/>
        <v>24.06</v>
      </c>
      <c r="N16" s="22">
        <v>0.3</v>
      </c>
      <c r="O16" s="31">
        <v>0.6</v>
      </c>
      <c r="P16" t="b">
        <f>M16=[4]payscales!M16</f>
        <v>1</v>
      </c>
      <c r="Q16" s="41">
        <v>27485</v>
      </c>
      <c r="R16" s="17">
        <v>33094</v>
      </c>
      <c r="S16" s="17">
        <v>32199</v>
      </c>
      <c r="T16" s="17">
        <v>28860</v>
      </c>
      <c r="U16" t="s">
        <v>44</v>
      </c>
      <c r="X16" s="29" t="s">
        <v>45</v>
      </c>
      <c r="Y16" s="86">
        <v>-2</v>
      </c>
      <c r="Z16" s="6"/>
    </row>
    <row r="17" spans="1:28" x14ac:dyDescent="0.35">
      <c r="A17" s="26">
        <v>4</v>
      </c>
      <c r="B17" s="24" t="s">
        <v>46</v>
      </c>
      <c r="C17" s="103">
        <f>HLOOKUP($C$4,$Q$11:$T$41,7,FALSE)</f>
        <v>30162</v>
      </c>
      <c r="D17" s="103">
        <f t="shared" si="0"/>
        <v>0</v>
      </c>
      <c r="E17" s="103">
        <f t="shared" si="1"/>
        <v>30162</v>
      </c>
      <c r="F17" s="103">
        <f t="shared" si="2"/>
        <v>3774.2999999999997</v>
      </c>
      <c r="G17" s="104">
        <f t="shared" si="3"/>
        <v>150.81</v>
      </c>
      <c r="H17" s="103">
        <f t="shared" si="4"/>
        <v>7172.5236000000004</v>
      </c>
      <c r="I17" s="102">
        <f t="shared" si="5"/>
        <v>41259.633600000001</v>
      </c>
      <c r="J17" s="111">
        <v>1560</v>
      </c>
      <c r="K17" s="110">
        <v>1</v>
      </c>
      <c r="L17" s="109">
        <f t="shared" si="6"/>
        <v>1560</v>
      </c>
      <c r="M17" s="151">
        <f t="shared" si="7"/>
        <v>26.45</v>
      </c>
      <c r="N17" s="22">
        <v>0.3</v>
      </c>
      <c r="O17" s="31">
        <v>0.6</v>
      </c>
      <c r="P17" t="b">
        <f>M17=[4]payscales!M17</f>
        <v>1</v>
      </c>
      <c r="Q17" s="41">
        <v>30162</v>
      </c>
      <c r="R17" s="17">
        <v>36195</v>
      </c>
      <c r="S17" s="17">
        <v>34876</v>
      </c>
      <c r="T17" s="17">
        <v>31671</v>
      </c>
      <c r="U17" t="s">
        <v>47</v>
      </c>
      <c r="X17" s="29" t="s">
        <v>48</v>
      </c>
      <c r="Y17" s="86">
        <v>-10</v>
      </c>
      <c r="Z17" s="6"/>
    </row>
    <row r="18" spans="1:28" x14ac:dyDescent="0.35">
      <c r="A18" s="26">
        <v>5</v>
      </c>
      <c r="B18" s="24" t="s">
        <v>49</v>
      </c>
      <c r="C18" s="103">
        <f>HLOOKUP($C$4,$Q$11:$T$41,8,FALSE)</f>
        <v>31049</v>
      </c>
      <c r="D18" s="103">
        <f t="shared" si="0"/>
        <v>0</v>
      </c>
      <c r="E18" s="103">
        <f t="shared" si="1"/>
        <v>31049</v>
      </c>
      <c r="F18" s="103">
        <f t="shared" si="2"/>
        <v>3907.35</v>
      </c>
      <c r="G18" s="104">
        <f t="shared" si="3"/>
        <v>155.245</v>
      </c>
      <c r="H18" s="103">
        <f t="shared" si="4"/>
        <v>7383.4522000000006</v>
      </c>
      <c r="I18" s="102">
        <f t="shared" si="5"/>
        <v>42495.047200000001</v>
      </c>
      <c r="J18" s="111">
        <v>1560</v>
      </c>
      <c r="K18" s="110">
        <v>1</v>
      </c>
      <c r="L18" s="109">
        <f t="shared" si="6"/>
        <v>1560</v>
      </c>
      <c r="M18" s="151">
        <f t="shared" si="7"/>
        <v>27.24</v>
      </c>
      <c r="N18" s="22">
        <v>0.3</v>
      </c>
      <c r="O18" s="31">
        <v>0.6</v>
      </c>
      <c r="P18" t="b">
        <f>M18=[4]payscales!M18</f>
        <v>1</v>
      </c>
      <c r="Q18" s="41">
        <v>31049</v>
      </c>
      <c r="R18" s="17">
        <v>37259</v>
      </c>
      <c r="S18" s="17">
        <v>35763</v>
      </c>
      <c r="T18" s="17">
        <v>32602</v>
      </c>
      <c r="X18" s="29"/>
      <c r="Y18" s="68">
        <v>208</v>
      </c>
      <c r="Z18" s="6"/>
    </row>
    <row r="19" spans="1:28" x14ac:dyDescent="0.35">
      <c r="A19" s="26">
        <v>5</v>
      </c>
      <c r="B19" s="24" t="s">
        <v>50</v>
      </c>
      <c r="C19" s="103">
        <f>HLOOKUP($C$4,$Q$11:$T$41,9,FALSE)</f>
        <v>33487</v>
      </c>
      <c r="D19" s="103">
        <f t="shared" si="0"/>
        <v>0</v>
      </c>
      <c r="E19" s="103">
        <f t="shared" si="1"/>
        <v>33487</v>
      </c>
      <c r="F19" s="103">
        <f t="shared" si="2"/>
        <v>4273.05</v>
      </c>
      <c r="G19" s="104">
        <f t="shared" si="3"/>
        <v>167.435</v>
      </c>
      <c r="H19" s="103">
        <f t="shared" si="4"/>
        <v>7963.2085999999999</v>
      </c>
      <c r="I19" s="102">
        <f t="shared" si="5"/>
        <v>45890.693599999999</v>
      </c>
      <c r="J19" s="111">
        <v>1560</v>
      </c>
      <c r="K19" s="110">
        <v>1</v>
      </c>
      <c r="L19" s="109">
        <f t="shared" si="6"/>
        <v>1560</v>
      </c>
      <c r="M19" s="151">
        <f t="shared" si="7"/>
        <v>29.42</v>
      </c>
      <c r="N19" s="22">
        <v>0.3</v>
      </c>
      <c r="O19" s="31">
        <v>0.6</v>
      </c>
      <c r="P19" t="b">
        <f>M19=[4]payscales!M19</f>
        <v>1</v>
      </c>
      <c r="Q19" s="41">
        <v>33487</v>
      </c>
      <c r="R19" s="17">
        <v>40185</v>
      </c>
      <c r="S19" s="17">
        <v>38511</v>
      </c>
      <c r="T19" s="17">
        <v>35162</v>
      </c>
      <c r="X19" s="29" t="s">
        <v>51</v>
      </c>
      <c r="Y19" s="20">
        <f>7.5*Y18</f>
        <v>1560</v>
      </c>
      <c r="Z19" s="6"/>
    </row>
    <row r="20" spans="1:28" x14ac:dyDescent="0.35">
      <c r="A20" s="26">
        <v>5</v>
      </c>
      <c r="B20" s="24" t="s">
        <v>52</v>
      </c>
      <c r="C20" s="103">
        <f>HLOOKUP($C$4,$Q$11:$T$41,10,FALSE)</f>
        <v>37796</v>
      </c>
      <c r="D20" s="103">
        <f t="shared" si="0"/>
        <v>0</v>
      </c>
      <c r="E20" s="103">
        <f t="shared" si="1"/>
        <v>37796</v>
      </c>
      <c r="F20" s="103">
        <f t="shared" si="2"/>
        <v>4919.3999999999996</v>
      </c>
      <c r="G20" s="104">
        <f t="shared" si="3"/>
        <v>188.98</v>
      </c>
      <c r="H20" s="103">
        <f t="shared" si="4"/>
        <v>8987.8888000000006</v>
      </c>
      <c r="I20" s="102">
        <f t="shared" si="5"/>
        <v>51892.268800000005</v>
      </c>
      <c r="J20" s="111">
        <v>1560</v>
      </c>
      <c r="K20" s="110">
        <v>1</v>
      </c>
      <c r="L20" s="109">
        <f t="shared" si="6"/>
        <v>1560</v>
      </c>
      <c r="M20" s="151">
        <f t="shared" si="7"/>
        <v>33.26</v>
      </c>
      <c r="N20" s="22">
        <v>0.3</v>
      </c>
      <c r="O20" s="31">
        <v>0.6</v>
      </c>
      <c r="P20" t="b">
        <f>M20=[4]payscales!M20</f>
        <v>1</v>
      </c>
      <c r="Q20" s="41">
        <v>37796</v>
      </c>
      <c r="R20" s="17">
        <v>45356</v>
      </c>
      <c r="S20" s="17">
        <v>43466</v>
      </c>
      <c r="T20" s="17">
        <v>39686</v>
      </c>
      <c r="X20" s="7"/>
      <c r="Z20" s="6"/>
    </row>
    <row r="21" spans="1:28" x14ac:dyDescent="0.35">
      <c r="A21" s="26">
        <v>6</v>
      </c>
      <c r="B21" s="24" t="s">
        <v>53</v>
      </c>
      <c r="C21" s="103">
        <f>HLOOKUP($C$4,$Q$11:$T$41,11,FALSE)</f>
        <v>38682</v>
      </c>
      <c r="D21" s="103">
        <f t="shared" si="0"/>
        <v>0</v>
      </c>
      <c r="E21" s="103">
        <f t="shared" si="1"/>
        <v>38682</v>
      </c>
      <c r="F21" s="103">
        <f t="shared" si="2"/>
        <v>5052.3</v>
      </c>
      <c r="G21" s="104">
        <f t="shared" si="3"/>
        <v>193.41</v>
      </c>
      <c r="H21" s="103">
        <f t="shared" si="4"/>
        <v>9198.5796000000009</v>
      </c>
      <c r="I21" s="102">
        <f t="shared" si="5"/>
        <v>53126.289600000004</v>
      </c>
      <c r="J21" s="111">
        <v>1560</v>
      </c>
      <c r="K21" s="110">
        <v>1</v>
      </c>
      <c r="L21" s="109">
        <f t="shared" si="6"/>
        <v>1560</v>
      </c>
      <c r="M21" s="151">
        <f t="shared" si="7"/>
        <v>34.06</v>
      </c>
      <c r="N21" s="22">
        <v>0.3</v>
      </c>
      <c r="O21" s="31">
        <v>0.6</v>
      </c>
      <c r="P21" t="b">
        <f>M21=[4]payscales!M21</f>
        <v>1</v>
      </c>
      <c r="Q21" s="41">
        <v>38682</v>
      </c>
      <c r="R21" s="17">
        <v>46419</v>
      </c>
      <c r="S21" s="17">
        <v>44485</v>
      </c>
      <c r="T21" s="17">
        <v>40617</v>
      </c>
      <c r="X21" s="7"/>
      <c r="Z21" s="6"/>
    </row>
    <row r="22" spans="1:28" x14ac:dyDescent="0.35">
      <c r="A22" s="26">
        <v>6</v>
      </c>
      <c r="B22" s="24" t="s">
        <v>11</v>
      </c>
      <c r="C22" s="103">
        <f>HLOOKUP($C$4,$Q$11:$T$41,12,FALSE)</f>
        <v>40823</v>
      </c>
      <c r="D22" s="103">
        <f t="shared" si="0"/>
        <v>0</v>
      </c>
      <c r="E22" s="103">
        <f t="shared" si="1"/>
        <v>40823</v>
      </c>
      <c r="F22" s="103">
        <f t="shared" si="2"/>
        <v>5373.45</v>
      </c>
      <c r="G22" s="104">
        <f t="shared" si="3"/>
        <v>204.11500000000001</v>
      </c>
      <c r="H22" s="103">
        <f t="shared" si="4"/>
        <v>9707.7093999999997</v>
      </c>
      <c r="I22" s="102">
        <f t="shared" si="5"/>
        <v>56108.274399999995</v>
      </c>
      <c r="J22" s="111">
        <v>1560</v>
      </c>
      <c r="K22" s="110">
        <v>1</v>
      </c>
      <c r="L22" s="109">
        <f t="shared" si="6"/>
        <v>1560</v>
      </c>
      <c r="M22" s="151">
        <f t="shared" si="7"/>
        <v>35.97</v>
      </c>
      <c r="N22" s="22">
        <v>0.3</v>
      </c>
      <c r="O22" s="31">
        <v>0.6</v>
      </c>
      <c r="P22" t="b">
        <f>M22=[4]payscales!M22</f>
        <v>1</v>
      </c>
      <c r="Q22" s="41">
        <v>40823</v>
      </c>
      <c r="R22" s="17">
        <v>48988</v>
      </c>
      <c r="S22" s="17">
        <v>46764</v>
      </c>
      <c r="T22" s="17">
        <v>42865</v>
      </c>
      <c r="X22" s="29"/>
      <c r="Z22" s="6"/>
    </row>
    <row r="23" spans="1:28" x14ac:dyDescent="0.35">
      <c r="A23" s="26">
        <v>6</v>
      </c>
      <c r="B23" s="24" t="s">
        <v>55</v>
      </c>
      <c r="C23" s="103">
        <f>HLOOKUP($C$4,$Q$11:$T$41,13,FALSE)</f>
        <v>46580</v>
      </c>
      <c r="D23" s="103">
        <f t="shared" si="0"/>
        <v>0</v>
      </c>
      <c r="E23" s="103">
        <f t="shared" si="1"/>
        <v>46580</v>
      </c>
      <c r="F23" s="103">
        <f t="shared" si="2"/>
        <v>6237</v>
      </c>
      <c r="G23" s="104">
        <f t="shared" si="3"/>
        <v>232.9</v>
      </c>
      <c r="H23" s="103">
        <f t="shared" si="4"/>
        <v>11076.724</v>
      </c>
      <c r="I23" s="102">
        <f t="shared" si="5"/>
        <v>64126.624000000003</v>
      </c>
      <c r="J23" s="111">
        <v>1560</v>
      </c>
      <c r="K23" s="110">
        <v>1</v>
      </c>
      <c r="L23" s="109">
        <f t="shared" si="6"/>
        <v>1560</v>
      </c>
      <c r="M23" s="151">
        <f t="shared" si="7"/>
        <v>41.11</v>
      </c>
      <c r="N23" s="22">
        <v>0.3</v>
      </c>
      <c r="O23" s="31">
        <v>0.6</v>
      </c>
      <c r="P23" t="b">
        <f>M23=[4]payscales!M23</f>
        <v>1</v>
      </c>
      <c r="Q23" s="41">
        <v>46580</v>
      </c>
      <c r="R23" s="17">
        <v>55046</v>
      </c>
      <c r="S23" s="17">
        <v>52521</v>
      </c>
      <c r="T23" s="17">
        <v>48778</v>
      </c>
      <c r="X23" s="28" t="s">
        <v>54</v>
      </c>
      <c r="Z23" s="6"/>
    </row>
    <row r="24" spans="1:28" x14ac:dyDescent="0.35">
      <c r="A24" s="26">
        <v>7</v>
      </c>
      <c r="B24" s="24" t="s">
        <v>57</v>
      </c>
      <c r="C24" s="103">
        <f>HLOOKUP($C$4,$Q$11:$T$41,14,FALSE)</f>
        <v>47810</v>
      </c>
      <c r="D24" s="103">
        <f t="shared" si="0"/>
        <v>0</v>
      </c>
      <c r="E24" s="103">
        <f t="shared" si="1"/>
        <v>47810</v>
      </c>
      <c r="F24" s="103">
        <f t="shared" si="2"/>
        <v>6421.5</v>
      </c>
      <c r="G24" s="104">
        <f t="shared" si="3"/>
        <v>239.05</v>
      </c>
      <c r="H24" s="103">
        <f t="shared" si="4"/>
        <v>11369.218000000001</v>
      </c>
      <c r="I24" s="102">
        <f t="shared" si="5"/>
        <v>65839.768000000011</v>
      </c>
      <c r="J24" s="111">
        <v>1560</v>
      </c>
      <c r="K24" s="110">
        <v>1</v>
      </c>
      <c r="L24" s="109">
        <f t="shared" si="6"/>
        <v>1560</v>
      </c>
      <c r="M24" s="151">
        <f t="shared" si="7"/>
        <v>42.2</v>
      </c>
      <c r="N24" s="22">
        <v>0.3</v>
      </c>
      <c r="O24" s="31">
        <v>0.6</v>
      </c>
      <c r="P24" t="b">
        <f>M24=[4]payscales!M24</f>
        <v>1</v>
      </c>
      <c r="Q24" s="41">
        <v>47810</v>
      </c>
      <c r="R24" s="17">
        <v>56276</v>
      </c>
      <c r="S24" s="17">
        <v>53751</v>
      </c>
      <c r="T24" s="17">
        <v>50008</v>
      </c>
      <c r="X24" s="29" t="s">
        <v>56</v>
      </c>
      <c r="Y24" s="86">
        <v>43</v>
      </c>
      <c r="Z24" s="6"/>
    </row>
    <row r="25" spans="1:28" x14ac:dyDescent="0.35">
      <c r="A25" s="26">
        <v>7</v>
      </c>
      <c r="B25" s="24" t="s">
        <v>9</v>
      </c>
      <c r="C25" s="103">
        <f>HLOOKUP($C$4,$Q$11:$T$41,15,FALSE)</f>
        <v>50273</v>
      </c>
      <c r="D25" s="103">
        <f t="shared" si="0"/>
        <v>0</v>
      </c>
      <c r="E25" s="103">
        <f t="shared" si="1"/>
        <v>50273</v>
      </c>
      <c r="F25" s="103">
        <f t="shared" si="2"/>
        <v>6790.95</v>
      </c>
      <c r="G25" s="104">
        <f t="shared" si="3"/>
        <v>251.36500000000001</v>
      </c>
      <c r="H25" s="103">
        <f t="shared" si="4"/>
        <v>11954.919400000001</v>
      </c>
      <c r="I25" s="102">
        <f t="shared" si="5"/>
        <v>69270.234400000001</v>
      </c>
      <c r="J25" s="111">
        <v>1560</v>
      </c>
      <c r="K25" s="110">
        <v>1</v>
      </c>
      <c r="L25" s="109">
        <f t="shared" si="6"/>
        <v>1560</v>
      </c>
      <c r="M25" s="151">
        <f t="shared" si="7"/>
        <v>44.4</v>
      </c>
      <c r="N25" s="22">
        <v>0.3</v>
      </c>
      <c r="O25" s="31">
        <v>0.6</v>
      </c>
      <c r="P25" t="b">
        <f>M25=[4]payscales!M25</f>
        <v>1</v>
      </c>
      <c r="Q25" s="41">
        <v>50273</v>
      </c>
      <c r="R25" s="17">
        <v>58739</v>
      </c>
      <c r="S25" s="17">
        <v>56214</v>
      </c>
      <c r="T25" s="17">
        <v>52471</v>
      </c>
      <c r="X25" s="29"/>
      <c r="Y25" s="86"/>
      <c r="Z25" s="6"/>
    </row>
    <row r="26" spans="1:28" x14ac:dyDescent="0.35">
      <c r="A26" s="26">
        <v>7</v>
      </c>
      <c r="B26" s="24" t="s">
        <v>59</v>
      </c>
      <c r="C26" s="103">
        <f>HLOOKUP($C$4,$Q$11:$T$41,16,FALSE)</f>
        <v>54710</v>
      </c>
      <c r="D26" s="103">
        <f t="shared" si="0"/>
        <v>0</v>
      </c>
      <c r="E26" s="103">
        <f t="shared" si="1"/>
        <v>54710</v>
      </c>
      <c r="F26" s="103">
        <f t="shared" si="2"/>
        <v>7456.5</v>
      </c>
      <c r="G26" s="104">
        <f t="shared" si="3"/>
        <v>273.55</v>
      </c>
      <c r="H26" s="103">
        <f t="shared" si="4"/>
        <v>13010.038</v>
      </c>
      <c r="I26" s="102">
        <f t="shared" si="5"/>
        <v>75450.088000000003</v>
      </c>
      <c r="J26" s="111">
        <v>1560</v>
      </c>
      <c r="K26" s="110">
        <v>1</v>
      </c>
      <c r="L26" s="109">
        <f t="shared" si="6"/>
        <v>1560</v>
      </c>
      <c r="M26" s="151">
        <f t="shared" si="7"/>
        <v>48.37</v>
      </c>
      <c r="N26" s="22">
        <v>0.3</v>
      </c>
      <c r="O26" s="31">
        <v>0.6</v>
      </c>
      <c r="P26" t="b">
        <f>M26=[4]payscales!M26</f>
        <v>1</v>
      </c>
      <c r="Q26" s="41">
        <v>54710</v>
      </c>
      <c r="R26" s="17">
        <v>63176</v>
      </c>
      <c r="S26" s="17">
        <v>60651</v>
      </c>
      <c r="T26" s="17">
        <v>56908</v>
      </c>
      <c r="X26" s="29" t="s">
        <v>58</v>
      </c>
      <c r="Y26" s="86">
        <v>10</v>
      </c>
      <c r="Z26" s="6"/>
      <c r="AB26" s="42"/>
    </row>
    <row r="27" spans="1:28" x14ac:dyDescent="0.35">
      <c r="A27" s="26" t="s">
        <v>61</v>
      </c>
      <c r="B27" s="24" t="s">
        <v>10</v>
      </c>
      <c r="C27" s="103">
        <f>HLOOKUP($C$4,$Q$11:$T$41,17,FALSE)</f>
        <v>55690</v>
      </c>
      <c r="D27" s="103">
        <f t="shared" si="0"/>
        <v>0</v>
      </c>
      <c r="E27" s="103">
        <f t="shared" si="1"/>
        <v>55690</v>
      </c>
      <c r="F27" s="103">
        <f t="shared" si="2"/>
        <v>7603.5</v>
      </c>
      <c r="G27" s="104">
        <f t="shared" si="3"/>
        <v>278.45</v>
      </c>
      <c r="H27" s="103">
        <f t="shared" si="4"/>
        <v>13243.082</v>
      </c>
      <c r="I27" s="102">
        <f t="shared" si="5"/>
        <v>76815.031999999992</v>
      </c>
      <c r="J27" s="111">
        <v>1560</v>
      </c>
      <c r="K27" s="110">
        <v>1</v>
      </c>
      <c r="L27" s="109">
        <f t="shared" si="6"/>
        <v>1560</v>
      </c>
      <c r="M27" s="151">
        <f t="shared" si="7"/>
        <v>49.24</v>
      </c>
      <c r="N27" s="22">
        <v>0.3</v>
      </c>
      <c r="O27" s="31">
        <v>0.6</v>
      </c>
      <c r="P27" t="b">
        <f>M27=[4]payscales!M27</f>
        <v>1</v>
      </c>
      <c r="Q27" s="41">
        <v>55690</v>
      </c>
      <c r="R27" s="17">
        <v>64156</v>
      </c>
      <c r="S27" s="17">
        <v>61631</v>
      </c>
      <c r="T27" s="17">
        <v>57888</v>
      </c>
      <c r="X27" s="29" t="s">
        <v>60</v>
      </c>
      <c r="Y27" s="86">
        <v>-2</v>
      </c>
      <c r="Z27" s="6"/>
      <c r="AB27" s="42"/>
    </row>
    <row r="28" spans="1:28" x14ac:dyDescent="0.35">
      <c r="A28" s="26" t="s">
        <v>61</v>
      </c>
      <c r="B28" s="24" t="s">
        <v>12</v>
      </c>
      <c r="C28" s="103">
        <f>HLOOKUP($C$4,$Q$11:$T$41,18,FALSE)</f>
        <v>58487</v>
      </c>
      <c r="D28" s="103">
        <f t="shared" si="0"/>
        <v>0</v>
      </c>
      <c r="E28" s="103">
        <f t="shared" si="1"/>
        <v>58487</v>
      </c>
      <c r="F28" s="103">
        <f t="shared" si="2"/>
        <v>8023.0499999999993</v>
      </c>
      <c r="G28" s="104">
        <f t="shared" si="3"/>
        <v>292.435</v>
      </c>
      <c r="H28" s="103">
        <f t="shared" si="4"/>
        <v>13908.2086</v>
      </c>
      <c r="I28" s="102">
        <f t="shared" si="5"/>
        <v>80710.693599999999</v>
      </c>
      <c r="J28" s="111">
        <v>1560</v>
      </c>
      <c r="K28" s="110">
        <v>1</v>
      </c>
      <c r="L28" s="109">
        <f t="shared" si="6"/>
        <v>1560</v>
      </c>
      <c r="M28" s="151">
        <f t="shared" si="7"/>
        <v>51.74</v>
      </c>
      <c r="N28" s="22">
        <v>0.3</v>
      </c>
      <c r="O28" s="31">
        <v>0.6</v>
      </c>
      <c r="P28" t="b">
        <f>M28=[4]payscales!M28</f>
        <v>1</v>
      </c>
      <c r="Q28" s="41">
        <v>58487</v>
      </c>
      <c r="R28" s="17">
        <v>66953</v>
      </c>
      <c r="S28" s="17">
        <v>64428</v>
      </c>
      <c r="T28" s="17">
        <v>60685</v>
      </c>
      <c r="X28" s="29"/>
      <c r="Y28" s="68">
        <v>8</v>
      </c>
      <c r="Z28" s="6"/>
    </row>
    <row r="29" spans="1:28" x14ac:dyDescent="0.35">
      <c r="A29" s="26" t="s">
        <v>61</v>
      </c>
      <c r="B29" s="24" t="s">
        <v>63</v>
      </c>
      <c r="C29" s="103">
        <f>HLOOKUP($C$4,$Q$11:$T$41,19,FALSE)</f>
        <v>62682</v>
      </c>
      <c r="D29" s="103">
        <f t="shared" si="0"/>
        <v>0</v>
      </c>
      <c r="E29" s="103">
        <f t="shared" si="1"/>
        <v>62682</v>
      </c>
      <c r="F29" s="103">
        <f t="shared" si="2"/>
        <v>8652.2999999999993</v>
      </c>
      <c r="G29" s="104">
        <f t="shared" si="3"/>
        <v>313.41000000000003</v>
      </c>
      <c r="H29" s="103">
        <f t="shared" si="4"/>
        <v>14905.7796</v>
      </c>
      <c r="I29" s="102">
        <f t="shared" si="5"/>
        <v>86553.489600000001</v>
      </c>
      <c r="J29" s="111">
        <v>1560</v>
      </c>
      <c r="K29" s="110">
        <v>1</v>
      </c>
      <c r="L29" s="109">
        <f t="shared" si="6"/>
        <v>1560</v>
      </c>
      <c r="M29" s="151">
        <f t="shared" si="7"/>
        <v>55.48</v>
      </c>
      <c r="N29" s="22">
        <v>0.3</v>
      </c>
      <c r="O29" s="31">
        <v>0.6</v>
      </c>
      <c r="P29" t="b">
        <f>M29=[4]payscales!M29</f>
        <v>1</v>
      </c>
      <c r="Q29" s="41">
        <v>62682</v>
      </c>
      <c r="R29" s="17">
        <v>71148</v>
      </c>
      <c r="S29" s="17">
        <v>68623</v>
      </c>
      <c r="T29" s="17">
        <v>64880</v>
      </c>
      <c r="X29" s="29" t="s">
        <v>62</v>
      </c>
      <c r="Y29" s="20">
        <f>Y28*4*Y24</f>
        <v>1376</v>
      </c>
      <c r="Z29" s="6"/>
      <c r="AA29" s="41"/>
      <c r="AB29" s="42"/>
    </row>
    <row r="30" spans="1:28" x14ac:dyDescent="0.35">
      <c r="A30" s="26" t="s">
        <v>64</v>
      </c>
      <c r="B30" s="24" t="s">
        <v>65</v>
      </c>
      <c r="C30" s="103">
        <f>HLOOKUP($C$4,$Q$11:$T$41,20,FALSE)</f>
        <v>64455</v>
      </c>
      <c r="D30" s="103">
        <f t="shared" si="0"/>
        <v>0</v>
      </c>
      <c r="E30" s="103">
        <f t="shared" si="1"/>
        <v>64455</v>
      </c>
      <c r="F30" s="103">
        <f t="shared" si="2"/>
        <v>8918.25</v>
      </c>
      <c r="G30" s="104">
        <f t="shared" si="3"/>
        <v>322.27500000000003</v>
      </c>
      <c r="H30" s="103">
        <f t="shared" si="4"/>
        <v>15327.399000000001</v>
      </c>
      <c r="I30" s="102">
        <f t="shared" si="5"/>
        <v>89022.923999999999</v>
      </c>
      <c r="J30" s="111">
        <v>1560</v>
      </c>
      <c r="K30" s="110">
        <v>1</v>
      </c>
      <c r="L30" s="109">
        <f t="shared" si="6"/>
        <v>1560</v>
      </c>
      <c r="M30" s="151">
        <f t="shared" si="7"/>
        <v>57.07</v>
      </c>
      <c r="N30" s="22">
        <v>0.3</v>
      </c>
      <c r="O30" s="31">
        <v>0.6</v>
      </c>
      <c r="P30" t="b">
        <f>M30=[4]payscales!M30</f>
        <v>1</v>
      </c>
      <c r="Q30" s="41">
        <v>64455</v>
      </c>
      <c r="R30" s="17">
        <v>72921</v>
      </c>
      <c r="S30" s="17">
        <v>70396</v>
      </c>
      <c r="T30" s="17">
        <v>66653</v>
      </c>
      <c r="X30" s="7"/>
      <c r="Z30" s="6"/>
    </row>
    <row r="31" spans="1:28" x14ac:dyDescent="0.35">
      <c r="A31" s="26" t="s">
        <v>64</v>
      </c>
      <c r="B31" s="24" t="s">
        <v>66</v>
      </c>
      <c r="C31" s="103">
        <f>HLOOKUP($C$4,$Q$11:$T$41,21,FALSE)</f>
        <v>68631</v>
      </c>
      <c r="D31" s="103">
        <f t="shared" si="0"/>
        <v>0</v>
      </c>
      <c r="E31" s="103">
        <f t="shared" si="1"/>
        <v>68631</v>
      </c>
      <c r="F31" s="103">
        <f t="shared" si="2"/>
        <v>9544.65</v>
      </c>
      <c r="G31" s="104">
        <f t="shared" si="3"/>
        <v>343.15500000000003</v>
      </c>
      <c r="H31" s="103">
        <f t="shared" si="4"/>
        <v>16320.451800000001</v>
      </c>
      <c r="I31" s="102">
        <f t="shared" si="5"/>
        <v>94839.256799999988</v>
      </c>
      <c r="J31" s="111">
        <v>1560</v>
      </c>
      <c r="K31" s="110">
        <v>1</v>
      </c>
      <c r="L31" s="109">
        <f t="shared" si="6"/>
        <v>1560</v>
      </c>
      <c r="M31" s="151">
        <f t="shared" si="7"/>
        <v>60.79</v>
      </c>
      <c r="N31" s="22">
        <v>0.3</v>
      </c>
      <c r="O31" s="31">
        <v>0.6</v>
      </c>
      <c r="P31" t="b">
        <f>M31=[4]payscales!M31</f>
        <v>1</v>
      </c>
      <c r="Q31" s="41">
        <v>68631</v>
      </c>
      <c r="R31" s="17">
        <v>77097</v>
      </c>
      <c r="S31" s="17">
        <v>74572</v>
      </c>
      <c r="T31" s="17">
        <v>70829</v>
      </c>
      <c r="X31" s="29"/>
      <c r="Z31" s="6"/>
    </row>
    <row r="32" spans="1:28" x14ac:dyDescent="0.35">
      <c r="A32" s="26" t="s">
        <v>64</v>
      </c>
      <c r="B32" s="24" t="s">
        <v>68</v>
      </c>
      <c r="C32" s="103">
        <f>HLOOKUP($C$4,$Q$11:$T$41,22,FALSE)</f>
        <v>74896</v>
      </c>
      <c r="D32" s="103">
        <f t="shared" si="0"/>
        <v>0</v>
      </c>
      <c r="E32" s="103">
        <f t="shared" si="1"/>
        <v>74896</v>
      </c>
      <c r="F32" s="103">
        <f t="shared" si="2"/>
        <v>10484.4</v>
      </c>
      <c r="G32" s="104">
        <f t="shared" si="3"/>
        <v>374.48</v>
      </c>
      <c r="H32" s="103">
        <f t="shared" si="4"/>
        <v>17810.268800000002</v>
      </c>
      <c r="I32" s="102">
        <f t="shared" si="5"/>
        <v>103565.1488</v>
      </c>
      <c r="J32" s="111">
        <v>1560</v>
      </c>
      <c r="K32" s="110">
        <v>1</v>
      </c>
      <c r="L32" s="109">
        <f t="shared" si="6"/>
        <v>1560</v>
      </c>
      <c r="M32" s="151">
        <f t="shared" si="7"/>
        <v>66.39</v>
      </c>
      <c r="N32" s="22">
        <v>0.3</v>
      </c>
      <c r="O32" s="31">
        <v>0.6</v>
      </c>
      <c r="P32" t="b">
        <f>M32=[4]payscales!M32</f>
        <v>1</v>
      </c>
      <c r="Q32" s="41">
        <v>74896</v>
      </c>
      <c r="R32" s="17">
        <v>83362</v>
      </c>
      <c r="S32" s="17">
        <v>80837</v>
      </c>
      <c r="T32" s="17">
        <v>77094</v>
      </c>
      <c r="X32" s="28" t="s">
        <v>67</v>
      </c>
      <c r="Z32" s="6"/>
    </row>
    <row r="33" spans="1:26" x14ac:dyDescent="0.35">
      <c r="A33" s="26" t="s">
        <v>70</v>
      </c>
      <c r="B33" s="24" t="s">
        <v>71</v>
      </c>
      <c r="C33" s="103">
        <f>HLOOKUP($C$4,$Q$11:$T$41,23,FALSE)</f>
        <v>76965</v>
      </c>
      <c r="D33" s="103">
        <f t="shared" si="0"/>
        <v>0</v>
      </c>
      <c r="E33" s="103">
        <f t="shared" si="1"/>
        <v>76965</v>
      </c>
      <c r="F33" s="103">
        <f t="shared" si="2"/>
        <v>10794.75</v>
      </c>
      <c r="G33" s="104">
        <f t="shared" si="3"/>
        <v>384.82499999999999</v>
      </c>
      <c r="H33" s="103">
        <f t="shared" si="4"/>
        <v>18302.277000000002</v>
      </c>
      <c r="I33" s="102">
        <f t="shared" si="5"/>
        <v>106446.852</v>
      </c>
      <c r="J33" s="111">
        <v>1560</v>
      </c>
      <c r="K33" s="110">
        <v>1</v>
      </c>
      <c r="L33" s="109">
        <f t="shared" si="6"/>
        <v>1560</v>
      </c>
      <c r="M33" s="151">
        <f t="shared" si="7"/>
        <v>68.239999999999995</v>
      </c>
      <c r="N33" s="22">
        <v>0.3</v>
      </c>
      <c r="O33" s="31">
        <v>0.6</v>
      </c>
      <c r="P33" t="b">
        <f>M33=[4]payscales!M33</f>
        <v>1</v>
      </c>
      <c r="Q33" s="41">
        <v>76965</v>
      </c>
      <c r="R33" s="17">
        <v>85431</v>
      </c>
      <c r="S33" s="17">
        <v>82906</v>
      </c>
      <c r="T33" s="17">
        <v>79163</v>
      </c>
      <c r="X33" s="29" t="s">
        <v>69</v>
      </c>
      <c r="Y33" s="86">
        <v>44.7</v>
      </c>
      <c r="Z33" s="6"/>
    </row>
    <row r="34" spans="1:26" x14ac:dyDescent="0.35">
      <c r="A34" s="26" t="s">
        <v>70</v>
      </c>
      <c r="B34" s="24" t="s">
        <v>73</v>
      </c>
      <c r="C34" s="103">
        <f>HLOOKUP($C$4,$Q$11:$T$41,24,FALSE)</f>
        <v>81652</v>
      </c>
      <c r="D34" s="103">
        <f t="shared" si="0"/>
        <v>0</v>
      </c>
      <c r="E34" s="103">
        <f t="shared" si="1"/>
        <v>81652</v>
      </c>
      <c r="F34" s="103">
        <f t="shared" si="2"/>
        <v>11497.8</v>
      </c>
      <c r="G34" s="104">
        <f t="shared" si="3"/>
        <v>408.26</v>
      </c>
      <c r="H34" s="103">
        <f t="shared" si="4"/>
        <v>19416.845600000001</v>
      </c>
      <c r="I34" s="102">
        <f t="shared" si="5"/>
        <v>112974.9056</v>
      </c>
      <c r="J34" s="111">
        <v>1560</v>
      </c>
      <c r="K34" s="110">
        <v>1</v>
      </c>
      <c r="L34" s="109">
        <f t="shared" si="6"/>
        <v>1560</v>
      </c>
      <c r="M34" s="151">
        <f t="shared" si="7"/>
        <v>72.42</v>
      </c>
      <c r="N34" s="22">
        <v>0.3</v>
      </c>
      <c r="O34" s="31">
        <v>0.6</v>
      </c>
      <c r="P34" t="b">
        <f>M34=[4]payscales!M34</f>
        <v>1</v>
      </c>
      <c r="Q34" s="41">
        <v>81652</v>
      </c>
      <c r="R34" s="17">
        <v>90118</v>
      </c>
      <c r="S34" s="17">
        <v>87593</v>
      </c>
      <c r="T34" s="17">
        <v>83850</v>
      </c>
      <c r="X34" s="29" t="s">
        <v>72</v>
      </c>
      <c r="Y34" s="86">
        <v>48</v>
      </c>
      <c r="Z34" s="6"/>
    </row>
    <row r="35" spans="1:26" x14ac:dyDescent="0.35">
      <c r="A35" s="26" t="s">
        <v>70</v>
      </c>
      <c r="B35" s="24" t="s">
        <v>75</v>
      </c>
      <c r="C35" s="103">
        <f>HLOOKUP($C$4,$Q$11:$T$41,25,FALSE)</f>
        <v>88682</v>
      </c>
      <c r="D35" s="103">
        <f t="shared" si="0"/>
        <v>0</v>
      </c>
      <c r="E35" s="103">
        <f t="shared" si="1"/>
        <v>88682</v>
      </c>
      <c r="F35" s="103">
        <f t="shared" si="2"/>
        <v>12552.3</v>
      </c>
      <c r="G35" s="104">
        <f t="shared" si="3"/>
        <v>443.41</v>
      </c>
      <c r="H35" s="103">
        <f t="shared" si="4"/>
        <v>21088.579600000001</v>
      </c>
      <c r="I35" s="102">
        <f t="shared" si="5"/>
        <v>122766.2896</v>
      </c>
      <c r="J35" s="111">
        <v>1560</v>
      </c>
      <c r="K35" s="110">
        <v>1</v>
      </c>
      <c r="L35" s="109">
        <f t="shared" si="6"/>
        <v>1560</v>
      </c>
      <c r="M35" s="151">
        <f t="shared" si="7"/>
        <v>78.7</v>
      </c>
      <c r="N35" s="22">
        <v>0.3</v>
      </c>
      <c r="O35" s="31">
        <v>0.6</v>
      </c>
      <c r="P35" t="b">
        <f>M35=[4]payscales!M35</f>
        <v>1</v>
      </c>
      <c r="Q35" s="41">
        <v>88682</v>
      </c>
      <c r="R35" s="17">
        <v>97148</v>
      </c>
      <c r="S35" s="17">
        <v>94623</v>
      </c>
      <c r="T35" s="17">
        <v>90880</v>
      </c>
      <c r="X35" s="29" t="s">
        <v>74</v>
      </c>
      <c r="Y35" s="86">
        <v>2145.6</v>
      </c>
      <c r="Z35" s="6"/>
    </row>
    <row r="36" spans="1:26" x14ac:dyDescent="0.35">
      <c r="A36" s="26" t="s">
        <v>77</v>
      </c>
      <c r="B36" s="24" t="s">
        <v>78</v>
      </c>
      <c r="C36" s="103">
        <f>HLOOKUP($C$4,$Q$11:$T$41,26,FALSE)</f>
        <v>91342</v>
      </c>
      <c r="D36" s="103">
        <f t="shared" si="0"/>
        <v>0</v>
      </c>
      <c r="E36" s="103">
        <f t="shared" si="1"/>
        <v>91342</v>
      </c>
      <c r="F36" s="103">
        <f t="shared" si="2"/>
        <v>12951.3</v>
      </c>
      <c r="G36" s="104">
        <f t="shared" si="3"/>
        <v>456.71000000000004</v>
      </c>
      <c r="H36" s="103">
        <f t="shared" si="4"/>
        <v>21721.1276</v>
      </c>
      <c r="I36" s="102">
        <f t="shared" si="5"/>
        <v>126471.13760000002</v>
      </c>
      <c r="J36" s="111">
        <v>1560</v>
      </c>
      <c r="K36" s="110">
        <v>1</v>
      </c>
      <c r="L36" s="109">
        <f t="shared" si="6"/>
        <v>1560</v>
      </c>
      <c r="M36" s="151">
        <f t="shared" si="7"/>
        <v>81.069999999999993</v>
      </c>
      <c r="N36" s="22">
        <v>0.3</v>
      </c>
      <c r="O36" s="31">
        <v>0.6</v>
      </c>
      <c r="P36" t="b">
        <f>M36=[4]payscales!M36</f>
        <v>1</v>
      </c>
      <c r="Q36" s="41">
        <v>91342</v>
      </c>
      <c r="R36" s="17">
        <v>99808</v>
      </c>
      <c r="S36" s="17">
        <v>97283</v>
      </c>
      <c r="T36" s="17">
        <v>93540</v>
      </c>
      <c r="X36" s="29" t="s">
        <v>76</v>
      </c>
      <c r="Y36" s="87">
        <v>0.6</v>
      </c>
      <c r="Z36" s="6"/>
    </row>
    <row r="37" spans="1:26" x14ac:dyDescent="0.35">
      <c r="A37" s="26" t="s">
        <v>77</v>
      </c>
      <c r="B37" s="24" t="s">
        <v>80</v>
      </c>
      <c r="C37" s="103">
        <f>HLOOKUP($C$4,$Q$11:$T$41,27,FALSE)</f>
        <v>96941</v>
      </c>
      <c r="D37" s="103">
        <f t="shared" si="0"/>
        <v>0</v>
      </c>
      <c r="E37" s="103">
        <f t="shared" si="1"/>
        <v>96941</v>
      </c>
      <c r="F37" s="103">
        <f t="shared" si="2"/>
        <v>13791.15</v>
      </c>
      <c r="G37" s="104">
        <f t="shared" si="3"/>
        <v>484.70499999999998</v>
      </c>
      <c r="H37" s="103">
        <f t="shared" si="4"/>
        <v>23052.569800000001</v>
      </c>
      <c r="I37" s="102">
        <f t="shared" si="5"/>
        <v>134269.42480000001</v>
      </c>
      <c r="J37" s="111">
        <v>1560</v>
      </c>
      <c r="K37" s="110">
        <v>1</v>
      </c>
      <c r="L37" s="109">
        <f t="shared" si="6"/>
        <v>1560</v>
      </c>
      <c r="M37" s="151">
        <f t="shared" si="7"/>
        <v>86.07</v>
      </c>
      <c r="N37" s="22">
        <v>0.3</v>
      </c>
      <c r="O37" s="31">
        <v>0.6</v>
      </c>
      <c r="P37" t="b">
        <f>M37=[4]payscales!M37</f>
        <v>1</v>
      </c>
      <c r="Q37" s="41">
        <v>96941</v>
      </c>
      <c r="R37" s="17">
        <v>105407</v>
      </c>
      <c r="S37" s="17">
        <v>102882</v>
      </c>
      <c r="T37" s="17">
        <v>99139</v>
      </c>
      <c r="X37" s="29" t="s">
        <v>79</v>
      </c>
      <c r="Y37" s="69">
        <f>ROUND(Y36*Y35,0)</f>
        <v>1287</v>
      </c>
      <c r="Z37" s="6"/>
    </row>
    <row r="38" spans="1:26" x14ac:dyDescent="0.35">
      <c r="A38" s="26" t="s">
        <v>77</v>
      </c>
      <c r="B38" s="24" t="s">
        <v>81</v>
      </c>
      <c r="C38" s="103">
        <f>HLOOKUP($C$4,$Q$11:$T$41,28,FALSE)</f>
        <v>105337</v>
      </c>
      <c r="D38" s="103">
        <f t="shared" si="0"/>
        <v>0</v>
      </c>
      <c r="E38" s="103">
        <f t="shared" si="1"/>
        <v>105337</v>
      </c>
      <c r="F38" s="103">
        <f t="shared" si="2"/>
        <v>15050.55</v>
      </c>
      <c r="G38" s="104">
        <f t="shared" si="3"/>
        <v>526.68500000000006</v>
      </c>
      <c r="H38" s="103">
        <f t="shared" si="4"/>
        <v>25049.138600000002</v>
      </c>
      <c r="I38" s="102">
        <f t="shared" si="5"/>
        <v>145963.37359999999</v>
      </c>
      <c r="J38" s="111">
        <v>1560</v>
      </c>
      <c r="K38" s="110">
        <v>1</v>
      </c>
      <c r="L38" s="109">
        <f t="shared" si="6"/>
        <v>1560</v>
      </c>
      <c r="M38" s="151">
        <f t="shared" si="7"/>
        <v>93.57</v>
      </c>
      <c r="N38" s="22">
        <v>0.3</v>
      </c>
      <c r="O38" s="31">
        <v>0.6</v>
      </c>
      <c r="P38" t="b">
        <f>M38=[4]payscales!M38</f>
        <v>1</v>
      </c>
      <c r="Q38" s="41">
        <v>105337</v>
      </c>
      <c r="R38" s="17">
        <v>113803</v>
      </c>
      <c r="S38" s="17">
        <v>111278</v>
      </c>
      <c r="T38" s="17">
        <v>107535</v>
      </c>
      <c r="X38" s="8"/>
      <c r="Y38" s="9"/>
      <c r="Z38" s="10"/>
    </row>
    <row r="39" spans="1:26" x14ac:dyDescent="0.35">
      <c r="A39" s="26">
        <v>9</v>
      </c>
      <c r="B39" s="24" t="s">
        <v>82</v>
      </c>
      <c r="C39" s="103">
        <f>HLOOKUP($C$4,$Q$11:$T$41,29,FALSE)</f>
        <v>109179</v>
      </c>
      <c r="D39" s="103">
        <f t="shared" si="0"/>
        <v>0</v>
      </c>
      <c r="E39" s="103">
        <f t="shared" si="1"/>
        <v>109179</v>
      </c>
      <c r="F39" s="103">
        <f t="shared" si="2"/>
        <v>15626.849999999999</v>
      </c>
      <c r="G39" s="104">
        <f t="shared" si="3"/>
        <v>545.89499999999998</v>
      </c>
      <c r="H39" s="103">
        <f t="shared" si="4"/>
        <v>25962.766200000002</v>
      </c>
      <c r="I39" s="102">
        <f t="shared" si="5"/>
        <v>151314.51120000001</v>
      </c>
      <c r="J39" s="111">
        <v>1560</v>
      </c>
      <c r="K39" s="110">
        <v>1</v>
      </c>
      <c r="L39" s="109">
        <f t="shared" si="6"/>
        <v>1560</v>
      </c>
      <c r="M39" s="151">
        <f t="shared" si="7"/>
        <v>97</v>
      </c>
      <c r="N39" s="22">
        <v>0.3</v>
      </c>
      <c r="O39" s="31">
        <v>0.6</v>
      </c>
      <c r="P39" t="b">
        <f>M39=[4]payscales!M39</f>
        <v>1</v>
      </c>
      <c r="Q39" s="41">
        <v>109179</v>
      </c>
      <c r="R39" s="17">
        <v>117645</v>
      </c>
      <c r="S39" s="17">
        <v>115120</v>
      </c>
      <c r="T39" s="17">
        <v>111377</v>
      </c>
    </row>
    <row r="40" spans="1:26" x14ac:dyDescent="0.35">
      <c r="A40" s="26">
        <v>9</v>
      </c>
      <c r="B40" s="24" t="s">
        <v>83</v>
      </c>
      <c r="C40" s="103">
        <f>HLOOKUP($C$4,$Q$11:$T$41,30,FALSE)</f>
        <v>115763</v>
      </c>
      <c r="D40" s="103">
        <f t="shared" si="0"/>
        <v>0</v>
      </c>
      <c r="E40" s="103">
        <f t="shared" si="1"/>
        <v>115763</v>
      </c>
      <c r="F40" s="103">
        <f t="shared" si="2"/>
        <v>16614.45</v>
      </c>
      <c r="G40" s="104">
        <f t="shared" si="3"/>
        <v>578.81500000000005</v>
      </c>
      <c r="H40" s="103">
        <f t="shared" si="4"/>
        <v>27528.4414</v>
      </c>
      <c r="I40" s="102">
        <f t="shared" si="5"/>
        <v>160484.70640000002</v>
      </c>
      <c r="J40" s="111">
        <v>1560</v>
      </c>
      <c r="K40" s="110">
        <v>1</v>
      </c>
      <c r="L40" s="109">
        <f t="shared" si="6"/>
        <v>1560</v>
      </c>
      <c r="M40" s="151">
        <f t="shared" si="7"/>
        <v>102.87</v>
      </c>
      <c r="N40" s="22">
        <v>0.3</v>
      </c>
      <c r="O40" s="31">
        <v>0.6</v>
      </c>
      <c r="P40" t="b">
        <f>M40=[4]payscales!M40</f>
        <v>1</v>
      </c>
      <c r="Q40" s="41">
        <v>115763</v>
      </c>
      <c r="R40" s="17">
        <v>124229</v>
      </c>
      <c r="S40" s="17">
        <v>121704</v>
      </c>
      <c r="T40" s="17">
        <v>117961</v>
      </c>
    </row>
    <row r="41" spans="1:26" x14ac:dyDescent="0.35">
      <c r="A41" s="26">
        <v>9</v>
      </c>
      <c r="B41" s="24" t="s">
        <v>84</v>
      </c>
      <c r="C41" s="103">
        <f>HLOOKUP($C$4,$Q$11:$T$41,31,FALSE)</f>
        <v>125637</v>
      </c>
      <c r="D41" s="103">
        <f t="shared" si="0"/>
        <v>0</v>
      </c>
      <c r="E41" s="103">
        <f t="shared" si="1"/>
        <v>125637</v>
      </c>
      <c r="F41" s="103">
        <f t="shared" si="2"/>
        <v>18095.55</v>
      </c>
      <c r="G41" s="104">
        <f t="shared" si="3"/>
        <v>628.18500000000006</v>
      </c>
      <c r="H41" s="103">
        <f t="shared" si="4"/>
        <v>29876.478600000002</v>
      </c>
      <c r="I41" s="102">
        <f t="shared" si="5"/>
        <v>174237.21359999999</v>
      </c>
      <c r="J41" s="111">
        <v>1560</v>
      </c>
      <c r="K41" s="110">
        <v>1</v>
      </c>
      <c r="L41" s="109">
        <f t="shared" si="6"/>
        <v>1560</v>
      </c>
      <c r="M41" s="151">
        <f t="shared" si="7"/>
        <v>111.69</v>
      </c>
      <c r="N41" s="22">
        <v>0.3</v>
      </c>
      <c r="O41" s="31">
        <v>0.6</v>
      </c>
      <c r="P41" t="b">
        <f>M41=[4]payscales!M41</f>
        <v>1</v>
      </c>
      <c r="Q41" s="41">
        <v>125637</v>
      </c>
      <c r="R41" s="17">
        <v>134103</v>
      </c>
      <c r="S41" s="17">
        <v>131578</v>
      </c>
      <c r="T41" s="17">
        <v>127835</v>
      </c>
    </row>
    <row r="42" spans="1:26" x14ac:dyDescent="0.35">
      <c r="A42" s="26" t="s">
        <v>67</v>
      </c>
      <c r="B42" s="2" t="s">
        <v>85</v>
      </c>
      <c r="C42" s="103">
        <v>76037.52</v>
      </c>
      <c r="D42" s="103">
        <f t="shared" si="0"/>
        <v>0</v>
      </c>
      <c r="E42" s="103">
        <f t="shared" si="1"/>
        <v>76037.52</v>
      </c>
      <c r="F42" s="103">
        <f t="shared" si="2"/>
        <v>10655.628000000001</v>
      </c>
      <c r="G42" s="104">
        <f t="shared" si="3"/>
        <v>380.18760000000003</v>
      </c>
      <c r="H42" s="103">
        <f>C42*0.2068</f>
        <v>15724.559136000002</v>
      </c>
      <c r="I42" s="102">
        <f t="shared" si="5"/>
        <v>102797.894736</v>
      </c>
      <c r="J42" s="111">
        <f>Y35</f>
        <v>2145.6</v>
      </c>
      <c r="K42" s="110">
        <v>0.6</v>
      </c>
      <c r="L42" s="109">
        <f t="shared" si="6"/>
        <v>1287.3599999999999</v>
      </c>
      <c r="M42" s="151">
        <f>I42/J42</f>
        <v>47.911024765100677</v>
      </c>
      <c r="N42" s="23">
        <v>0</v>
      </c>
      <c r="O42" s="32">
        <v>0</v>
      </c>
      <c r="P42" t="b">
        <f>M42=[4]payscales!M42</f>
        <v>0</v>
      </c>
    </row>
    <row r="43" spans="1:26" x14ac:dyDescent="0.35">
      <c r="A43" s="26" t="s">
        <v>67</v>
      </c>
      <c r="B43" s="2" t="s">
        <v>86</v>
      </c>
      <c r="C43" s="103">
        <v>95390.36</v>
      </c>
      <c r="D43" s="103">
        <f t="shared" si="0"/>
        <v>0</v>
      </c>
      <c r="E43" s="103">
        <f t="shared" si="1"/>
        <v>95390.36</v>
      </c>
      <c r="F43" s="103">
        <f t="shared" si="2"/>
        <v>13558.554</v>
      </c>
      <c r="G43" s="104">
        <f t="shared" si="3"/>
        <v>476.95179999999999</v>
      </c>
      <c r="H43" s="103">
        <f>C43*0.2068</f>
        <v>19726.726448000001</v>
      </c>
      <c r="I43" s="102">
        <f t="shared" si="5"/>
        <v>129152.592248</v>
      </c>
      <c r="J43" s="111">
        <f>Y35</f>
        <v>2145.6</v>
      </c>
      <c r="K43" s="110">
        <v>0.6</v>
      </c>
      <c r="L43" s="109">
        <f t="shared" si="6"/>
        <v>1287.3599999999999</v>
      </c>
      <c r="M43" s="151">
        <f t="shared" ref="M43:M44" si="8">I43/J43</f>
        <v>60.194161189410892</v>
      </c>
      <c r="N43" s="23">
        <v>0</v>
      </c>
      <c r="O43" s="32">
        <v>0</v>
      </c>
      <c r="P43" t="b">
        <f>M43=[4]payscales!M43</f>
        <v>0</v>
      </c>
    </row>
    <row r="44" spans="1:26" x14ac:dyDescent="0.35">
      <c r="A44" s="56" t="s">
        <v>67</v>
      </c>
      <c r="B44" s="57" t="s">
        <v>117</v>
      </c>
      <c r="C44" s="103">
        <v>114743.2</v>
      </c>
      <c r="D44" s="105">
        <f t="shared" si="0"/>
        <v>0</v>
      </c>
      <c r="E44" s="103">
        <f t="shared" si="1"/>
        <v>114743.2</v>
      </c>
      <c r="F44" s="103">
        <f t="shared" si="2"/>
        <v>16461.48</v>
      </c>
      <c r="G44" s="104">
        <f t="shared" si="3"/>
        <v>573.71600000000001</v>
      </c>
      <c r="H44" s="105">
        <f>C44*0.2068</f>
        <v>23728.893759999999</v>
      </c>
      <c r="I44" s="102">
        <f t="shared" si="5"/>
        <v>155507.28975999999</v>
      </c>
      <c r="J44" s="111">
        <f>Y35</f>
        <v>2145.6</v>
      </c>
      <c r="K44" s="110">
        <v>0.6</v>
      </c>
      <c r="L44" s="109">
        <f t="shared" si="6"/>
        <v>1287.3599999999999</v>
      </c>
      <c r="M44" s="151">
        <f t="shared" si="8"/>
        <v>72.477297613721106</v>
      </c>
      <c r="N44" s="23">
        <v>0</v>
      </c>
      <c r="O44" s="32">
        <v>0</v>
      </c>
      <c r="P44" t="b">
        <f>M44=[4]payscales!M44</f>
        <v>0</v>
      </c>
    </row>
    <row r="45" spans="1:26" x14ac:dyDescent="0.35">
      <c r="A45" s="26" t="s">
        <v>54</v>
      </c>
      <c r="B45" s="2" t="s">
        <v>87</v>
      </c>
      <c r="C45" s="103">
        <v>109724.16</v>
      </c>
      <c r="D45" s="103">
        <f t="shared" si="0"/>
        <v>0</v>
      </c>
      <c r="E45" s="103">
        <f t="shared" si="1"/>
        <v>109724.16</v>
      </c>
      <c r="F45" s="103">
        <f t="shared" si="2"/>
        <v>15708.624</v>
      </c>
      <c r="G45" s="104">
        <f t="shared" si="3"/>
        <v>548.62080000000003</v>
      </c>
      <c r="H45" s="103">
        <f t="shared" si="4"/>
        <v>26092.405248000003</v>
      </c>
      <c r="I45" s="102">
        <f t="shared" si="5"/>
        <v>152073.81004800001</v>
      </c>
      <c r="J45" s="111">
        <v>1376</v>
      </c>
      <c r="K45" s="110">
        <v>1</v>
      </c>
      <c r="L45" s="109">
        <f t="shared" si="6"/>
        <v>1376</v>
      </c>
      <c r="M45" s="151">
        <f t="shared" ref="M45:M47" si="9">I45/L45</f>
        <v>110.5187573023256</v>
      </c>
      <c r="N45" s="23">
        <v>0</v>
      </c>
      <c r="O45" s="32">
        <v>0</v>
      </c>
      <c r="P45" t="b">
        <f>M45=[4]payscales!M45</f>
        <v>0</v>
      </c>
    </row>
    <row r="46" spans="1:26" x14ac:dyDescent="0.35">
      <c r="A46" s="26" t="s">
        <v>54</v>
      </c>
      <c r="B46" s="2" t="s">
        <v>8</v>
      </c>
      <c r="C46" s="103">
        <v>126431.136</v>
      </c>
      <c r="D46" s="103">
        <f t="shared" si="0"/>
        <v>0</v>
      </c>
      <c r="E46" s="103">
        <f t="shared" si="1"/>
        <v>126431.136</v>
      </c>
      <c r="F46" s="103">
        <f t="shared" si="2"/>
        <v>18214.670399999999</v>
      </c>
      <c r="G46" s="104">
        <f t="shared" si="3"/>
        <v>632.15567999999996</v>
      </c>
      <c r="H46" s="103">
        <f t="shared" si="4"/>
        <v>30065.324140799999</v>
      </c>
      <c r="I46" s="102">
        <f t="shared" si="5"/>
        <v>175343.28622079999</v>
      </c>
      <c r="J46" s="111">
        <v>1376</v>
      </c>
      <c r="K46" s="110">
        <v>1</v>
      </c>
      <c r="L46" s="109">
        <f t="shared" si="6"/>
        <v>1376</v>
      </c>
      <c r="M46" s="151">
        <f t="shared" si="9"/>
        <v>127.42971382325581</v>
      </c>
      <c r="N46" s="23">
        <v>0</v>
      </c>
      <c r="O46" s="32">
        <v>0</v>
      </c>
      <c r="P46" t="b">
        <f>M46=[4]payscales!M46</f>
        <v>0</v>
      </c>
    </row>
    <row r="47" spans="1:26" ht="15" thickBot="1" x14ac:dyDescent="0.4">
      <c r="A47" s="27" t="s">
        <v>54</v>
      </c>
      <c r="B47" s="25" t="s">
        <v>88</v>
      </c>
      <c r="C47" s="106">
        <v>145477.28</v>
      </c>
      <c r="D47" s="106">
        <f t="shared" si="0"/>
        <v>0</v>
      </c>
      <c r="E47" s="106">
        <f t="shared" si="1"/>
        <v>145477.28</v>
      </c>
      <c r="F47" s="106">
        <f t="shared" si="2"/>
        <v>21071.592000000001</v>
      </c>
      <c r="G47" s="107">
        <f t="shared" si="3"/>
        <v>727.38639999999998</v>
      </c>
      <c r="H47" s="106">
        <f t="shared" si="4"/>
        <v>34594.497184</v>
      </c>
      <c r="I47" s="108">
        <f t="shared" si="5"/>
        <v>201870.755584</v>
      </c>
      <c r="J47" s="112">
        <v>1376</v>
      </c>
      <c r="K47" s="113">
        <v>1</v>
      </c>
      <c r="L47" s="112">
        <f t="shared" si="6"/>
        <v>1376</v>
      </c>
      <c r="M47" s="152">
        <f t="shared" si="9"/>
        <v>146.70839795348837</v>
      </c>
      <c r="N47" s="33">
        <v>0</v>
      </c>
      <c r="O47" s="34">
        <v>0</v>
      </c>
      <c r="P47" t="b">
        <f>M47=[4]payscales!M47</f>
        <v>0</v>
      </c>
    </row>
    <row r="96" ht="23.5" customHeight="1" x14ac:dyDescent="0.35"/>
    <row r="97" ht="55.7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qH3ltNS9v9+wDRMbzCD7MDUWlI1ERskt84bLWirMF3Xg86lkN/KlfoIzybJS+D0b65+pAo8ezWNl8J/0+exfzA==" saltValue="uDDDwJzeB8QvtBRnjeezgQ==" spinCount="100000" sheet="1" objects="1" scenarios="1"/>
  <dataValidations count="1">
    <dataValidation type="list" allowBlank="1" showInputMessage="1" showErrorMessage="1" sqref="C4" xr:uid="{4E4BE1D1-B6A6-4DDF-B51D-0F9E7BFED3E4}">
      <formula1>$U$14:$U$17</formula1>
    </dataValidation>
  </dataValidations>
  <pageMargins left="0.7" right="0.7" top="0.75" bottom="0.75" header="0.3" footer="0.3"/>
  <pageSetup paperSize="9" scale="45" fitToHeight="0" orientation="landscape" r:id="rId1"/>
  <ignoredErrors>
    <ignoredError sqref="M40 L12:M12"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86965-351F-40FD-B705-BAB1852D2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0A9B61-A86F-4BDE-A185-5B5F3504923D}">
  <ds:schemaRefs>
    <ds:schemaRef ds:uri="http://schemas.openxmlformats.org/package/2006/metadata/core-properties"/>
    <ds:schemaRef ds:uri="http://purl.org/dc/dcmitype/"/>
    <ds:schemaRef ds:uri="http://purl.org/dc/elements/1.1/"/>
    <ds:schemaRef ds:uri="acaf4567-dc07-471f-892c-2bcb86ef35ae"/>
    <ds:schemaRef ds:uri="http://www.w3.org/XML/1998/namespace"/>
    <ds:schemaRef ds:uri="http://schemas.microsoft.com/office/2006/documentManagement/types"/>
    <ds:schemaRef ds:uri="http://purl.org/dc/terms/"/>
    <ds:schemaRef ds:uri="http://schemas.microsoft.com/office/infopath/2007/PartnerControls"/>
    <ds:schemaRef ds:uri="0eb656aa-4e79-4e95-9076-bc119a23e0cc"/>
    <ds:schemaRef ds:uri="c1f338ac-e338-414f-952c-f74dcc6d59e1"/>
    <ds:schemaRef ds:uri="http://schemas.microsoft.com/office/2006/metadata/properties"/>
  </ds:schemaRefs>
</ds:datastoreItem>
</file>

<file path=customXml/itemProps3.xml><?xml version="1.0" encoding="utf-8"?>
<ds:datastoreItem xmlns:ds="http://schemas.openxmlformats.org/officeDocument/2006/customXml" ds:itemID="{9BFA6ED7-4868-4BBB-A31B-B68F7EC96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User guide</vt:lpstr>
      <vt:lpstr>Input and decisions</vt:lpstr>
      <vt:lpstr>payscales</vt:lpstr>
      <vt:lpstr>Band</vt:lpstr>
      <vt:lpstr>Payscales</vt:lpstr>
      <vt:lpstr>Cover!Print_Area</vt:lpstr>
      <vt:lpstr>'Input and decisions'!Print_Area</vt:lpstr>
      <vt:lpstr>'User guide'!Print_Area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HTA27 Topical antimicrobial dressings for locally infected leg ulcers: late-stage assessment: Resource summary template 01 October 2025</dc:title>
  <dc:subject/>
  <dc:creator/>
  <cp:keywords/>
  <dc:description/>
  <cp:lastModifiedBy/>
  <cp:revision>1</cp:revision>
  <dcterms:created xsi:type="dcterms:W3CDTF">2025-03-25T17:13:23Z</dcterms:created>
  <dcterms:modified xsi:type="dcterms:W3CDTF">2025-10-01T15:03:22Z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2025-03-25T17:13:43Z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5fa82604-9ae2-411a-98fd-d997022163ed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Display_x0020_Status">
    <vt:lpwstr/>
  </property>
  <property fmtid="{D5CDD505-2E9C-101B-9397-08002B2CF9AE}" pid="11" name="Order">
    <vt:r8>100</vt:r8>
  </property>
  <property fmtid="{D5CDD505-2E9C-101B-9397-08002B2CF9AE}" pid="12" name="MediaServiceImageTags">
    <vt:lpwstr/>
  </property>
  <property fmtid="{D5CDD505-2E9C-101B-9397-08002B2CF9AE}" pid="13" name="ContentTypeId">
    <vt:lpwstr>0x010100B99456BF0FC3654992BB01F701E3BF13</vt:lpwstr>
  </property>
  <property fmtid="{D5CDD505-2E9C-101B-9397-08002B2CF9AE}" pid="14" name="Display Status">
    <vt:lpwstr/>
  </property>
</Properties>
</file>