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BB1EDC7E-2DCD-4617-9A68-A53F9592FBC8}" xr6:coauthVersionLast="47" xr6:coauthVersionMax="47" xr10:uidLastSave="{00000000-0000-0000-0000-000000000000}"/>
  <bookViews>
    <workbookView xWindow="28680" yWindow="-120" windowWidth="29040" windowHeight="15720" tabRatio="425" firstSheet="1" activeTab="1" xr2:uid="{00000000-000D-0000-FFFF-FFFF00000000}"/>
  </bookViews>
  <sheets>
    <sheet name="Population selection" sheetId="32" state="hidden" r:id="rId1"/>
    <sheet name="Cover" sheetId="38" r:id="rId2"/>
    <sheet name="Contents" sheetId="54" state="hidden" r:id="rId3"/>
    <sheet name="Resource impact" sheetId="50" r:id="rId4"/>
    <sheet name="Capacity inputs" sheetId="61" state="hidden" r:id="rId5"/>
    <sheet name="Events" sheetId="62" state="hidden" r:id="rId6"/>
    <sheet name="Unit costs" sheetId="59" state="hidden" r:id="rId7"/>
    <sheet name="Summary" sheetId="47" state="hidden" r:id="rId8"/>
    <sheet name="Financial impact (cash)" sheetId="42" state="hidden" r:id="rId9"/>
    <sheet name="Capacity (local prices)" sheetId="46" state="hidden" r:id="rId10"/>
    <sheet name="Capacity (national prices)" sheetId="56" state="hidden" r:id="rId11"/>
    <sheet name="payscales" sheetId="57" state="hidden" r:id="rId12"/>
  </sheets>
  <externalReferences>
    <externalReference r:id="rId13"/>
    <externalReference r:id="rId14"/>
  </externalReferences>
  <definedNames>
    <definedName name="_xlnm._FilterDatabase" localSheetId="0" hidden="1">'Population selection'!$A$1336:$GL$1711</definedName>
    <definedName name="_Hlk211860379" localSheetId="1">Cover!$A$7</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1">'[2]Population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prices)'!$B$1:$R$180</definedName>
    <definedName name="_xlnm.Print_Area" localSheetId="10">'Capacity (national prices)'!$B$1:$S$180</definedName>
    <definedName name="_xlnm.Print_Area" localSheetId="4">'Capacity inputs'!$A$2:$Q$41</definedName>
    <definedName name="_xlnm.Print_Area" localSheetId="2">Contents!$A$1:$T$26</definedName>
    <definedName name="_xlnm.Print_Area" localSheetId="1">Cover!$A$1:$C$20</definedName>
    <definedName name="_xlnm.Print_Area" localSheetId="8">'Financial impact (cash)'!$B$1:$J$34</definedName>
    <definedName name="_xlnm.Print_Area" localSheetId="0">'Population selection'!$B$11:$J$17</definedName>
    <definedName name="_xlnm.Print_Area" localSheetId="3">'Resource impact'!$A$2:$Q$136</definedName>
    <definedName name="_xlnm.Print_Area" localSheetId="7">Summary!$B$1:$K$78</definedName>
    <definedName name="_xlnm.Print_Area" localSheetId="6">'Unit costs'!$B$1:$S$95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 i="50" l="1"/>
  <c r="N57" i="50" s="1"/>
  <c r="D95" i="50" s="1"/>
  <c r="D35" i="50"/>
  <c r="E18" i="50"/>
  <c r="L1794" i="32"/>
  <c r="E19" i="50"/>
  <c r="J57" i="50" l="1"/>
  <c r="D87" i="50" s="1"/>
  <c r="J87" i="50" s="1"/>
  <c r="E113" i="50"/>
  <c r="E52" i="50"/>
  <c r="F74" i="50"/>
  <c r="F75" i="50"/>
  <c r="F76" i="50"/>
  <c r="F77" i="50"/>
  <c r="F78" i="50"/>
  <c r="F79" i="50"/>
  <c r="F73" i="50"/>
  <c r="F110" i="50" l="1"/>
  <c r="F111" i="50"/>
  <c r="F112" i="50"/>
  <c r="F109" i="50"/>
  <c r="G109" i="50"/>
  <c r="J109" i="50" s="1"/>
  <c r="G110" i="50"/>
  <c r="J110" i="50" s="1"/>
  <c r="G112" i="50"/>
  <c r="J112" i="50" s="1"/>
  <c r="G111" i="50"/>
  <c r="J111" i="50" s="1"/>
  <c r="F80" i="50"/>
  <c r="F56" i="50"/>
  <c r="E106" i="50"/>
  <c r="I79" i="50"/>
  <c r="I78" i="50"/>
  <c r="I77" i="50"/>
  <c r="I76" i="50"/>
  <c r="I75" i="50"/>
  <c r="I74" i="50"/>
  <c r="I73" i="50"/>
  <c r="C34" i="50"/>
  <c r="G113" i="50" l="1"/>
  <c r="J113" i="50"/>
  <c r="G102" i="50"/>
  <c r="J102" i="50" s="1"/>
  <c r="I112" i="50"/>
  <c r="G103" i="50"/>
  <c r="J103" i="50" s="1"/>
  <c r="I111" i="50"/>
  <c r="I110" i="50"/>
  <c r="G104" i="50"/>
  <c r="J104" i="50" s="1"/>
  <c r="G105" i="50"/>
  <c r="J105" i="50" s="1"/>
  <c r="F102" i="50"/>
  <c r="I102" i="50" s="1"/>
  <c r="F103" i="50"/>
  <c r="I103" i="50" s="1"/>
  <c r="F104" i="50"/>
  <c r="I104" i="50" s="1"/>
  <c r="F105" i="50"/>
  <c r="I105" i="50" s="1"/>
  <c r="G96" i="50" l="1"/>
  <c r="G95" i="50"/>
  <c r="J95" i="50" s="1"/>
  <c r="I106" i="50"/>
  <c r="H86" i="50" s="1"/>
  <c r="F113" i="50"/>
  <c r="I109" i="50"/>
  <c r="I113" i="50" s="1"/>
  <c r="G94" i="50" s="1"/>
  <c r="J106" i="50"/>
  <c r="H88" i="50" s="1"/>
  <c r="G106" i="50"/>
  <c r="F106" i="50"/>
  <c r="G97" i="50" l="1"/>
  <c r="I26" i="59"/>
  <c r="I25" i="59"/>
  <c r="D52" i="50"/>
  <c r="E16" i="59"/>
  <c r="E15" i="59"/>
  <c r="E14" i="59"/>
  <c r="E13" i="59"/>
  <c r="E12" i="59"/>
  <c r="E11" i="59"/>
  <c r="E10" i="59"/>
  <c r="I48" i="57" l="1"/>
  <c r="I47" i="57"/>
  <c r="I46" i="57"/>
  <c r="H48" i="57"/>
  <c r="H47" i="57"/>
  <c r="H46" i="57"/>
  <c r="E44" i="57"/>
  <c r="E40" i="57"/>
  <c r="E41" i="57"/>
  <c r="E42" i="57"/>
  <c r="E43" i="57"/>
  <c r="E45" i="57"/>
  <c r="C121" i="56"/>
  <c r="C122" i="56"/>
  <c r="C123" i="56"/>
  <c r="C124" i="56"/>
  <c r="C125" i="56"/>
  <c r="C126" i="56"/>
  <c r="C127" i="56"/>
  <c r="B102" i="56"/>
  <c r="B114" i="56"/>
  <c r="B127" i="56"/>
  <c r="B101" i="56"/>
  <c r="B113" i="56"/>
  <c r="B126" i="56"/>
  <c r="B100" i="56"/>
  <c r="B112" i="56"/>
  <c r="B125" i="56"/>
  <c r="B99" i="56"/>
  <c r="B111" i="56"/>
  <c r="B124" i="56"/>
  <c r="B98" i="56"/>
  <c r="B110" i="56"/>
  <c r="B123" i="56"/>
  <c r="B97" i="56"/>
  <c r="B109" i="56"/>
  <c r="B122" i="56"/>
  <c r="B96" i="56"/>
  <c r="B108" i="56"/>
  <c r="B121" i="56"/>
  <c r="C108" i="56"/>
  <c r="C109" i="56"/>
  <c r="C110" i="56"/>
  <c r="C111" i="56"/>
  <c r="C112" i="56"/>
  <c r="C113" i="56"/>
  <c r="C114" i="56"/>
  <c r="C96" i="56"/>
  <c r="C97" i="56"/>
  <c r="C98" i="56"/>
  <c r="C99" i="56"/>
  <c r="C100" i="56"/>
  <c r="C101" i="56"/>
  <c r="C102" i="56"/>
  <c r="C127" i="46"/>
  <c r="C126" i="46"/>
  <c r="C125" i="46"/>
  <c r="C124" i="46"/>
  <c r="C123" i="46"/>
  <c r="C122" i="46"/>
  <c r="C121" i="46"/>
  <c r="C60" i="46"/>
  <c r="C61" i="46"/>
  <c r="C62" i="46"/>
  <c r="C63" i="46"/>
  <c r="C64" i="46"/>
  <c r="C65" i="46"/>
  <c r="C59" i="46"/>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13" i="57"/>
  <c r="C71" i="56"/>
  <c r="B14" i="32"/>
  <c r="N7" i="32"/>
  <c r="C72" i="56"/>
  <c r="C77" i="56"/>
  <c r="C73" i="56"/>
  <c r="C74" i="56"/>
  <c r="C75" i="56"/>
  <c r="C76" i="56"/>
  <c r="C84" i="56"/>
  <c r="C85" i="56"/>
  <c r="C86" i="56"/>
  <c r="C87" i="56"/>
  <c r="C88" i="56"/>
  <c r="C89" i="56"/>
  <c r="C90" i="56"/>
  <c r="C76" i="46"/>
  <c r="C177" i="46"/>
  <c r="C176" i="46"/>
  <c r="C175" i="46"/>
  <c r="B39" i="46"/>
  <c r="B51" i="46"/>
  <c r="B64" i="46"/>
  <c r="B76" i="46"/>
  <c r="B89" i="46"/>
  <c r="B101" i="46"/>
  <c r="B113" i="46"/>
  <c r="B126" i="46"/>
  <c r="B139" i="46"/>
  <c r="B152" i="46"/>
  <c r="B164" i="46"/>
  <c r="B176" i="46"/>
  <c r="C177" i="56"/>
  <c r="C176" i="56"/>
  <c r="C175" i="56"/>
  <c r="B35" i="56"/>
  <c r="B47" i="56"/>
  <c r="B60" i="56"/>
  <c r="B72" i="56"/>
  <c r="B85" i="56"/>
  <c r="B135" i="56"/>
  <c r="B148" i="56"/>
  <c r="B160" i="56"/>
  <c r="B172" i="56"/>
  <c r="B36" i="56"/>
  <c r="B48" i="56"/>
  <c r="B61" i="56"/>
  <c r="B73" i="56"/>
  <c r="B86" i="56"/>
  <c r="B136" i="56"/>
  <c r="B149" i="56"/>
  <c r="B161" i="56"/>
  <c r="B173" i="56"/>
  <c r="B37" i="56"/>
  <c r="B49" i="56"/>
  <c r="B62" i="56"/>
  <c r="B74" i="56"/>
  <c r="B87" i="56"/>
  <c r="B137" i="56"/>
  <c r="B150" i="56"/>
  <c r="B162" i="56"/>
  <c r="B174" i="56"/>
  <c r="B38" i="56"/>
  <c r="B50" i="56"/>
  <c r="B63" i="56"/>
  <c r="B75" i="56"/>
  <c r="B88" i="56"/>
  <c r="B138" i="56"/>
  <c r="B151" i="56"/>
  <c r="B163" i="56"/>
  <c r="B175" i="56"/>
  <c r="B39" i="56"/>
  <c r="B51" i="56"/>
  <c r="B64" i="56"/>
  <c r="B76" i="56"/>
  <c r="B89" i="56"/>
  <c r="B139" i="56"/>
  <c r="B152" i="56"/>
  <c r="B164" i="56"/>
  <c r="B176" i="56"/>
  <c r="B40" i="56"/>
  <c r="B52" i="56"/>
  <c r="B65" i="56"/>
  <c r="B77" i="56"/>
  <c r="B90" i="56"/>
  <c r="B140" i="56"/>
  <c r="B153" i="56"/>
  <c r="B165" i="56"/>
  <c r="B177" i="56"/>
  <c r="B34" i="56"/>
  <c r="B46" i="56"/>
  <c r="B59" i="56"/>
  <c r="B71" i="56"/>
  <c r="B84" i="56"/>
  <c r="B134" i="56"/>
  <c r="B147" i="56"/>
  <c r="B159" i="56"/>
  <c r="B171" i="56"/>
  <c r="C165" i="56"/>
  <c r="C164" i="56"/>
  <c r="C163" i="56"/>
  <c r="C162" i="56"/>
  <c r="C161" i="56"/>
  <c r="C160" i="56"/>
  <c r="C159" i="56"/>
  <c r="C165" i="46"/>
  <c r="C164" i="46"/>
  <c r="C163" i="46"/>
  <c r="C153" i="56"/>
  <c r="C152" i="56"/>
  <c r="C151" i="56"/>
  <c r="C153" i="46"/>
  <c r="C152" i="46"/>
  <c r="C151" i="46"/>
  <c r="C140" i="56"/>
  <c r="C139" i="56"/>
  <c r="C138" i="56"/>
  <c r="C137" i="56"/>
  <c r="C136" i="56"/>
  <c r="C135" i="56"/>
  <c r="C134" i="56"/>
  <c r="C140" i="46"/>
  <c r="C139" i="46"/>
  <c r="C138" i="46"/>
  <c r="C114" i="46"/>
  <c r="C113" i="46"/>
  <c r="C112" i="46"/>
  <c r="C102" i="46"/>
  <c r="C101" i="46"/>
  <c r="C100" i="46"/>
  <c r="C90" i="46"/>
  <c r="C89" i="46"/>
  <c r="C88" i="46"/>
  <c r="K77" i="56"/>
  <c r="K76" i="56"/>
  <c r="K75" i="56"/>
  <c r="C77" i="46"/>
  <c r="C75" i="46"/>
  <c r="C65" i="56"/>
  <c r="C64" i="56"/>
  <c r="C63" i="56"/>
  <c r="C62" i="56"/>
  <c r="C61" i="56"/>
  <c r="C60" i="56"/>
  <c r="C59" i="56"/>
  <c r="C52" i="56"/>
  <c r="C51" i="56"/>
  <c r="C50" i="56"/>
  <c r="C49" i="56"/>
  <c r="C48" i="56"/>
  <c r="C47" i="56"/>
  <c r="C46" i="56"/>
  <c r="C52" i="46"/>
  <c r="C51" i="46"/>
  <c r="C50" i="46"/>
  <c r="C49" i="46"/>
  <c r="C48" i="46"/>
  <c r="C47" i="46"/>
  <c r="C46" i="46"/>
  <c r="C40" i="56"/>
  <c r="C39" i="56"/>
  <c r="C38" i="56"/>
  <c r="C40" i="46"/>
  <c r="C39" i="46"/>
  <c r="C38" i="46"/>
  <c r="B40" i="46"/>
  <c r="B52" i="46"/>
  <c r="B65" i="46"/>
  <c r="B77" i="46"/>
  <c r="B90" i="46"/>
  <c r="B102" i="46"/>
  <c r="B114" i="46"/>
  <c r="B127" i="46"/>
  <c r="B140" i="46"/>
  <c r="B153" i="46"/>
  <c r="B165" i="46"/>
  <c r="B177" i="46"/>
  <c r="B38" i="46"/>
  <c r="B50" i="46"/>
  <c r="B63" i="46"/>
  <c r="B75" i="46"/>
  <c r="B88" i="46"/>
  <c r="B100" i="46"/>
  <c r="B112" i="46"/>
  <c r="B125" i="46"/>
  <c r="B138" i="46"/>
  <c r="B151" i="46"/>
  <c r="B163" i="46"/>
  <c r="B175" i="46"/>
  <c r="B24" i="42"/>
  <c r="B25" i="42"/>
  <c r="B26" i="42"/>
  <c r="B27" i="42"/>
  <c r="B28" i="42"/>
  <c r="B29" i="42"/>
  <c r="B23"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K40" i="57" s="1"/>
  <c r="G41" i="57"/>
  <c r="K41" i="57" s="1"/>
  <c r="G42" i="57"/>
  <c r="K42" i="57" s="1"/>
  <c r="G46" i="57"/>
  <c r="G47" i="57"/>
  <c r="G48" i="57"/>
  <c r="G14" i="57"/>
  <c r="G13" i="57"/>
  <c r="H45" i="57"/>
  <c r="H44" i="57"/>
  <c r="H43" i="57"/>
  <c r="I45" i="57"/>
  <c r="I44" i="57"/>
  <c r="I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J45" i="57"/>
  <c r="J44" i="57"/>
  <c r="J43" i="57"/>
  <c r="C1337" i="32"/>
  <c r="C1338" i="32"/>
  <c r="C1339" i="32"/>
  <c r="C1340" i="32"/>
  <c r="I1337" i="32"/>
  <c r="D1337" i="32"/>
  <c r="J1337" i="32"/>
  <c r="E1337" i="32"/>
  <c r="G1337" i="32"/>
  <c r="H1337" i="32"/>
  <c r="K1337" i="32"/>
  <c r="L1337" i="32"/>
  <c r="I1338" i="32"/>
  <c r="D1338" i="32"/>
  <c r="J1338" i="32"/>
  <c r="E1338" i="32"/>
  <c r="G1338" i="32"/>
  <c r="H1338" i="32"/>
  <c r="K1338" i="32"/>
  <c r="L1338" i="32"/>
  <c r="I1339" i="32"/>
  <c r="D1339" i="32"/>
  <c r="J1339" i="32"/>
  <c r="E1339" i="32"/>
  <c r="G1339" i="32"/>
  <c r="H1339" i="32"/>
  <c r="K1339" i="32"/>
  <c r="L1339" i="32"/>
  <c r="I1340" i="32"/>
  <c r="D1340" i="32"/>
  <c r="J1340" i="32"/>
  <c r="E1340" i="32"/>
  <c r="G1340" i="32"/>
  <c r="F1340" i="32"/>
  <c r="H1340" i="32"/>
  <c r="K1340" i="32"/>
  <c r="L1340" i="32"/>
  <c r="C1341" i="32"/>
  <c r="I1341" i="32"/>
  <c r="D1341" i="32"/>
  <c r="J1341" i="32"/>
  <c r="E1341" i="32"/>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784" i="32"/>
  <c r="D1784" i="32"/>
  <c r="C174" i="56"/>
  <c r="C173" i="56"/>
  <c r="C172" i="56"/>
  <c r="C171" i="56"/>
  <c r="C174" i="46"/>
  <c r="C173" i="46"/>
  <c r="C172" i="46"/>
  <c r="C171" i="46"/>
  <c r="C162" i="46"/>
  <c r="C161" i="46"/>
  <c r="C160" i="46"/>
  <c r="C159" i="46"/>
  <c r="C150" i="56"/>
  <c r="C149" i="56"/>
  <c r="C148" i="56"/>
  <c r="C147" i="56"/>
  <c r="C150" i="46"/>
  <c r="C149" i="46"/>
  <c r="C148" i="46"/>
  <c r="C147" i="46"/>
  <c r="C137" i="46"/>
  <c r="C136" i="46"/>
  <c r="C135" i="46"/>
  <c r="C134" i="46"/>
  <c r="C111" i="46"/>
  <c r="C99" i="46"/>
  <c r="C87" i="46"/>
  <c r="K74" i="56"/>
  <c r="C74" i="46"/>
  <c r="B37" i="46"/>
  <c r="B49" i="46"/>
  <c r="B62" i="46"/>
  <c r="B74" i="46"/>
  <c r="B87" i="46"/>
  <c r="B36" i="46"/>
  <c r="B48" i="46"/>
  <c r="B61" i="46"/>
  <c r="B73" i="46"/>
  <c r="B86" i="46"/>
  <c r="B98" i="46"/>
  <c r="B110" i="46"/>
  <c r="B123" i="46"/>
  <c r="B136" i="46"/>
  <c r="B149" i="46"/>
  <c r="B161" i="46"/>
  <c r="B173" i="46"/>
  <c r="B35" i="46"/>
  <c r="B47" i="46"/>
  <c r="B60" i="46"/>
  <c r="B72" i="46"/>
  <c r="B85" i="46"/>
  <c r="B97" i="46"/>
  <c r="B109" i="46"/>
  <c r="B122" i="46"/>
  <c r="B135" i="46"/>
  <c r="B148" i="46"/>
  <c r="B160" i="46"/>
  <c r="B172" i="46"/>
  <c r="B34" i="46"/>
  <c r="B46" i="46"/>
  <c r="B59" i="46"/>
  <c r="B71" i="46"/>
  <c r="B84" i="46"/>
  <c r="B96" i="46"/>
  <c r="B108" i="46"/>
  <c r="B121" i="46"/>
  <c r="B134" i="46"/>
  <c r="B147" i="46"/>
  <c r="B159" i="46"/>
  <c r="B171" i="46"/>
  <c r="C37" i="56"/>
  <c r="C36" i="56"/>
  <c r="C35" i="56"/>
  <c r="C34" i="56"/>
  <c r="C37" i="46"/>
  <c r="C36" i="46"/>
  <c r="C35" i="46"/>
  <c r="C34" i="46"/>
  <c r="F16" i="62"/>
  <c r="G16" i="62"/>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H1207" i="32"/>
  <c r="I1207" i="32"/>
  <c r="D1207" i="32"/>
  <c r="J1207" i="32"/>
  <c r="E1207" i="32"/>
  <c r="K1207" i="32"/>
  <c r="L1207" i="32"/>
  <c r="C1208" i="32"/>
  <c r="G1208" i="32"/>
  <c r="H1208" i="32"/>
  <c r="I1208" i="32"/>
  <c r="D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G1214" i="32"/>
  <c r="H1214" i="32"/>
  <c r="I1214" i="32"/>
  <c r="D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G1221" i="32"/>
  <c r="H1221" i="32"/>
  <c r="F1221" i="32"/>
  <c r="I1221" i="32"/>
  <c r="D1221" i="32"/>
  <c r="J1221" i="32"/>
  <c r="E1221" i="32"/>
  <c r="K1221" i="32"/>
  <c r="L1221" i="32"/>
  <c r="C1222" i="32"/>
  <c r="G1222" i="32"/>
  <c r="H1222" i="32"/>
  <c r="I1222" i="32"/>
  <c r="D1222" i="32"/>
  <c r="J1222" i="32"/>
  <c r="E1222" i="32"/>
  <c r="K1222" i="32"/>
  <c r="L1222" i="32"/>
  <c r="C1223" i="32"/>
  <c r="G1223" i="32"/>
  <c r="H1223" i="32"/>
  <c r="I1223" i="32"/>
  <c r="D1223" i="32"/>
  <c r="J1223" i="32"/>
  <c r="E1223" i="32"/>
  <c r="K1223" i="32"/>
  <c r="L1223" i="32"/>
  <c r="C1224" i="32"/>
  <c r="G1224" i="32"/>
  <c r="H1224" i="32"/>
  <c r="I1224" i="32"/>
  <c r="D1224" i="32"/>
  <c r="J1224" i="32"/>
  <c r="E1224" i="32"/>
  <c r="K1224" i="32"/>
  <c r="L1224" i="32"/>
  <c r="C1225" i="32"/>
  <c r="G1225" i="32"/>
  <c r="F1225" i="32"/>
  <c r="H1225" i="32"/>
  <c r="I1225" i="32"/>
  <c r="D1225" i="32"/>
  <c r="J1225" i="32"/>
  <c r="E1225" i="32"/>
  <c r="K1225" i="32"/>
  <c r="L1225" i="32"/>
  <c r="C1226" i="32"/>
  <c r="G1226" i="32"/>
  <c r="H1226" i="32"/>
  <c r="I1226" i="32"/>
  <c r="D1226" i="32"/>
  <c r="J1226" i="32"/>
  <c r="E1226" i="32"/>
  <c r="K1226" i="32"/>
  <c r="L1226" i="32"/>
  <c r="C1227" i="32"/>
  <c r="G1227" i="32"/>
  <c r="H1227" i="32"/>
  <c r="F1227" i="32"/>
  <c r="I1227" i="32"/>
  <c r="D1227" i="32"/>
  <c r="J1227" i="32"/>
  <c r="E1227" i="32"/>
  <c r="K1227" i="32"/>
  <c r="L1227" i="32"/>
  <c r="C1228" i="32"/>
  <c r="G1228" i="32"/>
  <c r="H1228" i="32"/>
  <c r="I1228" i="32"/>
  <c r="D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G1232" i="32"/>
  <c r="H1232" i="32"/>
  <c r="I1232" i="32"/>
  <c r="D1232" i="32"/>
  <c r="J1232" i="32"/>
  <c r="E1232" i="32"/>
  <c r="K1232" i="32"/>
  <c r="L1232" i="32"/>
  <c r="C1233" i="32"/>
  <c r="E1233" i="32"/>
  <c r="G1233" i="32"/>
  <c r="F1233" i="32"/>
  <c r="H1233" i="32"/>
  <c r="I1233" i="32"/>
  <c r="D1233" i="32"/>
  <c r="J1233" i="32"/>
  <c r="K1233" i="32"/>
  <c r="L1233" i="32"/>
  <c r="C1234" i="32"/>
  <c r="G1234" i="32"/>
  <c r="H1234" i="32"/>
  <c r="I1234" i="32"/>
  <c r="D1234" i="32"/>
  <c r="J1234" i="32"/>
  <c r="E1234" i="32"/>
  <c r="K1234" i="32"/>
  <c r="L1234" i="32"/>
  <c r="C1235" i="32"/>
  <c r="G1235" i="32"/>
  <c r="F1235" i="32"/>
  <c r="H1235" i="32"/>
  <c r="I1235" i="32"/>
  <c r="D1235" i="32"/>
  <c r="J1235" i="32"/>
  <c r="E1235" i="32"/>
  <c r="K1235" i="32"/>
  <c r="L1235" i="32"/>
  <c r="C1236" i="32"/>
  <c r="G1236" i="32"/>
  <c r="H1236" i="32"/>
  <c r="I1236" i="32"/>
  <c r="D1236" i="32"/>
  <c r="J1236" i="32"/>
  <c r="E1236" i="32"/>
  <c r="K1236" i="32"/>
  <c r="L1236" i="32"/>
  <c r="C1237" i="32"/>
  <c r="G1237" i="32"/>
  <c r="H1237" i="32"/>
  <c r="I1237" i="32"/>
  <c r="D1237" i="32"/>
  <c r="J1237" i="32"/>
  <c r="E1237" i="32"/>
  <c r="K1237" i="32"/>
  <c r="L1237" i="32"/>
  <c r="C1238" i="32"/>
  <c r="G1238" i="32"/>
  <c r="H1238" i="32"/>
  <c r="I1238" i="32"/>
  <c r="D1238" i="32"/>
  <c r="J1238" i="32"/>
  <c r="E1238" i="32"/>
  <c r="K1238" i="32"/>
  <c r="L1238" i="32"/>
  <c r="C1239" i="32"/>
  <c r="G1239" i="32"/>
  <c r="H1239" i="32"/>
  <c r="I1239" i="32"/>
  <c r="D1239" i="32"/>
  <c r="J1239" i="32"/>
  <c r="E1239" i="32"/>
  <c r="K1239" i="32"/>
  <c r="L1239" i="32"/>
  <c r="C1240" i="32"/>
  <c r="G1240" i="32"/>
  <c r="H1240" i="32"/>
  <c r="I1240" i="32"/>
  <c r="D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G1245" i="32"/>
  <c r="H1245" i="32"/>
  <c r="I1245" i="32"/>
  <c r="D1245" i="32"/>
  <c r="J1245" i="32"/>
  <c r="E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G1258" i="32"/>
  <c r="H1258" i="32"/>
  <c r="I1258" i="32"/>
  <c r="D1258" i="32"/>
  <c r="J1258" i="32"/>
  <c r="E1258" i="32"/>
  <c r="K1258" i="32"/>
  <c r="L1258" i="32"/>
  <c r="C1259" i="32"/>
  <c r="G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G1262" i="32"/>
  <c r="H1262" i="32"/>
  <c r="I1262" i="32"/>
  <c r="D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H1267" i="32"/>
  <c r="I1267" i="32"/>
  <c r="D1267" i="32"/>
  <c r="J1267" i="32"/>
  <c r="E1267" i="32"/>
  <c r="K1267" i="32"/>
  <c r="L1267" i="32"/>
  <c r="C1268" i="32"/>
  <c r="G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H1271" i="32"/>
  <c r="I1271" i="32"/>
  <c r="D1271" i="32"/>
  <c r="J1271" i="32"/>
  <c r="E1271" i="32"/>
  <c r="K1271" i="32"/>
  <c r="L1271" i="32"/>
  <c r="C1272" i="32"/>
  <c r="G1272" i="32"/>
  <c r="H1272" i="32"/>
  <c r="F1272" i="32"/>
  <c r="I1272" i="32"/>
  <c r="D1272" i="32"/>
  <c r="J1272" i="32"/>
  <c r="E1272" i="32"/>
  <c r="K1272" i="32"/>
  <c r="L1272" i="32"/>
  <c r="C1273" i="32"/>
  <c r="G1273" i="32"/>
  <c r="H1273" i="32"/>
  <c r="I1273" i="32"/>
  <c r="D1273" i="32"/>
  <c r="J1273" i="32"/>
  <c r="E1273" i="32"/>
  <c r="K1273" i="32"/>
  <c r="L1273" i="32"/>
  <c r="C1274" i="32"/>
  <c r="G1274" i="32"/>
  <c r="H1274" i="32"/>
  <c r="I1274" i="32"/>
  <c r="D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G1279" i="32"/>
  <c r="F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H1284" i="32"/>
  <c r="I1284" i="32"/>
  <c r="D1284" i="32"/>
  <c r="J1284" i="32"/>
  <c r="E1284" i="32"/>
  <c r="K1284" i="32"/>
  <c r="L1284" i="32"/>
  <c r="C1285" i="32"/>
  <c r="G1285" i="32"/>
  <c r="H1285" i="32"/>
  <c r="I1285" i="32"/>
  <c r="D1285" i="32"/>
  <c r="J1285" i="32"/>
  <c r="E1285" i="32"/>
  <c r="K1285" i="32"/>
  <c r="L1285" i="32"/>
  <c r="C1286" i="32"/>
  <c r="G1286" i="32"/>
  <c r="H1286" i="32"/>
  <c r="I1286" i="32"/>
  <c r="D1286" i="32"/>
  <c r="J1286" i="32"/>
  <c r="E1286" i="32"/>
  <c r="K1286" i="32"/>
  <c r="L1286" i="32"/>
  <c r="C1287" i="32"/>
  <c r="G1287" i="32"/>
  <c r="H1287" i="32"/>
  <c r="I1287" i="32"/>
  <c r="D1287" i="32"/>
  <c r="J1287" i="32"/>
  <c r="E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G1292" i="32"/>
  <c r="H1292" i="32"/>
  <c r="I1292" i="32"/>
  <c r="D1292" i="32"/>
  <c r="J1292" i="32"/>
  <c r="E1292" i="32"/>
  <c r="K1292" i="32"/>
  <c r="L1292" i="32"/>
  <c r="C1293" i="32"/>
  <c r="G1293" i="32"/>
  <c r="H1293" i="32"/>
  <c r="I1293" i="32"/>
  <c r="D1293" i="32"/>
  <c r="J1293" i="32"/>
  <c r="E1293" i="32"/>
  <c r="K1293" i="32"/>
  <c r="L1293" i="32"/>
  <c r="C1294" i="32"/>
  <c r="E1294" i="32"/>
  <c r="G1294" i="32"/>
  <c r="F1294" i="32"/>
  <c r="H1294" i="32"/>
  <c r="I1294" i="32"/>
  <c r="D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H46" i="32"/>
  <c r="I46" i="32"/>
  <c r="D46" i="32"/>
  <c r="J46" i="32"/>
  <c r="E46" i="32"/>
  <c r="K46" i="32"/>
  <c r="L46" i="32"/>
  <c r="C47" i="32"/>
  <c r="G47" i="32"/>
  <c r="H47" i="32"/>
  <c r="I47" i="32"/>
  <c r="D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F56" i="32"/>
  <c r="H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G60" i="32"/>
  <c r="H60" i="32"/>
  <c r="I60" i="32"/>
  <c r="D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G64" i="32"/>
  <c r="H64" i="32"/>
  <c r="I64" i="32"/>
  <c r="J64" i="32"/>
  <c r="E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F72" i="32"/>
  <c r="H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G77" i="32"/>
  <c r="H77" i="32"/>
  <c r="I77" i="32"/>
  <c r="D77" i="32"/>
  <c r="J77" i="32"/>
  <c r="E77" i="32"/>
  <c r="K77" i="32"/>
  <c r="L77" i="32"/>
  <c r="C78" i="32"/>
  <c r="G78" i="32"/>
  <c r="H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G82" i="32"/>
  <c r="H82" i="32"/>
  <c r="I82" i="32"/>
  <c r="D82" i="32"/>
  <c r="J82" i="32"/>
  <c r="E82" i="32"/>
  <c r="K82" i="32"/>
  <c r="L82" i="32"/>
  <c r="C83" i="32"/>
  <c r="G83" i="32"/>
  <c r="H83" i="32"/>
  <c r="I83" i="32"/>
  <c r="D83" i="32"/>
  <c r="J83" i="32"/>
  <c r="E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F88" i="32"/>
  <c r="H88" i="32"/>
  <c r="I88" i="32"/>
  <c r="D88" i="32"/>
  <c r="J88" i="32"/>
  <c r="E88" i="32"/>
  <c r="K88" i="32"/>
  <c r="L88" i="32"/>
  <c r="C89" i="32"/>
  <c r="G89" i="32"/>
  <c r="H89" i="32"/>
  <c r="I89" i="32"/>
  <c r="D89" i="32"/>
  <c r="J89" i="32"/>
  <c r="E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G93" i="32"/>
  <c r="H93" i="32"/>
  <c r="I93" i="32"/>
  <c r="D93" i="32"/>
  <c r="J93" i="32"/>
  <c r="E93" i="32"/>
  <c r="K93" i="32"/>
  <c r="L93" i="32"/>
  <c r="C94" i="32"/>
  <c r="G94" i="32"/>
  <c r="H94" i="32"/>
  <c r="F94" i="32"/>
  <c r="I94" i="32"/>
  <c r="D94" i="32"/>
  <c r="J94" i="32"/>
  <c r="E94" i="32"/>
  <c r="K94" i="32"/>
  <c r="L94" i="32"/>
  <c r="C95" i="32"/>
  <c r="G95" i="32"/>
  <c r="H95" i="32"/>
  <c r="F95" i="32"/>
  <c r="I95" i="32"/>
  <c r="D95" i="32"/>
  <c r="J95" i="32"/>
  <c r="E95" i="32"/>
  <c r="K95" i="32"/>
  <c r="L95" i="32"/>
  <c r="C96" i="32"/>
  <c r="G96" i="32"/>
  <c r="H96" i="32"/>
  <c r="I96" i="32"/>
  <c r="D96" i="32"/>
  <c r="J96" i="32"/>
  <c r="E96" i="32"/>
  <c r="K96" i="32"/>
  <c r="L96" i="32"/>
  <c r="C97" i="32"/>
  <c r="G97" i="32"/>
  <c r="H97" i="32"/>
  <c r="I97" i="32"/>
  <c r="D97" i="32"/>
  <c r="J97" i="32"/>
  <c r="E97" i="32"/>
  <c r="K97" i="32"/>
  <c r="L97" i="32"/>
  <c r="C98" i="32"/>
  <c r="G98" i="32"/>
  <c r="H98" i="32"/>
  <c r="I98" i="32"/>
  <c r="D98" i="32"/>
  <c r="J98" i="32"/>
  <c r="E98" i="32"/>
  <c r="K98" i="32"/>
  <c r="L98" i="32"/>
  <c r="C99" i="32"/>
  <c r="G99" i="32"/>
  <c r="H99" i="32"/>
  <c r="I99" i="32"/>
  <c r="D99" i="32"/>
  <c r="J99" i="32"/>
  <c r="E99" i="32"/>
  <c r="K99" i="32"/>
  <c r="L99" i="32"/>
  <c r="C100" i="32"/>
  <c r="G100" i="32"/>
  <c r="H100" i="32"/>
  <c r="I100" i="32"/>
  <c r="D100" i="32"/>
  <c r="J100" i="32"/>
  <c r="E100" i="32"/>
  <c r="K100" i="32"/>
  <c r="L100" i="32"/>
  <c r="C101" i="32"/>
  <c r="G101" i="32"/>
  <c r="H101" i="32"/>
  <c r="F101" i="32"/>
  <c r="I101" i="32"/>
  <c r="D101" i="32"/>
  <c r="J101" i="32"/>
  <c r="E101" i="32"/>
  <c r="K101" i="32"/>
  <c r="L101" i="32"/>
  <c r="C102" i="32"/>
  <c r="G102" i="32"/>
  <c r="H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G105" i="32"/>
  <c r="H105" i="32"/>
  <c r="I105" i="32"/>
  <c r="D105" i="32"/>
  <c r="J105" i="32"/>
  <c r="E105" i="32"/>
  <c r="K105" i="32"/>
  <c r="L105" i="32"/>
  <c r="C106" i="32"/>
  <c r="G106" i="32"/>
  <c r="H106" i="32"/>
  <c r="I106" i="32"/>
  <c r="D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H112" i="32"/>
  <c r="I112" i="32"/>
  <c r="D112" i="32"/>
  <c r="J112" i="32"/>
  <c r="E112" i="32"/>
  <c r="K112" i="32"/>
  <c r="L112" i="32"/>
  <c r="C113" i="32"/>
  <c r="E113" i="32"/>
  <c r="G113" i="32"/>
  <c r="H113" i="32"/>
  <c r="I113" i="32"/>
  <c r="D113" i="32"/>
  <c r="J113" i="32"/>
  <c r="K113" i="32"/>
  <c r="L113" i="32"/>
  <c r="C114" i="32"/>
  <c r="G114" i="32"/>
  <c r="F114" i="32"/>
  <c r="H114" i="32"/>
  <c r="I114" i="32"/>
  <c r="D114" i="32"/>
  <c r="J114" i="32"/>
  <c r="E114" i="32"/>
  <c r="K114" i="32"/>
  <c r="L114" i="32"/>
  <c r="C115" i="32"/>
  <c r="G115" i="32"/>
  <c r="F115" i="32"/>
  <c r="H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G124" i="32"/>
  <c r="H124" i="32"/>
  <c r="I124" i="32"/>
  <c r="D124" i="32"/>
  <c r="J124" i="32"/>
  <c r="E124" i="32"/>
  <c r="K124" i="32"/>
  <c r="L124" i="32"/>
  <c r="C125" i="32"/>
  <c r="G125" i="32"/>
  <c r="H125" i="32"/>
  <c r="I125" i="32"/>
  <c r="D125" i="32"/>
  <c r="J125" i="32"/>
  <c r="E125" i="32"/>
  <c r="K125" i="32"/>
  <c r="L125" i="32"/>
  <c r="C126" i="32"/>
  <c r="G126" i="32"/>
  <c r="H126" i="32"/>
  <c r="I126" i="32"/>
  <c r="D126" i="32"/>
  <c r="J126" i="32"/>
  <c r="E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F131" i="32"/>
  <c r="H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G137" i="32"/>
  <c r="H137" i="32"/>
  <c r="I137" i="32"/>
  <c r="D137" i="32"/>
  <c r="J137" i="32"/>
  <c r="E137" i="32"/>
  <c r="K137" i="32"/>
  <c r="L137" i="32"/>
  <c r="C138" i="32"/>
  <c r="G138" i="32"/>
  <c r="H138" i="32"/>
  <c r="I138" i="32"/>
  <c r="D138" i="32"/>
  <c r="J138" i="32"/>
  <c r="E138" i="32"/>
  <c r="K138" i="32"/>
  <c r="L138" i="32"/>
  <c r="C139" i="32"/>
  <c r="G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F142" i="32"/>
  <c r="H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I149" i="32"/>
  <c r="D149" i="32"/>
  <c r="J149" i="32"/>
  <c r="E149" i="32"/>
  <c r="K149" i="32"/>
  <c r="L149" i="32"/>
  <c r="C150" i="32"/>
  <c r="G150" i="32"/>
  <c r="H150" i="32"/>
  <c r="I150" i="32"/>
  <c r="D150" i="32"/>
  <c r="J150" i="32"/>
  <c r="E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G154" i="32"/>
  <c r="F154" i="32"/>
  <c r="H154" i="32"/>
  <c r="I154" i="32"/>
  <c r="D154" i="32"/>
  <c r="J154" i="32"/>
  <c r="E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F160" i="32"/>
  <c r="H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I163" i="32"/>
  <c r="D163" i="32"/>
  <c r="J163" i="32"/>
  <c r="E163" i="32"/>
  <c r="K163" i="32"/>
  <c r="L163" i="32"/>
  <c r="C164" i="32"/>
  <c r="G164" i="32"/>
  <c r="H164" i="32"/>
  <c r="I164" i="32"/>
  <c r="D164" i="32"/>
  <c r="J164" i="32"/>
  <c r="E164" i="32"/>
  <c r="K164" i="32"/>
  <c r="L164" i="32"/>
  <c r="C165" i="32"/>
  <c r="G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G173" i="32"/>
  <c r="H173" i="32"/>
  <c r="I173" i="32"/>
  <c r="D173" i="32"/>
  <c r="J173" i="32"/>
  <c r="E173" i="32"/>
  <c r="K173" i="32"/>
  <c r="L173" i="32"/>
  <c r="C174" i="32"/>
  <c r="G174" i="32"/>
  <c r="H174" i="32"/>
  <c r="I174" i="32"/>
  <c r="D174" i="32"/>
  <c r="J174" i="32"/>
  <c r="E174" i="32"/>
  <c r="K174" i="32"/>
  <c r="L174" i="32"/>
  <c r="C175" i="32"/>
  <c r="G175" i="32"/>
  <c r="H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H178" i="32"/>
  <c r="F178" i="32"/>
  <c r="I178" i="32"/>
  <c r="D178" i="32"/>
  <c r="J178" i="32"/>
  <c r="E178" i="32"/>
  <c r="K178" i="32"/>
  <c r="L178" i="32"/>
  <c r="C179" i="32"/>
  <c r="G179" i="32"/>
  <c r="H179" i="32"/>
  <c r="F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G186" i="32"/>
  <c r="H186" i="32"/>
  <c r="I186" i="32"/>
  <c r="D186" i="32"/>
  <c r="J186" i="32"/>
  <c r="E186" i="32"/>
  <c r="K186" i="32"/>
  <c r="L186" i="32"/>
  <c r="C187" i="32"/>
  <c r="G187" i="32"/>
  <c r="H187" i="32"/>
  <c r="F187" i="32"/>
  <c r="I187" i="32"/>
  <c r="D187" i="32"/>
  <c r="J187" i="32"/>
  <c r="E187" i="32"/>
  <c r="K187" i="32"/>
  <c r="L187" i="32"/>
  <c r="C188" i="32"/>
  <c r="G188" i="32"/>
  <c r="H188" i="32"/>
  <c r="I188" i="32"/>
  <c r="D188" i="32"/>
  <c r="J188" i="32"/>
  <c r="E188" i="32"/>
  <c r="K188" i="32"/>
  <c r="L188" i="32"/>
  <c r="C189" i="32"/>
  <c r="G189" i="32"/>
  <c r="H189" i="32"/>
  <c r="I189" i="32"/>
  <c r="D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H192" i="32"/>
  <c r="F192" i="32"/>
  <c r="I192" i="32"/>
  <c r="D192" i="32"/>
  <c r="J192" i="32"/>
  <c r="E192" i="32"/>
  <c r="K192" i="32"/>
  <c r="L192" i="32"/>
  <c r="C193" i="32"/>
  <c r="G193" i="32"/>
  <c r="H193" i="32"/>
  <c r="I193" i="32"/>
  <c r="D193" i="32"/>
  <c r="J193" i="32"/>
  <c r="E193" i="32"/>
  <c r="K193" i="32"/>
  <c r="L193" i="32"/>
  <c r="C194" i="32"/>
  <c r="G194" i="32"/>
  <c r="F194" i="32"/>
  <c r="H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H198" i="32"/>
  <c r="I198" i="32"/>
  <c r="D198" i="32"/>
  <c r="J198" i="32"/>
  <c r="E198" i="32"/>
  <c r="K198" i="32"/>
  <c r="L198" i="32"/>
  <c r="C199" i="32"/>
  <c r="G199" i="32"/>
  <c r="H199" i="32"/>
  <c r="I199" i="32"/>
  <c r="D199" i="32"/>
  <c r="J199" i="32"/>
  <c r="E199" i="32"/>
  <c r="K199" i="32"/>
  <c r="L199" i="32"/>
  <c r="C200" i="32"/>
  <c r="G200" i="32"/>
  <c r="H200" i="32"/>
  <c r="I200" i="32"/>
  <c r="D200" i="32"/>
  <c r="J200" i="32"/>
  <c r="E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G206" i="32"/>
  <c r="H206" i="32"/>
  <c r="I206" i="32"/>
  <c r="D206" i="32"/>
  <c r="J206" i="32"/>
  <c r="E206" i="32"/>
  <c r="K206" i="32"/>
  <c r="L206" i="32"/>
  <c r="C207" i="32"/>
  <c r="G207" i="32"/>
  <c r="H207" i="32"/>
  <c r="I207" i="32"/>
  <c r="D207" i="32"/>
  <c r="J207" i="32"/>
  <c r="E207" i="32"/>
  <c r="K207" i="32"/>
  <c r="L207" i="32"/>
  <c r="C208" i="32"/>
  <c r="G208" i="32"/>
  <c r="H208" i="32"/>
  <c r="F208" i="32"/>
  <c r="I208" i="32"/>
  <c r="D208" i="32"/>
  <c r="J208" i="32"/>
  <c r="E208" i="32"/>
  <c r="K208" i="32"/>
  <c r="L208" i="32"/>
  <c r="C209" i="32"/>
  <c r="G209" i="32"/>
  <c r="H209" i="32"/>
  <c r="I209" i="32"/>
  <c r="D209" i="32"/>
  <c r="J209" i="32"/>
  <c r="E209" i="32"/>
  <c r="K209" i="32"/>
  <c r="L209" i="32"/>
  <c r="C210" i="32"/>
  <c r="G210" i="32"/>
  <c r="H210" i="32"/>
  <c r="F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F214" i="32"/>
  <c r="H214" i="32"/>
  <c r="I214" i="32"/>
  <c r="D214" i="32"/>
  <c r="J214" i="32"/>
  <c r="E214" i="32"/>
  <c r="K214" i="32"/>
  <c r="L214" i="32"/>
  <c r="C215" i="32"/>
  <c r="G215" i="32"/>
  <c r="H215" i="32"/>
  <c r="I215" i="32"/>
  <c r="D215" i="32"/>
  <c r="J215" i="32"/>
  <c r="E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I218" i="32"/>
  <c r="D218" i="32"/>
  <c r="J218" i="32"/>
  <c r="E218" i="32"/>
  <c r="K218" i="32"/>
  <c r="L218" i="32"/>
  <c r="C219" i="32"/>
  <c r="G219" i="32"/>
  <c r="H219" i="32"/>
  <c r="F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G222" i="32"/>
  <c r="H222" i="32"/>
  <c r="I222" i="32"/>
  <c r="D222" i="32"/>
  <c r="J222" i="32"/>
  <c r="E222" i="32"/>
  <c r="K222" i="32"/>
  <c r="L222" i="32"/>
  <c r="C223" i="32"/>
  <c r="G223" i="32"/>
  <c r="H223" i="32"/>
  <c r="I223" i="32"/>
  <c r="D223" i="32"/>
  <c r="J223" i="32"/>
  <c r="E223" i="32"/>
  <c r="K223" i="32"/>
  <c r="L223" i="32"/>
  <c r="C224" i="32"/>
  <c r="G224" i="32"/>
  <c r="H224" i="32"/>
  <c r="I224" i="32"/>
  <c r="D224" i="32"/>
  <c r="J224" i="32"/>
  <c r="E224" i="32"/>
  <c r="K224" i="32"/>
  <c r="L224" i="32"/>
  <c r="C225" i="32"/>
  <c r="G225" i="32"/>
  <c r="H225" i="32"/>
  <c r="I225" i="32"/>
  <c r="D225" i="32"/>
  <c r="J225" i="32"/>
  <c r="E225" i="32"/>
  <c r="K225" i="32"/>
  <c r="L225" i="32"/>
  <c r="C226" i="32"/>
  <c r="G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G237" i="32"/>
  <c r="F237" i="32"/>
  <c r="H237" i="32"/>
  <c r="I237" i="32"/>
  <c r="D237" i="32"/>
  <c r="J237" i="32"/>
  <c r="E237" i="32"/>
  <c r="K237" i="32"/>
  <c r="L237" i="32"/>
  <c r="C238" i="32"/>
  <c r="E238" i="32"/>
  <c r="G238" i="32"/>
  <c r="H238" i="32"/>
  <c r="I238" i="32"/>
  <c r="D238" i="32"/>
  <c r="J238" i="32"/>
  <c r="K238" i="32"/>
  <c r="L238" i="32"/>
  <c r="C239" i="32"/>
  <c r="G239" i="32"/>
  <c r="F239" i="32"/>
  <c r="H239" i="32"/>
  <c r="I239" i="32"/>
  <c r="D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G248" i="32"/>
  <c r="H248" i="32"/>
  <c r="I248" i="32"/>
  <c r="D248" i="32"/>
  <c r="J248" i="32"/>
  <c r="E248" i="32"/>
  <c r="K248" i="32"/>
  <c r="L248" i="32"/>
  <c r="C249" i="32"/>
  <c r="G249" i="32"/>
  <c r="H249" i="32"/>
  <c r="I249" i="32"/>
  <c r="D249" i="32"/>
  <c r="J249" i="32"/>
  <c r="E249" i="32"/>
  <c r="K249" i="32"/>
  <c r="L249" i="32"/>
  <c r="C250" i="32"/>
  <c r="G250" i="32"/>
  <c r="H250" i="32"/>
  <c r="I250" i="32"/>
  <c r="D250" i="32"/>
  <c r="J250" i="32"/>
  <c r="E250" i="32"/>
  <c r="K250" i="32"/>
  <c r="L250" i="32"/>
  <c r="C251" i="32"/>
  <c r="G251" i="32"/>
  <c r="H251" i="32"/>
  <c r="I251" i="32"/>
  <c r="D251" i="32"/>
  <c r="J251" i="32"/>
  <c r="E251" i="32"/>
  <c r="K251" i="32"/>
  <c r="L251" i="32"/>
  <c r="C252" i="32"/>
  <c r="D252" i="32"/>
  <c r="G252" i="32"/>
  <c r="F252" i="32"/>
  <c r="H252" i="32"/>
  <c r="I252" i="32"/>
  <c r="J252" i="32"/>
  <c r="E252" i="32"/>
  <c r="K252" i="32"/>
  <c r="L252" i="32"/>
  <c r="C253" i="32"/>
  <c r="G253" i="32"/>
  <c r="H253" i="32"/>
  <c r="I253" i="32"/>
  <c r="D253" i="32"/>
  <c r="J253" i="32"/>
  <c r="E253" i="32"/>
  <c r="K253" i="32"/>
  <c r="L253" i="32"/>
  <c r="C254" i="32"/>
  <c r="G254" i="32"/>
  <c r="F254" i="32"/>
  <c r="H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F260" i="32"/>
  <c r="H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G263" i="32"/>
  <c r="F263" i="32"/>
  <c r="H263" i="32"/>
  <c r="I263" i="32"/>
  <c r="D263" i="32"/>
  <c r="J263" i="32"/>
  <c r="E263" i="32"/>
  <c r="K263" i="32"/>
  <c r="L263" i="32"/>
  <c r="C264" i="32"/>
  <c r="G264" i="32"/>
  <c r="F264" i="32"/>
  <c r="H264" i="32"/>
  <c r="I264" i="32"/>
  <c r="D264" i="32"/>
  <c r="J264" i="32"/>
  <c r="E264" i="32"/>
  <c r="K264" i="32"/>
  <c r="L264" i="32"/>
  <c r="C265" i="32"/>
  <c r="G265" i="32"/>
  <c r="H265" i="32"/>
  <c r="I265" i="32"/>
  <c r="D265" i="32"/>
  <c r="J265" i="32"/>
  <c r="E265" i="32"/>
  <c r="K265" i="32"/>
  <c r="L265" i="32"/>
  <c r="C266" i="32"/>
  <c r="G266" i="32"/>
  <c r="F266" i="32"/>
  <c r="H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F272" i="32"/>
  <c r="H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F278" i="32"/>
  <c r="H278" i="32"/>
  <c r="I278" i="32"/>
  <c r="D278" i="32"/>
  <c r="J278" i="32"/>
  <c r="E278" i="32"/>
  <c r="K278" i="32"/>
  <c r="L278" i="32"/>
  <c r="C279" i="32"/>
  <c r="G279" i="32"/>
  <c r="H279" i="32"/>
  <c r="I279" i="32"/>
  <c r="D279" i="32"/>
  <c r="J279" i="32"/>
  <c r="E279" i="32"/>
  <c r="K279" i="32"/>
  <c r="L279" i="32"/>
  <c r="C280" i="32"/>
  <c r="D280" i="32"/>
  <c r="G280" i="32"/>
  <c r="F280" i="32"/>
  <c r="H280" i="32"/>
  <c r="I280" i="32"/>
  <c r="J280" i="32"/>
  <c r="E280" i="32"/>
  <c r="K280" i="32"/>
  <c r="L280" i="32"/>
  <c r="C281" i="32"/>
  <c r="G281" i="32"/>
  <c r="H281" i="32"/>
  <c r="I281" i="32"/>
  <c r="D281" i="32"/>
  <c r="J281" i="32"/>
  <c r="E281" i="32"/>
  <c r="K281" i="32"/>
  <c r="L281" i="32"/>
  <c r="C282" i="32"/>
  <c r="G282" i="32"/>
  <c r="H282" i="32"/>
  <c r="I282" i="32"/>
  <c r="D282" i="32"/>
  <c r="J282" i="32"/>
  <c r="E282" i="32"/>
  <c r="K282" i="32"/>
  <c r="L282" i="32"/>
  <c r="C283" i="32"/>
  <c r="G283" i="32"/>
  <c r="H283" i="32"/>
  <c r="I283" i="32"/>
  <c r="D283" i="32"/>
  <c r="J283" i="32"/>
  <c r="E283" i="32"/>
  <c r="K283" i="32"/>
  <c r="L283" i="32"/>
  <c r="C284" i="32"/>
  <c r="G284" i="32"/>
  <c r="H284" i="32"/>
  <c r="I284" i="32"/>
  <c r="D284" i="32"/>
  <c r="J284" i="32"/>
  <c r="E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F292" i="32"/>
  <c r="H292" i="32"/>
  <c r="I292" i="32"/>
  <c r="D292" i="32"/>
  <c r="J292" i="32"/>
  <c r="E292" i="32"/>
  <c r="K292" i="32"/>
  <c r="L292" i="32"/>
  <c r="C293" i="32"/>
  <c r="G293" i="32"/>
  <c r="H293" i="32"/>
  <c r="I293" i="32"/>
  <c r="D293" i="32"/>
  <c r="J293" i="32"/>
  <c r="E293" i="32"/>
  <c r="K293" i="32"/>
  <c r="L293" i="32"/>
  <c r="C294" i="32"/>
  <c r="G294" i="32"/>
  <c r="H294" i="32"/>
  <c r="I294" i="32"/>
  <c r="D294" i="32"/>
  <c r="J294" i="32"/>
  <c r="E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H298" i="32"/>
  <c r="I298" i="32"/>
  <c r="D298" i="32"/>
  <c r="J298" i="32"/>
  <c r="E298" i="32"/>
  <c r="K298" i="32"/>
  <c r="L298" i="32"/>
  <c r="C299" i="32"/>
  <c r="G299" i="32"/>
  <c r="H299" i="32"/>
  <c r="I299" i="32"/>
  <c r="D299" i="32"/>
  <c r="J299" i="32"/>
  <c r="E299" i="32"/>
  <c r="K299" i="32"/>
  <c r="L299" i="32"/>
  <c r="C300" i="32"/>
  <c r="G300" i="32"/>
  <c r="F300" i="32"/>
  <c r="H300" i="32"/>
  <c r="I300" i="32"/>
  <c r="D300" i="32"/>
  <c r="J300" i="32"/>
  <c r="E300" i="32"/>
  <c r="K300" i="32"/>
  <c r="L300" i="32"/>
  <c r="C301" i="32"/>
  <c r="G301" i="32"/>
  <c r="H301" i="32"/>
  <c r="I301" i="32"/>
  <c r="D301" i="32"/>
  <c r="J301" i="32"/>
  <c r="E301" i="32"/>
  <c r="K301" i="32"/>
  <c r="L301" i="32"/>
  <c r="C302" i="32"/>
  <c r="G302" i="32"/>
  <c r="F302" i="32"/>
  <c r="H302" i="32"/>
  <c r="I302" i="32"/>
  <c r="D302" i="32"/>
  <c r="J302" i="32"/>
  <c r="E302" i="32"/>
  <c r="K302" i="32"/>
  <c r="L302" i="32"/>
  <c r="C303" i="32"/>
  <c r="G303" i="32"/>
  <c r="F303" i="32"/>
  <c r="H303" i="32"/>
  <c r="I303" i="32"/>
  <c r="D303" i="32"/>
  <c r="J303" i="32"/>
  <c r="E303" i="32"/>
  <c r="K303" i="32"/>
  <c r="L303" i="32"/>
  <c r="C304" i="32"/>
  <c r="G304" i="32"/>
  <c r="H304" i="32"/>
  <c r="F304" i="32"/>
  <c r="I304" i="32"/>
  <c r="D304" i="32"/>
  <c r="J304" i="32"/>
  <c r="E304" i="32"/>
  <c r="K304" i="32"/>
  <c r="L304" i="32"/>
  <c r="C305" i="32"/>
  <c r="G305" i="32"/>
  <c r="H305" i="32"/>
  <c r="I305" i="32"/>
  <c r="D305" i="32"/>
  <c r="J305" i="32"/>
  <c r="E305" i="32"/>
  <c r="K305" i="32"/>
  <c r="L305" i="32"/>
  <c r="C306" i="32"/>
  <c r="G306" i="32"/>
  <c r="H306" i="32"/>
  <c r="I306" i="32"/>
  <c r="D306" i="32"/>
  <c r="J306" i="32"/>
  <c r="E306" i="32"/>
  <c r="K306" i="32"/>
  <c r="L306" i="32"/>
  <c r="C307" i="32"/>
  <c r="G307" i="32"/>
  <c r="H307" i="32"/>
  <c r="I307" i="32"/>
  <c r="D307" i="32"/>
  <c r="J307" i="32"/>
  <c r="E307" i="32"/>
  <c r="K307" i="32"/>
  <c r="L307" i="32"/>
  <c r="C308" i="32"/>
  <c r="G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G313" i="32"/>
  <c r="H313" i="32"/>
  <c r="I313" i="32"/>
  <c r="D313" i="32"/>
  <c r="J313" i="32"/>
  <c r="E313" i="32"/>
  <c r="K313" i="32"/>
  <c r="L313" i="32"/>
  <c r="C314" i="32"/>
  <c r="G314" i="32"/>
  <c r="H314" i="32"/>
  <c r="I314" i="32"/>
  <c r="D314" i="32"/>
  <c r="J314" i="32"/>
  <c r="E314" i="32"/>
  <c r="K314" i="32"/>
  <c r="L314" i="32"/>
  <c r="C315" i="32"/>
  <c r="G315" i="32"/>
  <c r="F315" i="32"/>
  <c r="H315" i="32"/>
  <c r="I315" i="32"/>
  <c r="D315" i="32"/>
  <c r="J315" i="32"/>
  <c r="E315" i="32"/>
  <c r="K315" i="32"/>
  <c r="L315" i="32"/>
  <c r="C316" i="32"/>
  <c r="G316" i="32"/>
  <c r="H316" i="32"/>
  <c r="I316" i="32"/>
  <c r="D316" i="32"/>
  <c r="J316" i="32"/>
  <c r="E316" i="32"/>
  <c r="K316" i="32"/>
  <c r="L316" i="32"/>
  <c r="C317" i="32"/>
  <c r="G317" i="32"/>
  <c r="H317" i="32"/>
  <c r="I317" i="32"/>
  <c r="D317" i="32"/>
  <c r="J317" i="32"/>
  <c r="E317" i="32"/>
  <c r="K317" i="32"/>
  <c r="L317" i="32"/>
  <c r="C318" i="32"/>
  <c r="G318" i="32"/>
  <c r="H318" i="32"/>
  <c r="I318" i="32"/>
  <c r="D318" i="32"/>
  <c r="J318" i="32"/>
  <c r="E318" i="32"/>
  <c r="K318" i="32"/>
  <c r="L318" i="32"/>
  <c r="C319" i="32"/>
  <c r="G319" i="32"/>
  <c r="H319" i="32"/>
  <c r="I319" i="32"/>
  <c r="D319" i="32"/>
  <c r="J319" i="32"/>
  <c r="E319" i="32"/>
  <c r="K319" i="32"/>
  <c r="L319" i="32"/>
  <c r="C320" i="32"/>
  <c r="G320" i="32"/>
  <c r="H320" i="32"/>
  <c r="I320" i="32"/>
  <c r="D320" i="32"/>
  <c r="J320" i="32"/>
  <c r="E320" i="32"/>
  <c r="K320" i="32"/>
  <c r="L320" i="32"/>
  <c r="C321" i="32"/>
  <c r="G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G324" i="32"/>
  <c r="F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G327" i="32"/>
  <c r="H327" i="32"/>
  <c r="I327" i="32"/>
  <c r="D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G330" i="32"/>
  <c r="F330" i="32"/>
  <c r="H330" i="32"/>
  <c r="I330" i="32"/>
  <c r="D330" i="32"/>
  <c r="J330" i="32"/>
  <c r="E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H334" i="32"/>
  <c r="I334" i="32"/>
  <c r="D334" i="32"/>
  <c r="J334" i="32"/>
  <c r="E334" i="32"/>
  <c r="K334" i="32"/>
  <c r="L334" i="32"/>
  <c r="C335" i="32"/>
  <c r="G335" i="32"/>
  <c r="H335" i="32"/>
  <c r="I335" i="32"/>
  <c r="D335" i="32"/>
  <c r="J335" i="32"/>
  <c r="E335" i="32"/>
  <c r="K335" i="32"/>
  <c r="L335" i="32"/>
  <c r="C336" i="32"/>
  <c r="G336" i="32"/>
  <c r="H336" i="32"/>
  <c r="I336" i="32"/>
  <c r="D336" i="32"/>
  <c r="J336" i="32"/>
  <c r="E336" i="32"/>
  <c r="K336" i="32"/>
  <c r="L336" i="32"/>
  <c r="C337" i="32"/>
  <c r="G337" i="32"/>
  <c r="H337" i="32"/>
  <c r="I337" i="32"/>
  <c r="D337" i="32"/>
  <c r="J337" i="32"/>
  <c r="E337" i="32"/>
  <c r="K337" i="32"/>
  <c r="L337" i="32"/>
  <c r="C338" i="32"/>
  <c r="G338" i="32"/>
  <c r="H338" i="32"/>
  <c r="F338" i="32"/>
  <c r="I338" i="32"/>
  <c r="D338" i="32"/>
  <c r="J338" i="32"/>
  <c r="E338" i="32"/>
  <c r="K338" i="32"/>
  <c r="L338" i="32"/>
  <c r="C339" i="32"/>
  <c r="G339" i="32"/>
  <c r="H339" i="32"/>
  <c r="F339" i="32"/>
  <c r="I339" i="32"/>
  <c r="D339" i="32"/>
  <c r="J339" i="32"/>
  <c r="E339" i="32"/>
  <c r="K339" i="32"/>
  <c r="L339" i="32"/>
  <c r="C340" i="32"/>
  <c r="G340" i="32"/>
  <c r="H340" i="32"/>
  <c r="I340" i="32"/>
  <c r="D340" i="32"/>
  <c r="J340" i="32"/>
  <c r="E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F348" i="32"/>
  <c r="H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G352" i="32"/>
  <c r="H352" i="32"/>
  <c r="I352" i="32"/>
  <c r="D352" i="32"/>
  <c r="J352" i="32"/>
  <c r="E352" i="32"/>
  <c r="K352" i="32"/>
  <c r="L352" i="32"/>
  <c r="C353" i="32"/>
  <c r="G353" i="32"/>
  <c r="F353" i="32"/>
  <c r="H353" i="32"/>
  <c r="I353" i="32"/>
  <c r="D353" i="32"/>
  <c r="J353" i="32"/>
  <c r="E353" i="32"/>
  <c r="K353" i="32"/>
  <c r="L353" i="32"/>
  <c r="C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G359" i="32"/>
  <c r="F359" i="32"/>
  <c r="H359" i="32"/>
  <c r="I359" i="32"/>
  <c r="D359" i="32"/>
  <c r="J359" i="32"/>
  <c r="E359" i="32"/>
  <c r="K359" i="32"/>
  <c r="L359" i="32"/>
  <c r="C360" i="32"/>
  <c r="G360" i="32"/>
  <c r="H360" i="32"/>
  <c r="I360" i="32"/>
  <c r="D360" i="32"/>
  <c r="J360" i="32"/>
  <c r="E360" i="32"/>
  <c r="K360" i="32"/>
  <c r="L360" i="32"/>
  <c r="C361" i="32"/>
  <c r="G361" i="32"/>
  <c r="H361" i="32"/>
  <c r="I361" i="32"/>
  <c r="D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H368" i="32"/>
  <c r="F368" i="32"/>
  <c r="I368" i="32"/>
  <c r="D368" i="32"/>
  <c r="J368" i="32"/>
  <c r="E368" i="32"/>
  <c r="K368" i="32"/>
  <c r="L368" i="32"/>
  <c r="C369" i="32"/>
  <c r="G369" i="32"/>
  <c r="F369" i="32"/>
  <c r="H369" i="32"/>
  <c r="I369" i="32"/>
  <c r="D369" i="32"/>
  <c r="J369" i="32"/>
  <c r="E369" i="32"/>
  <c r="K369" i="32"/>
  <c r="L369" i="32"/>
  <c r="C370" i="32"/>
  <c r="G370" i="32"/>
  <c r="H370" i="32"/>
  <c r="I370" i="32"/>
  <c r="D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H373" i="32"/>
  <c r="I373" i="32"/>
  <c r="D373" i="32"/>
  <c r="J373" i="32"/>
  <c r="E373" i="32"/>
  <c r="K373" i="32"/>
  <c r="L373" i="32"/>
  <c r="C374" i="32"/>
  <c r="G374" i="32"/>
  <c r="H374" i="32"/>
  <c r="I374" i="32"/>
  <c r="D374" i="32"/>
  <c r="J374" i="32"/>
  <c r="E374" i="32"/>
  <c r="K374" i="32"/>
  <c r="L374" i="32"/>
  <c r="C375" i="32"/>
  <c r="G375" i="32"/>
  <c r="H375" i="32"/>
  <c r="I375" i="32"/>
  <c r="D375" i="32"/>
  <c r="J375" i="32"/>
  <c r="E375" i="32"/>
  <c r="K375" i="32"/>
  <c r="L375" i="32"/>
  <c r="C376" i="32"/>
  <c r="G376" i="32"/>
  <c r="H376" i="32"/>
  <c r="I376" i="32"/>
  <c r="D376" i="32"/>
  <c r="J376" i="32"/>
  <c r="E376" i="32"/>
  <c r="K376" i="32"/>
  <c r="L376" i="32"/>
  <c r="C377" i="32"/>
  <c r="G377" i="32"/>
  <c r="H377" i="32"/>
  <c r="I377" i="32"/>
  <c r="D377" i="32"/>
  <c r="J377" i="32"/>
  <c r="E377" i="32"/>
  <c r="K377" i="32"/>
  <c r="L377" i="32"/>
  <c r="C378" i="32"/>
  <c r="G378" i="32"/>
  <c r="F378" i="32"/>
  <c r="H378" i="32"/>
  <c r="I378" i="32"/>
  <c r="D378" i="32"/>
  <c r="J378" i="32"/>
  <c r="E378" i="32"/>
  <c r="K378" i="32"/>
  <c r="L378" i="32"/>
  <c r="C379" i="32"/>
  <c r="G379" i="32"/>
  <c r="H379" i="32"/>
  <c r="I379" i="32"/>
  <c r="D379" i="32"/>
  <c r="J379" i="32"/>
  <c r="E379" i="32"/>
  <c r="K379" i="32"/>
  <c r="L379" i="32"/>
  <c r="C380" i="32"/>
  <c r="G380" i="32"/>
  <c r="H380" i="32"/>
  <c r="I380" i="32"/>
  <c r="D380" i="32"/>
  <c r="J380" i="32"/>
  <c r="E380" i="32"/>
  <c r="K380" i="32"/>
  <c r="L380" i="32"/>
  <c r="C381" i="32"/>
  <c r="G381" i="32"/>
  <c r="F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G385" i="32"/>
  <c r="F385" i="32"/>
  <c r="H385" i="32"/>
  <c r="I385" i="32"/>
  <c r="D385" i="32"/>
  <c r="J385" i="32"/>
  <c r="E385" i="32"/>
  <c r="K385" i="32"/>
  <c r="L385" i="32"/>
  <c r="C386" i="32"/>
  <c r="G386" i="32"/>
  <c r="H386" i="32"/>
  <c r="I386" i="32"/>
  <c r="D386" i="32"/>
  <c r="J386" i="32"/>
  <c r="E386" i="32"/>
  <c r="K386" i="32"/>
  <c r="L386" i="32"/>
  <c r="C387" i="32"/>
  <c r="G387" i="32"/>
  <c r="H387" i="32"/>
  <c r="I387" i="32"/>
  <c r="D387" i="32"/>
  <c r="J387" i="32"/>
  <c r="E387" i="32"/>
  <c r="K387" i="32"/>
  <c r="L387" i="32"/>
  <c r="C388" i="32"/>
  <c r="G388" i="32"/>
  <c r="H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H393" i="32"/>
  <c r="I393" i="32"/>
  <c r="D393" i="32"/>
  <c r="J393" i="32"/>
  <c r="E393" i="32"/>
  <c r="K393" i="32"/>
  <c r="L393" i="32"/>
  <c r="C394" i="32"/>
  <c r="G394" i="32"/>
  <c r="H394" i="32"/>
  <c r="I394" i="32"/>
  <c r="D394" i="32"/>
  <c r="J394" i="32"/>
  <c r="E394" i="32"/>
  <c r="K394" i="32"/>
  <c r="L394" i="32"/>
  <c r="C395" i="32"/>
  <c r="G395" i="32"/>
  <c r="F395" i="32"/>
  <c r="H395" i="32"/>
  <c r="I395" i="32"/>
  <c r="D395" i="32"/>
  <c r="J395" i="32"/>
  <c r="E395" i="32"/>
  <c r="K395" i="32"/>
  <c r="L395" i="32"/>
  <c r="C396" i="32"/>
  <c r="G396" i="32"/>
  <c r="F396" i="32"/>
  <c r="H396" i="32"/>
  <c r="I396" i="32"/>
  <c r="D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F407" i="32"/>
  <c r="H407" i="32"/>
  <c r="I407" i="32"/>
  <c r="D407" i="32"/>
  <c r="J407" i="32"/>
  <c r="E407" i="32"/>
  <c r="K407" i="32"/>
  <c r="L407" i="32"/>
  <c r="C408" i="32"/>
  <c r="G408" i="32"/>
  <c r="H408" i="32"/>
  <c r="I408" i="32"/>
  <c r="D408" i="32"/>
  <c r="J408" i="32"/>
  <c r="E408" i="32"/>
  <c r="K408" i="32"/>
  <c r="L408" i="32"/>
  <c r="C409" i="32"/>
  <c r="G409" i="32"/>
  <c r="H409" i="32"/>
  <c r="I409" i="32"/>
  <c r="D409" i="32"/>
  <c r="J409" i="32"/>
  <c r="E409" i="32"/>
  <c r="K409" i="32"/>
  <c r="L409" i="32"/>
  <c r="C410" i="32"/>
  <c r="G410" i="32"/>
  <c r="H410" i="32"/>
  <c r="I410" i="32"/>
  <c r="D410" i="32"/>
  <c r="J410" i="32"/>
  <c r="E410" i="32"/>
  <c r="K410" i="32"/>
  <c r="L410" i="32"/>
  <c r="C411" i="32"/>
  <c r="G411" i="32"/>
  <c r="H411" i="32"/>
  <c r="I411" i="32"/>
  <c r="D411" i="32"/>
  <c r="J411" i="32"/>
  <c r="E411" i="32"/>
  <c r="K411" i="32"/>
  <c r="L411" i="32"/>
  <c r="C412" i="32"/>
  <c r="G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G418" i="32"/>
  <c r="F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H421" i="32"/>
  <c r="F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I424" i="32"/>
  <c r="D424" i="32"/>
  <c r="J424" i="32"/>
  <c r="E424" i="32"/>
  <c r="K424" i="32"/>
  <c r="L424" i="32"/>
  <c r="C425" i="32"/>
  <c r="G425" i="32"/>
  <c r="H425" i="32"/>
  <c r="I425" i="32"/>
  <c r="D425" i="32"/>
  <c r="J425" i="32"/>
  <c r="E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G431" i="32"/>
  <c r="H431" i="32"/>
  <c r="I431" i="32"/>
  <c r="D431" i="32"/>
  <c r="J431" i="32"/>
  <c r="E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F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G440" i="32"/>
  <c r="H440" i="32"/>
  <c r="I440" i="32"/>
  <c r="D440" i="32"/>
  <c r="J440" i="32"/>
  <c r="E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I443" i="32"/>
  <c r="D443" i="32"/>
  <c r="J443" i="32"/>
  <c r="E443" i="32"/>
  <c r="K443" i="32"/>
  <c r="L443" i="32"/>
  <c r="C444" i="32"/>
  <c r="G444" i="32"/>
  <c r="H444" i="32"/>
  <c r="I444" i="32"/>
  <c r="D444" i="32"/>
  <c r="J444" i="32"/>
  <c r="E444" i="32"/>
  <c r="K444" i="32"/>
  <c r="L444" i="32"/>
  <c r="C445" i="32"/>
  <c r="G445" i="32"/>
  <c r="H445" i="32"/>
  <c r="I445" i="32"/>
  <c r="D445" i="32"/>
  <c r="J445" i="32"/>
  <c r="E445" i="32"/>
  <c r="K445" i="32"/>
  <c r="L445" i="32"/>
  <c r="C446" i="32"/>
  <c r="G446" i="32"/>
  <c r="H446" i="32"/>
  <c r="F446" i="32"/>
  <c r="I446" i="32"/>
  <c r="D446" i="32"/>
  <c r="J446" i="32"/>
  <c r="E446" i="32"/>
  <c r="K446" i="32"/>
  <c r="L446" i="32"/>
  <c r="C447" i="32"/>
  <c r="G447" i="32"/>
  <c r="H447" i="32"/>
  <c r="F447" i="32"/>
  <c r="I447" i="32"/>
  <c r="D447" i="32"/>
  <c r="J447" i="32"/>
  <c r="E447" i="32"/>
  <c r="K447" i="32"/>
  <c r="L447" i="32"/>
  <c r="C448" i="32"/>
  <c r="G448" i="32"/>
  <c r="H448" i="32"/>
  <c r="F448" i="32"/>
  <c r="I448" i="32"/>
  <c r="D448" i="32"/>
  <c r="J448" i="32"/>
  <c r="E448" i="32"/>
  <c r="K448" i="32"/>
  <c r="L448" i="32"/>
  <c r="C449" i="32"/>
  <c r="G449" i="32"/>
  <c r="H449" i="32"/>
  <c r="I449" i="32"/>
  <c r="D449" i="32"/>
  <c r="J449" i="32"/>
  <c r="E449" i="32"/>
  <c r="K449" i="32"/>
  <c r="L449" i="32"/>
  <c r="C450" i="32"/>
  <c r="G450" i="32"/>
  <c r="H450" i="32"/>
  <c r="I450" i="32"/>
  <c r="D450" i="32"/>
  <c r="J450" i="32"/>
  <c r="E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G455" i="32"/>
  <c r="F455" i="32"/>
  <c r="H455" i="32"/>
  <c r="I455" i="32"/>
  <c r="D455" i="32"/>
  <c r="J455" i="32"/>
  <c r="E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H459" i="32"/>
  <c r="I459" i="32"/>
  <c r="D459" i="32"/>
  <c r="J459" i="32"/>
  <c r="E459" i="32"/>
  <c r="K459" i="32"/>
  <c r="L459" i="32"/>
  <c r="C460" i="32"/>
  <c r="G460" i="32"/>
  <c r="F460" i="32"/>
  <c r="H460" i="32"/>
  <c r="I460" i="32"/>
  <c r="D460" i="32"/>
  <c r="J460" i="32"/>
  <c r="E460" i="32"/>
  <c r="K460" i="32"/>
  <c r="L460" i="32"/>
  <c r="C461" i="32"/>
  <c r="G461" i="32"/>
  <c r="F461" i="32"/>
  <c r="H461" i="32"/>
  <c r="I461" i="32"/>
  <c r="D461" i="32"/>
  <c r="J461" i="32"/>
  <c r="E461" i="32"/>
  <c r="K461" i="32"/>
  <c r="L461" i="32"/>
  <c r="C462" i="32"/>
  <c r="G462" i="32"/>
  <c r="F462" i="32"/>
  <c r="H462" i="32"/>
  <c r="I462" i="32"/>
  <c r="D462" i="32"/>
  <c r="J462" i="32"/>
  <c r="E462" i="32"/>
  <c r="K462" i="32"/>
  <c r="L462" i="32"/>
  <c r="C463" i="32"/>
  <c r="G463" i="32"/>
  <c r="H463" i="32"/>
  <c r="I463" i="32"/>
  <c r="D463" i="32"/>
  <c r="J463" i="32"/>
  <c r="E463" i="32"/>
  <c r="K463" i="32"/>
  <c r="L463" i="32"/>
  <c r="C464" i="32"/>
  <c r="G464" i="32"/>
  <c r="H464" i="32"/>
  <c r="I464" i="32"/>
  <c r="D464" i="32"/>
  <c r="J464" i="32"/>
  <c r="E464" i="32"/>
  <c r="K464" i="32"/>
  <c r="L464" i="32"/>
  <c r="C465" i="32"/>
  <c r="G465" i="32"/>
  <c r="H465" i="32"/>
  <c r="I465" i="32"/>
  <c r="D465" i="32"/>
  <c r="J465" i="32"/>
  <c r="E465" i="32"/>
  <c r="K465" i="32"/>
  <c r="L465" i="32"/>
  <c r="C466" i="32"/>
  <c r="G466" i="32"/>
  <c r="H466" i="32"/>
  <c r="I466" i="32"/>
  <c r="D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I470" i="32"/>
  <c r="D470" i="32"/>
  <c r="J470" i="32"/>
  <c r="E470" i="32"/>
  <c r="K470" i="32"/>
  <c r="L470" i="32"/>
  <c r="C471" i="32"/>
  <c r="G471" i="32"/>
  <c r="H471" i="32"/>
  <c r="F471" i="32"/>
  <c r="I471" i="32"/>
  <c r="D471" i="32"/>
  <c r="J471" i="32"/>
  <c r="E471" i="32"/>
  <c r="K471" i="32"/>
  <c r="L471" i="32"/>
  <c r="C472" i="32"/>
  <c r="G472" i="32"/>
  <c r="H472" i="32"/>
  <c r="I472" i="32"/>
  <c r="D472" i="32"/>
  <c r="J472" i="32"/>
  <c r="E472" i="32"/>
  <c r="K472" i="32"/>
  <c r="L472" i="32"/>
  <c r="C473" i="32"/>
  <c r="G473" i="32"/>
  <c r="H473" i="32"/>
  <c r="F473" i="32"/>
  <c r="I473" i="32"/>
  <c r="D473" i="32"/>
  <c r="J473" i="32"/>
  <c r="E473" i="32"/>
  <c r="K473" i="32"/>
  <c r="L473" i="32"/>
  <c r="C474" i="32"/>
  <c r="G474" i="32"/>
  <c r="H474" i="32"/>
  <c r="I474" i="32"/>
  <c r="D474" i="32"/>
  <c r="J474" i="32"/>
  <c r="E474" i="32"/>
  <c r="K474" i="32"/>
  <c r="L474" i="32"/>
  <c r="C475" i="32"/>
  <c r="G475" i="32"/>
  <c r="H475" i="32"/>
  <c r="I475" i="32"/>
  <c r="D475" i="32"/>
  <c r="J475" i="32"/>
  <c r="E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H483" i="32"/>
  <c r="I483" i="32"/>
  <c r="D483" i="32"/>
  <c r="J483" i="32"/>
  <c r="E483" i="32"/>
  <c r="K483" i="32"/>
  <c r="L483" i="32"/>
  <c r="C484" i="32"/>
  <c r="G484" i="32"/>
  <c r="H484" i="32"/>
  <c r="I484" i="32"/>
  <c r="D484" i="32"/>
  <c r="J484" i="32"/>
  <c r="E484" i="32"/>
  <c r="K484" i="32"/>
  <c r="L484" i="32"/>
  <c r="C485" i="32"/>
  <c r="G485" i="32"/>
  <c r="H485" i="32"/>
  <c r="I485" i="32"/>
  <c r="D485" i="32"/>
  <c r="J485" i="32"/>
  <c r="E485" i="32"/>
  <c r="K485" i="32"/>
  <c r="L485" i="32"/>
  <c r="C486" i="32"/>
  <c r="G486" i="32"/>
  <c r="H486" i="32"/>
  <c r="I486" i="32"/>
  <c r="D486" i="32"/>
  <c r="J486" i="32"/>
  <c r="E486" i="32"/>
  <c r="K486" i="32"/>
  <c r="L486" i="32"/>
  <c r="C487" i="32"/>
  <c r="G487" i="32"/>
  <c r="H487" i="32"/>
  <c r="I487" i="32"/>
  <c r="D487" i="32"/>
  <c r="J487" i="32"/>
  <c r="E487" i="32"/>
  <c r="K487" i="32"/>
  <c r="L487" i="32"/>
  <c r="C488" i="32"/>
  <c r="G488" i="32"/>
  <c r="H488" i="32"/>
  <c r="F488" i="32"/>
  <c r="I488" i="32"/>
  <c r="D488" i="32"/>
  <c r="J488" i="32"/>
  <c r="E488" i="32"/>
  <c r="K488" i="32"/>
  <c r="L488" i="32"/>
  <c r="C489" i="32"/>
  <c r="G489" i="32"/>
  <c r="H489" i="32"/>
  <c r="I489" i="32"/>
  <c r="D489" i="32"/>
  <c r="J489" i="32"/>
  <c r="E489" i="32"/>
  <c r="K489" i="32"/>
  <c r="L489" i="32"/>
  <c r="C490" i="32"/>
  <c r="G490" i="32"/>
  <c r="H490" i="32"/>
  <c r="F490" i="32"/>
  <c r="I490" i="32"/>
  <c r="D490" i="32"/>
  <c r="J490" i="32"/>
  <c r="E490" i="32"/>
  <c r="K490" i="32"/>
  <c r="L490" i="32"/>
  <c r="C491" i="32"/>
  <c r="G491" i="32"/>
  <c r="H491" i="32"/>
  <c r="I491" i="32"/>
  <c r="D491" i="32"/>
  <c r="J491" i="32"/>
  <c r="E491" i="32"/>
  <c r="K491" i="32"/>
  <c r="L491" i="32"/>
  <c r="C492" i="32"/>
  <c r="D492" i="32"/>
  <c r="G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G497" i="32"/>
  <c r="H497" i="32"/>
  <c r="I497" i="32"/>
  <c r="D497" i="32"/>
  <c r="J497" i="32"/>
  <c r="E497" i="32"/>
  <c r="K497" i="32"/>
  <c r="L497" i="32"/>
  <c r="C498" i="32"/>
  <c r="G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G501" i="32"/>
  <c r="H501" i="32"/>
  <c r="I501" i="32"/>
  <c r="D501" i="32"/>
  <c r="J501" i="32"/>
  <c r="E501" i="32"/>
  <c r="K501" i="32"/>
  <c r="L501" i="32"/>
  <c r="C502" i="32"/>
  <c r="G502" i="32"/>
  <c r="H502" i="32"/>
  <c r="I502" i="32"/>
  <c r="D502" i="32"/>
  <c r="J502" i="32"/>
  <c r="E502" i="32"/>
  <c r="K502" i="32"/>
  <c r="L502" i="32"/>
  <c r="C503" i="32"/>
  <c r="G503" i="32"/>
  <c r="H503" i="32"/>
  <c r="I503" i="32"/>
  <c r="D503" i="32"/>
  <c r="J503" i="32"/>
  <c r="E503" i="32"/>
  <c r="K503" i="32"/>
  <c r="L503" i="32"/>
  <c r="C504" i="32"/>
  <c r="G504" i="32"/>
  <c r="H504" i="32"/>
  <c r="I504" i="32"/>
  <c r="D504" i="32"/>
  <c r="J504" i="32"/>
  <c r="E504" i="32"/>
  <c r="K504" i="32"/>
  <c r="L504" i="32"/>
  <c r="C505" i="32"/>
  <c r="G505" i="32"/>
  <c r="H505" i="32"/>
  <c r="I505" i="32"/>
  <c r="D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H514" i="32"/>
  <c r="I514" i="32"/>
  <c r="D514" i="32"/>
  <c r="J514" i="32"/>
  <c r="E514" i="32"/>
  <c r="K514" i="32"/>
  <c r="L514" i="32"/>
  <c r="C515" i="32"/>
  <c r="G515" i="32"/>
  <c r="F515" i="32"/>
  <c r="H515" i="32"/>
  <c r="I515" i="32"/>
  <c r="D515" i="32"/>
  <c r="J515" i="32"/>
  <c r="E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I520" i="32"/>
  <c r="D520" i="32"/>
  <c r="J520" i="32"/>
  <c r="E520" i="32"/>
  <c r="K520" i="32"/>
  <c r="L520" i="32"/>
  <c r="C521" i="32"/>
  <c r="G521" i="32"/>
  <c r="H521" i="32"/>
  <c r="I521" i="32"/>
  <c r="D521" i="32"/>
  <c r="J521" i="32"/>
  <c r="E521" i="32"/>
  <c r="K521" i="32"/>
  <c r="L521" i="32"/>
  <c r="C522" i="32"/>
  <c r="G522" i="32"/>
  <c r="H522" i="32"/>
  <c r="I522" i="32"/>
  <c r="D522" i="32"/>
  <c r="J522" i="32"/>
  <c r="E522" i="32"/>
  <c r="K522" i="32"/>
  <c r="L522" i="32"/>
  <c r="C523" i="32"/>
  <c r="G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G528" i="32"/>
  <c r="H528" i="32"/>
  <c r="F528" i="32"/>
  <c r="I528" i="32"/>
  <c r="D528" i="32"/>
  <c r="J528" i="32"/>
  <c r="E528" i="32"/>
  <c r="K528" i="32"/>
  <c r="L528" i="32"/>
  <c r="C529" i="32"/>
  <c r="G529" i="32"/>
  <c r="H529" i="32"/>
  <c r="I529" i="32"/>
  <c r="D529" i="32"/>
  <c r="J529" i="32"/>
  <c r="E529" i="32"/>
  <c r="K529" i="32"/>
  <c r="L529" i="32"/>
  <c r="C530" i="32"/>
  <c r="G530" i="32"/>
  <c r="H530" i="32"/>
  <c r="I530" i="32"/>
  <c r="D530" i="32"/>
  <c r="J530" i="32"/>
  <c r="E530" i="32"/>
  <c r="K530" i="32"/>
  <c r="L530" i="32"/>
  <c r="C531" i="32"/>
  <c r="G531" i="32"/>
  <c r="H531" i="32"/>
  <c r="I531" i="32"/>
  <c r="D531" i="32"/>
  <c r="J531" i="32"/>
  <c r="E531" i="32"/>
  <c r="K531" i="32"/>
  <c r="L531" i="32"/>
  <c r="C532" i="32"/>
  <c r="G532" i="32"/>
  <c r="F532" i="32"/>
  <c r="H532" i="32"/>
  <c r="I532" i="32"/>
  <c r="D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G537" i="32"/>
  <c r="F537" i="32"/>
  <c r="H537" i="32"/>
  <c r="I537" i="32"/>
  <c r="D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G541" i="32"/>
  <c r="H541" i="32"/>
  <c r="I541" i="32"/>
  <c r="D541" i="32"/>
  <c r="J541" i="32"/>
  <c r="E541" i="32"/>
  <c r="K541" i="32"/>
  <c r="L541" i="32"/>
  <c r="C542" i="32"/>
  <c r="E542" i="32"/>
  <c r="G542" i="32"/>
  <c r="H542" i="32"/>
  <c r="I542" i="32"/>
  <c r="D542" i="32"/>
  <c r="J542" i="32"/>
  <c r="K542" i="32"/>
  <c r="L542" i="32"/>
  <c r="C543" i="32"/>
  <c r="G543" i="32"/>
  <c r="F543" i="32"/>
  <c r="H543" i="32"/>
  <c r="I543" i="32"/>
  <c r="D543" i="32"/>
  <c r="J543" i="32"/>
  <c r="E543" i="32"/>
  <c r="K543" i="32"/>
  <c r="L543" i="32"/>
  <c r="C544" i="32"/>
  <c r="G544" i="32"/>
  <c r="H544" i="32"/>
  <c r="I544" i="32"/>
  <c r="D544" i="32"/>
  <c r="J544" i="32"/>
  <c r="E544" i="32"/>
  <c r="K544" i="32"/>
  <c r="L544" i="32"/>
  <c r="C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F549" i="32"/>
  <c r="H549" i="32"/>
  <c r="I549" i="32"/>
  <c r="D549" i="32"/>
  <c r="J549" i="32"/>
  <c r="K549" i="32"/>
  <c r="L549" i="32"/>
  <c r="C550" i="32"/>
  <c r="G550" i="32"/>
  <c r="H550" i="32"/>
  <c r="I550" i="32"/>
  <c r="D550" i="32"/>
  <c r="J550" i="32"/>
  <c r="E550" i="32"/>
  <c r="K550" i="32"/>
  <c r="L550" i="32"/>
  <c r="C551" i="32"/>
  <c r="G551" i="32"/>
  <c r="H551" i="32"/>
  <c r="I551" i="32"/>
  <c r="D551" i="32"/>
  <c r="J551" i="32"/>
  <c r="E551" i="32"/>
  <c r="K551" i="32"/>
  <c r="L551" i="32"/>
  <c r="C552" i="32"/>
  <c r="G552" i="32"/>
  <c r="H552" i="32"/>
  <c r="I552" i="32"/>
  <c r="D552" i="32"/>
  <c r="J552" i="32"/>
  <c r="E552" i="32"/>
  <c r="K552" i="32"/>
  <c r="L552" i="32"/>
  <c r="C553" i="32"/>
  <c r="G553" i="32"/>
  <c r="H553" i="32"/>
  <c r="I553" i="32"/>
  <c r="D553" i="32"/>
  <c r="J553" i="32"/>
  <c r="E553" i="32"/>
  <c r="K553" i="32"/>
  <c r="L553" i="32"/>
  <c r="C554" i="32"/>
  <c r="G554" i="32"/>
  <c r="H554" i="32"/>
  <c r="I554" i="32"/>
  <c r="D554" i="32"/>
  <c r="J554" i="32"/>
  <c r="E554" i="32"/>
  <c r="K554" i="32"/>
  <c r="L554" i="32"/>
  <c r="C555" i="32"/>
  <c r="G555" i="32"/>
  <c r="H555" i="32"/>
  <c r="I555" i="32"/>
  <c r="D555" i="32"/>
  <c r="J555" i="32"/>
  <c r="E555" i="32"/>
  <c r="K555" i="32"/>
  <c r="L555" i="32"/>
  <c r="C556" i="32"/>
  <c r="G556" i="32"/>
  <c r="H556" i="32"/>
  <c r="I556" i="32"/>
  <c r="D556" i="32"/>
  <c r="J556" i="32"/>
  <c r="E556" i="32"/>
  <c r="K556" i="32"/>
  <c r="L556" i="32"/>
  <c r="C557" i="32"/>
  <c r="G557" i="32"/>
  <c r="F557" i="32"/>
  <c r="H557" i="32"/>
  <c r="I557" i="32"/>
  <c r="D557" i="32"/>
  <c r="J557" i="32"/>
  <c r="E557" i="32"/>
  <c r="K557" i="32"/>
  <c r="L557" i="32"/>
  <c r="C558" i="32"/>
  <c r="G558" i="32"/>
  <c r="H558" i="32"/>
  <c r="I558" i="32"/>
  <c r="D558" i="32"/>
  <c r="J558" i="32"/>
  <c r="E558" i="32"/>
  <c r="K558" i="32"/>
  <c r="L558" i="32"/>
  <c r="C559" i="32"/>
  <c r="G559" i="32"/>
  <c r="F559" i="32"/>
  <c r="H559" i="32"/>
  <c r="I559" i="32"/>
  <c r="D559" i="32"/>
  <c r="J559" i="32"/>
  <c r="E559" i="32"/>
  <c r="K559" i="32"/>
  <c r="L559" i="32"/>
  <c r="C560" i="32"/>
  <c r="D560" i="32"/>
  <c r="G560" i="32"/>
  <c r="H560" i="32"/>
  <c r="I560" i="32"/>
  <c r="J560" i="32"/>
  <c r="E560" i="32"/>
  <c r="K560" i="32"/>
  <c r="L560" i="32"/>
  <c r="C561" i="32"/>
  <c r="G561" i="32"/>
  <c r="H561" i="32"/>
  <c r="I561" i="32"/>
  <c r="D561" i="32"/>
  <c r="J561" i="32"/>
  <c r="E561" i="32"/>
  <c r="K561" i="32"/>
  <c r="L561" i="32"/>
  <c r="C562" i="32"/>
  <c r="G562" i="32"/>
  <c r="H562" i="32"/>
  <c r="I562" i="32"/>
  <c r="D562" i="32"/>
  <c r="J562" i="32"/>
  <c r="E562" i="32"/>
  <c r="K562" i="32"/>
  <c r="L562" i="32"/>
  <c r="C563" i="32"/>
  <c r="G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H567" i="32"/>
  <c r="I567" i="32"/>
  <c r="D567" i="32"/>
  <c r="J567" i="32"/>
  <c r="E567" i="32"/>
  <c r="K567" i="32"/>
  <c r="L567" i="32"/>
  <c r="C568" i="32"/>
  <c r="G568" i="32"/>
  <c r="H568" i="32"/>
  <c r="I568" i="32"/>
  <c r="D568" i="32"/>
  <c r="J568" i="32"/>
  <c r="E568" i="32"/>
  <c r="K568" i="32"/>
  <c r="L568" i="32"/>
  <c r="C569" i="32"/>
  <c r="G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G573" i="32"/>
  <c r="H573" i="32"/>
  <c r="I573" i="32"/>
  <c r="D573" i="32"/>
  <c r="J573" i="32"/>
  <c r="E573" i="32"/>
  <c r="K573" i="32"/>
  <c r="L573" i="32"/>
  <c r="C574" i="32"/>
  <c r="G574" i="32"/>
  <c r="H574" i="32"/>
  <c r="I574" i="32"/>
  <c r="D574" i="32"/>
  <c r="J574" i="32"/>
  <c r="E574" i="32"/>
  <c r="K574" i="32"/>
  <c r="L574" i="32"/>
  <c r="C575" i="32"/>
  <c r="G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G579" i="32"/>
  <c r="H579" i="32"/>
  <c r="I579" i="32"/>
  <c r="D579" i="32"/>
  <c r="J579" i="32"/>
  <c r="E579" i="32"/>
  <c r="K579" i="32"/>
  <c r="L579" i="32"/>
  <c r="C580" i="32"/>
  <c r="G580" i="32"/>
  <c r="H580" i="32"/>
  <c r="I580" i="32"/>
  <c r="D580" i="32"/>
  <c r="J580" i="32"/>
  <c r="E580" i="32"/>
  <c r="K580" i="32"/>
  <c r="L580" i="32"/>
  <c r="C581" i="32"/>
  <c r="G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G584" i="32"/>
  <c r="H584" i="32"/>
  <c r="I584" i="32"/>
  <c r="D584" i="32"/>
  <c r="J584" i="32"/>
  <c r="E584" i="32"/>
  <c r="K584" i="32"/>
  <c r="L584" i="32"/>
  <c r="C585" i="32"/>
  <c r="G585" i="32"/>
  <c r="F585" i="32"/>
  <c r="H585" i="32"/>
  <c r="I585" i="32"/>
  <c r="D585" i="32"/>
  <c r="J585" i="32"/>
  <c r="E585" i="32"/>
  <c r="K585" i="32"/>
  <c r="L585" i="32"/>
  <c r="C586" i="32"/>
  <c r="G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I589" i="32"/>
  <c r="D589" i="32"/>
  <c r="J589" i="32"/>
  <c r="E589" i="32"/>
  <c r="K589" i="32"/>
  <c r="L589" i="32"/>
  <c r="C590" i="32"/>
  <c r="G590" i="32"/>
  <c r="F590" i="32"/>
  <c r="H590" i="32"/>
  <c r="I590" i="32"/>
  <c r="D590" i="32"/>
  <c r="J590" i="32"/>
  <c r="E590" i="32"/>
  <c r="K590" i="32"/>
  <c r="L590" i="32"/>
  <c r="C591" i="32"/>
  <c r="G591" i="32"/>
  <c r="H591" i="32"/>
  <c r="I591" i="32"/>
  <c r="D591" i="32"/>
  <c r="J591" i="32"/>
  <c r="E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F595" i="32"/>
  <c r="H595" i="32"/>
  <c r="I595" i="32"/>
  <c r="D595" i="32"/>
  <c r="J595" i="32"/>
  <c r="E595" i="32"/>
  <c r="K595" i="32"/>
  <c r="L595" i="32"/>
  <c r="C596" i="32"/>
  <c r="G596" i="32"/>
  <c r="H596" i="32"/>
  <c r="F596" i="32"/>
  <c r="I596" i="32"/>
  <c r="D596" i="32"/>
  <c r="J596" i="32"/>
  <c r="E596" i="32"/>
  <c r="K596" i="32"/>
  <c r="L596" i="32"/>
  <c r="C597" i="32"/>
  <c r="G597" i="32"/>
  <c r="H597" i="32"/>
  <c r="I597" i="32"/>
  <c r="D597" i="32"/>
  <c r="J597" i="32"/>
  <c r="E597" i="32"/>
  <c r="K597" i="32"/>
  <c r="L597" i="32"/>
  <c r="C598" i="32"/>
  <c r="G598" i="32"/>
  <c r="H598" i="32"/>
  <c r="I598" i="32"/>
  <c r="D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H607" i="32"/>
  <c r="I607" i="32"/>
  <c r="D607" i="32"/>
  <c r="J607" i="32"/>
  <c r="E607" i="32"/>
  <c r="K607" i="32"/>
  <c r="L607" i="32"/>
  <c r="C608" i="32"/>
  <c r="E608" i="32"/>
  <c r="G608" i="32"/>
  <c r="H608" i="32"/>
  <c r="I608" i="32"/>
  <c r="D608" i="32"/>
  <c r="J608" i="32"/>
  <c r="K608" i="32"/>
  <c r="L608" i="32"/>
  <c r="C609" i="32"/>
  <c r="G609" i="32"/>
  <c r="F609" i="32"/>
  <c r="H609" i="32"/>
  <c r="I609" i="32"/>
  <c r="D609" i="32"/>
  <c r="J609" i="32"/>
  <c r="E609" i="32"/>
  <c r="K609" i="32"/>
  <c r="L609" i="32"/>
  <c r="C610" i="32"/>
  <c r="G610" i="32"/>
  <c r="H610" i="32"/>
  <c r="I610" i="32"/>
  <c r="D610" i="32"/>
  <c r="J610" i="32"/>
  <c r="E610" i="32"/>
  <c r="K610" i="32"/>
  <c r="L610" i="32"/>
  <c r="C611" i="32"/>
  <c r="G611" i="32"/>
  <c r="H611" i="32"/>
  <c r="I611" i="32"/>
  <c r="D611" i="32"/>
  <c r="J611" i="32"/>
  <c r="E611" i="32"/>
  <c r="K611" i="32"/>
  <c r="L611" i="32"/>
  <c r="C612" i="32"/>
  <c r="G612" i="32"/>
  <c r="H612" i="32"/>
  <c r="I612" i="32"/>
  <c r="D612" i="32"/>
  <c r="J612" i="32"/>
  <c r="E612" i="32"/>
  <c r="K612" i="32"/>
  <c r="L612" i="32"/>
  <c r="C613" i="32"/>
  <c r="G613" i="32"/>
  <c r="F613" i="32"/>
  <c r="H613" i="32"/>
  <c r="I613" i="32"/>
  <c r="D613" i="32"/>
  <c r="J613" i="32"/>
  <c r="E613" i="32"/>
  <c r="K613" i="32"/>
  <c r="L613" i="32"/>
  <c r="C614" i="32"/>
  <c r="G614" i="32"/>
  <c r="H614" i="32"/>
  <c r="I614" i="32"/>
  <c r="D614" i="32"/>
  <c r="J614" i="32"/>
  <c r="E614" i="32"/>
  <c r="K614" i="32"/>
  <c r="L614" i="32"/>
  <c r="C615" i="32"/>
  <c r="G615" i="32"/>
  <c r="H615" i="32"/>
  <c r="I615" i="32"/>
  <c r="D615" i="32"/>
  <c r="J615" i="32"/>
  <c r="E615" i="32"/>
  <c r="K615" i="32"/>
  <c r="L615" i="32"/>
  <c r="C616" i="32"/>
  <c r="G616" i="32"/>
  <c r="H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G620" i="32"/>
  <c r="H620" i="32"/>
  <c r="I620" i="32"/>
  <c r="D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G626" i="32"/>
  <c r="H626" i="32"/>
  <c r="I626" i="32"/>
  <c r="D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H631" i="32"/>
  <c r="I631" i="32"/>
  <c r="D631" i="32"/>
  <c r="J631" i="32"/>
  <c r="E631" i="32"/>
  <c r="K631" i="32"/>
  <c r="L631" i="32"/>
  <c r="C632" i="32"/>
  <c r="G632" i="32"/>
  <c r="H632" i="32"/>
  <c r="I632" i="32"/>
  <c r="D632" i="32"/>
  <c r="J632" i="32"/>
  <c r="E632" i="32"/>
  <c r="K632" i="32"/>
  <c r="L632" i="32"/>
  <c r="C633" i="32"/>
  <c r="G633" i="32"/>
  <c r="H633" i="32"/>
  <c r="I633" i="32"/>
  <c r="D633" i="32"/>
  <c r="J633" i="32"/>
  <c r="E633" i="32"/>
  <c r="K633" i="32"/>
  <c r="L633" i="32"/>
  <c r="C634" i="32"/>
  <c r="G634" i="32"/>
  <c r="F634" i="32"/>
  <c r="H634" i="32"/>
  <c r="I634" i="32"/>
  <c r="D634" i="32"/>
  <c r="J634" i="32"/>
  <c r="E634" i="32"/>
  <c r="K634" i="32"/>
  <c r="L634" i="32"/>
  <c r="C635" i="32"/>
  <c r="G635" i="32"/>
  <c r="H635" i="32"/>
  <c r="I635" i="32"/>
  <c r="D635" i="32"/>
  <c r="J635" i="32"/>
  <c r="E635" i="32"/>
  <c r="K635" i="32"/>
  <c r="L635" i="32"/>
  <c r="C636" i="32"/>
  <c r="G636" i="32"/>
  <c r="H636" i="32"/>
  <c r="I636" i="32"/>
  <c r="D636" i="32"/>
  <c r="J636" i="32"/>
  <c r="E636" i="32"/>
  <c r="K636" i="32"/>
  <c r="L636" i="32"/>
  <c r="C637" i="32"/>
  <c r="G637" i="32"/>
  <c r="H637" i="32"/>
  <c r="I637" i="32"/>
  <c r="D637" i="32"/>
  <c r="J637" i="32"/>
  <c r="E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G643" i="32"/>
  <c r="F643" i="32"/>
  <c r="H643" i="32"/>
  <c r="I643" i="32"/>
  <c r="D643" i="32"/>
  <c r="J643" i="32"/>
  <c r="E643" i="32"/>
  <c r="K643" i="32"/>
  <c r="L643" i="32"/>
  <c r="C644" i="32"/>
  <c r="G644" i="32"/>
  <c r="F644" i="32"/>
  <c r="H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E649" i="32"/>
  <c r="G649" i="32"/>
  <c r="H649" i="32"/>
  <c r="I649" i="32"/>
  <c r="D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H652" i="32"/>
  <c r="I652" i="32"/>
  <c r="D652" i="32"/>
  <c r="J652" i="32"/>
  <c r="E652" i="32"/>
  <c r="K652" i="32"/>
  <c r="L652" i="32"/>
  <c r="C653" i="32"/>
  <c r="G653" i="32"/>
  <c r="H653" i="32"/>
  <c r="I653" i="32"/>
  <c r="D653" i="32"/>
  <c r="J653" i="32"/>
  <c r="E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G662" i="32"/>
  <c r="H662" i="32"/>
  <c r="I662" i="32"/>
  <c r="D662" i="32"/>
  <c r="J662" i="32"/>
  <c r="E662" i="32"/>
  <c r="K662" i="32"/>
  <c r="L662" i="32"/>
  <c r="C663" i="32"/>
  <c r="G663" i="32"/>
  <c r="H663" i="32"/>
  <c r="I663" i="32"/>
  <c r="D663" i="32"/>
  <c r="J663" i="32"/>
  <c r="E663" i="32"/>
  <c r="K663" i="32"/>
  <c r="L663" i="32"/>
  <c r="C664" i="32"/>
  <c r="E664" i="32"/>
  <c r="G664" i="32"/>
  <c r="H664" i="32"/>
  <c r="I664" i="32"/>
  <c r="D664" i="32"/>
  <c r="J664" i="32"/>
  <c r="K664" i="32"/>
  <c r="L664" i="32"/>
  <c r="C665" i="32"/>
  <c r="G665" i="32"/>
  <c r="H665" i="32"/>
  <c r="I665" i="32"/>
  <c r="D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G669" i="32"/>
  <c r="H669" i="32"/>
  <c r="I669" i="32"/>
  <c r="D669" i="32"/>
  <c r="J669" i="32"/>
  <c r="E669" i="32"/>
  <c r="K669" i="32"/>
  <c r="L669" i="32"/>
  <c r="C670" i="32"/>
  <c r="G670" i="32"/>
  <c r="H670" i="32"/>
  <c r="I670" i="32"/>
  <c r="D670" i="32"/>
  <c r="J670" i="32"/>
  <c r="E670" i="32"/>
  <c r="K670" i="32"/>
  <c r="L670" i="32"/>
  <c r="C671" i="32"/>
  <c r="G671" i="32"/>
  <c r="F671" i="32"/>
  <c r="H671" i="32"/>
  <c r="I671" i="32"/>
  <c r="D671" i="32"/>
  <c r="J671" i="32"/>
  <c r="E671" i="32"/>
  <c r="K671" i="32"/>
  <c r="L671" i="32"/>
  <c r="C672" i="32"/>
  <c r="G672" i="32"/>
  <c r="H672" i="32"/>
  <c r="I672" i="32"/>
  <c r="D672" i="32"/>
  <c r="J672" i="32"/>
  <c r="E672" i="32"/>
  <c r="K672" i="32"/>
  <c r="L672" i="32"/>
  <c r="C673" i="32"/>
  <c r="G673" i="32"/>
  <c r="H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G676" i="32"/>
  <c r="H676" i="32"/>
  <c r="I676" i="32"/>
  <c r="D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G680" i="32"/>
  <c r="F680" i="32"/>
  <c r="H680" i="32"/>
  <c r="I680" i="32"/>
  <c r="D680" i="32"/>
  <c r="J680" i="32"/>
  <c r="E680" i="32"/>
  <c r="K680" i="32"/>
  <c r="L680" i="32"/>
  <c r="C681" i="32"/>
  <c r="G681" i="32"/>
  <c r="F681" i="32"/>
  <c r="H681" i="32"/>
  <c r="I681" i="32"/>
  <c r="D681" i="32"/>
  <c r="J681" i="32"/>
  <c r="E681" i="32"/>
  <c r="K681" i="32"/>
  <c r="L681" i="32"/>
  <c r="C682" i="32"/>
  <c r="G682" i="32"/>
  <c r="H682" i="32"/>
  <c r="I682" i="32"/>
  <c r="D682" i="32"/>
  <c r="J682" i="32"/>
  <c r="E682" i="32"/>
  <c r="K682" i="32"/>
  <c r="L682" i="32"/>
  <c r="C683" i="32"/>
  <c r="G683" i="32"/>
  <c r="H683" i="32"/>
  <c r="I683" i="32"/>
  <c r="D683" i="32"/>
  <c r="J683" i="32"/>
  <c r="E683" i="32"/>
  <c r="K683" i="32"/>
  <c r="L683" i="32"/>
  <c r="C684" i="32"/>
  <c r="G684" i="32"/>
  <c r="F684" i="32"/>
  <c r="H684" i="32"/>
  <c r="I684" i="32"/>
  <c r="D684" i="32"/>
  <c r="J684" i="32"/>
  <c r="E684" i="32"/>
  <c r="K684" i="32"/>
  <c r="L684" i="32"/>
  <c r="C685" i="32"/>
  <c r="G685" i="32"/>
  <c r="H685" i="32"/>
  <c r="I685" i="32"/>
  <c r="D685" i="32"/>
  <c r="J685" i="32"/>
  <c r="E685" i="32"/>
  <c r="K685" i="32"/>
  <c r="L685" i="32"/>
  <c r="C686" i="32"/>
  <c r="G686" i="32"/>
  <c r="F686" i="32"/>
  <c r="H686" i="32"/>
  <c r="I686" i="32"/>
  <c r="D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H692" i="32"/>
  <c r="I692" i="32"/>
  <c r="D692" i="32"/>
  <c r="J692" i="32"/>
  <c r="E692" i="32"/>
  <c r="K692" i="32"/>
  <c r="L692" i="32"/>
  <c r="C693" i="32"/>
  <c r="G693" i="32"/>
  <c r="H693" i="32"/>
  <c r="I693" i="32"/>
  <c r="D693" i="32"/>
  <c r="J693" i="32"/>
  <c r="E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G698" i="32"/>
  <c r="H698" i="32"/>
  <c r="I698" i="32"/>
  <c r="D698" i="32"/>
  <c r="J698" i="32"/>
  <c r="E698" i="32"/>
  <c r="K698" i="32"/>
  <c r="L698" i="32"/>
  <c r="C699" i="32"/>
  <c r="G699" i="32"/>
  <c r="H699" i="32"/>
  <c r="I699" i="32"/>
  <c r="D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G702" i="32"/>
  <c r="H702" i="32"/>
  <c r="I702" i="32"/>
  <c r="D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F710" i="32"/>
  <c r="H710" i="32"/>
  <c r="I710" i="32"/>
  <c r="D710" i="32"/>
  <c r="J710" i="32"/>
  <c r="E710" i="32"/>
  <c r="K710" i="32"/>
  <c r="L710" i="32"/>
  <c r="C711" i="32"/>
  <c r="G711" i="32"/>
  <c r="H711" i="32"/>
  <c r="F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G715" i="32"/>
  <c r="H715" i="32"/>
  <c r="I715" i="32"/>
  <c r="D715" i="32"/>
  <c r="J715" i="32"/>
  <c r="E715" i="32"/>
  <c r="K715" i="32"/>
  <c r="L715" i="32"/>
  <c r="C716" i="32"/>
  <c r="G716" i="32"/>
  <c r="H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I722" i="32"/>
  <c r="D722" i="32"/>
  <c r="J722" i="32"/>
  <c r="E722" i="32"/>
  <c r="K722" i="32"/>
  <c r="L722" i="32"/>
  <c r="C723" i="32"/>
  <c r="G723" i="32"/>
  <c r="F723" i="32"/>
  <c r="H723" i="32"/>
  <c r="I723" i="32"/>
  <c r="D723" i="32"/>
  <c r="J723" i="32"/>
  <c r="E723" i="32"/>
  <c r="K723" i="32"/>
  <c r="L723" i="32"/>
  <c r="C724" i="32"/>
  <c r="G724" i="32"/>
  <c r="H724" i="32"/>
  <c r="I724" i="32"/>
  <c r="D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I731" i="32"/>
  <c r="D731" i="32"/>
  <c r="J731" i="32"/>
  <c r="E731" i="32"/>
  <c r="K731" i="32"/>
  <c r="L731" i="32"/>
  <c r="C732" i="32"/>
  <c r="G732" i="32"/>
  <c r="H732" i="32"/>
  <c r="I732" i="32"/>
  <c r="D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G736" i="32"/>
  <c r="H736" i="32"/>
  <c r="I736" i="32"/>
  <c r="D736" i="32"/>
  <c r="J736" i="32"/>
  <c r="E736" i="32"/>
  <c r="K736" i="32"/>
  <c r="L736" i="32"/>
  <c r="C737" i="32"/>
  <c r="G737" i="32"/>
  <c r="H737" i="32"/>
  <c r="I737" i="32"/>
  <c r="D737" i="32"/>
  <c r="J737" i="32"/>
  <c r="E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G741" i="32"/>
  <c r="F741" i="32"/>
  <c r="H741" i="32"/>
  <c r="I741" i="32"/>
  <c r="D741" i="32"/>
  <c r="J741" i="32"/>
  <c r="E741" i="32"/>
  <c r="K741" i="32"/>
  <c r="L741" i="32"/>
  <c r="C742" i="32"/>
  <c r="G742" i="32"/>
  <c r="H742" i="32"/>
  <c r="F742" i="32"/>
  <c r="I742" i="32"/>
  <c r="D742" i="32"/>
  <c r="J742" i="32"/>
  <c r="E742" i="32"/>
  <c r="K742" i="32"/>
  <c r="L742" i="32"/>
  <c r="C743" i="32"/>
  <c r="D743" i="32"/>
  <c r="G743" i="32"/>
  <c r="H743" i="32"/>
  <c r="I743" i="32"/>
  <c r="J743" i="32"/>
  <c r="E743" i="32"/>
  <c r="K743" i="32"/>
  <c r="L743" i="32"/>
  <c r="C744" i="32"/>
  <c r="G744" i="32"/>
  <c r="H744" i="32"/>
  <c r="I744" i="32"/>
  <c r="D744" i="32"/>
  <c r="J744" i="32"/>
  <c r="E744" i="32"/>
  <c r="K744" i="32"/>
  <c r="L744" i="32"/>
  <c r="C745" i="32"/>
  <c r="G745" i="32"/>
  <c r="H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G752" i="32"/>
  <c r="F752" i="32"/>
  <c r="H752" i="32"/>
  <c r="I752" i="32"/>
  <c r="D752" i="32"/>
  <c r="J752" i="32"/>
  <c r="E752" i="32"/>
  <c r="K752" i="32"/>
  <c r="L752" i="32"/>
  <c r="C753" i="32"/>
  <c r="G753" i="32"/>
  <c r="H753" i="32"/>
  <c r="F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H757" i="32"/>
  <c r="I757" i="32"/>
  <c r="D757" i="32"/>
  <c r="J757" i="32"/>
  <c r="E757" i="32"/>
  <c r="K757" i="32"/>
  <c r="L757" i="32"/>
  <c r="C758" i="32"/>
  <c r="G758" i="32"/>
  <c r="F758" i="32"/>
  <c r="H758" i="32"/>
  <c r="I758" i="32"/>
  <c r="D758" i="32"/>
  <c r="J758" i="32"/>
  <c r="E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F763" i="32"/>
  <c r="I763" i="32"/>
  <c r="D763" i="32"/>
  <c r="J763" i="32"/>
  <c r="E763" i="32"/>
  <c r="K763" i="32"/>
  <c r="L763" i="32"/>
  <c r="C764" i="32"/>
  <c r="G764" i="32"/>
  <c r="F764" i="32"/>
  <c r="H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G769" i="32"/>
  <c r="H769" i="32"/>
  <c r="I769" i="32"/>
  <c r="D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I777" i="32"/>
  <c r="D777" i="32"/>
  <c r="J777" i="32"/>
  <c r="E777" i="32"/>
  <c r="K777" i="32"/>
  <c r="L777" i="32"/>
  <c r="C778" i="32"/>
  <c r="G778" i="32"/>
  <c r="H778" i="32"/>
  <c r="I778" i="32"/>
  <c r="D778" i="32"/>
  <c r="J778" i="32"/>
  <c r="E778" i="32"/>
  <c r="K778" i="32"/>
  <c r="L778" i="32"/>
  <c r="C779" i="32"/>
  <c r="G779" i="32"/>
  <c r="H779" i="32"/>
  <c r="I779" i="32"/>
  <c r="D779" i="32"/>
  <c r="J779" i="32"/>
  <c r="E779" i="32"/>
  <c r="K779" i="32"/>
  <c r="L779" i="32"/>
  <c r="C780" i="32"/>
  <c r="G780" i="32"/>
  <c r="F780" i="32"/>
  <c r="H780" i="32"/>
  <c r="I780" i="32"/>
  <c r="D780" i="32"/>
  <c r="J780" i="32"/>
  <c r="E780" i="32"/>
  <c r="K780" i="32"/>
  <c r="L780" i="32"/>
  <c r="C781" i="32"/>
  <c r="G781" i="32"/>
  <c r="F781" i="32"/>
  <c r="H781" i="32"/>
  <c r="I781" i="32"/>
  <c r="D781" i="32"/>
  <c r="J781" i="32"/>
  <c r="E781" i="32"/>
  <c r="K781" i="32"/>
  <c r="L781" i="32"/>
  <c r="C782" i="32"/>
  <c r="G782" i="32"/>
  <c r="F782" i="32"/>
  <c r="H782" i="32"/>
  <c r="I782" i="32"/>
  <c r="D782" i="32"/>
  <c r="J782" i="32"/>
  <c r="E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G786" i="32"/>
  <c r="H786" i="32"/>
  <c r="I786" i="32"/>
  <c r="D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G791" i="32"/>
  <c r="H791" i="32"/>
  <c r="I791" i="32"/>
  <c r="D791" i="32"/>
  <c r="J791" i="32"/>
  <c r="E791" i="32"/>
  <c r="K791" i="32"/>
  <c r="L791" i="32"/>
  <c r="C792" i="32"/>
  <c r="G792" i="32"/>
  <c r="H792" i="32"/>
  <c r="I792" i="32"/>
  <c r="D792" i="32"/>
  <c r="J792" i="32"/>
  <c r="E792" i="32"/>
  <c r="K792" i="32"/>
  <c r="L792" i="32"/>
  <c r="C793" i="32"/>
  <c r="G793" i="32"/>
  <c r="H793" i="32"/>
  <c r="I793" i="32"/>
  <c r="D793" i="32"/>
  <c r="J793" i="32"/>
  <c r="E793" i="32"/>
  <c r="K793" i="32"/>
  <c r="L793" i="32"/>
  <c r="C794" i="32"/>
  <c r="G794" i="32"/>
  <c r="H794" i="32"/>
  <c r="I794" i="32"/>
  <c r="D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F801" i="32"/>
  <c r="H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G808" i="32"/>
  <c r="F808" i="32"/>
  <c r="H808" i="32"/>
  <c r="I808" i="32"/>
  <c r="D808" i="32"/>
  <c r="J808" i="32"/>
  <c r="E808" i="32"/>
  <c r="K808" i="32"/>
  <c r="L808" i="32"/>
  <c r="C809" i="32"/>
  <c r="G809" i="32"/>
  <c r="H809" i="32"/>
  <c r="I809" i="32"/>
  <c r="D809" i="32"/>
  <c r="J809" i="32"/>
  <c r="E809" i="32"/>
  <c r="K809" i="32"/>
  <c r="L809" i="32"/>
  <c r="C810" i="32"/>
  <c r="G810" i="32"/>
  <c r="H810" i="32"/>
  <c r="I810" i="32"/>
  <c r="D810" i="32"/>
  <c r="J810" i="32"/>
  <c r="E810" i="32"/>
  <c r="K810" i="32"/>
  <c r="L810" i="32"/>
  <c r="C811" i="32"/>
  <c r="G811" i="32"/>
  <c r="F811" i="32"/>
  <c r="H811" i="32"/>
  <c r="I811" i="32"/>
  <c r="D811" i="32"/>
  <c r="J811" i="32"/>
  <c r="E811" i="32"/>
  <c r="K811" i="32"/>
  <c r="L811" i="32"/>
  <c r="C812" i="32"/>
  <c r="G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H818" i="32"/>
  <c r="I818" i="32"/>
  <c r="D818" i="32"/>
  <c r="J818" i="32"/>
  <c r="E818" i="32"/>
  <c r="K818" i="32"/>
  <c r="L818" i="32"/>
  <c r="C819" i="32"/>
  <c r="G819" i="32"/>
  <c r="H819" i="32"/>
  <c r="I819" i="32"/>
  <c r="D819" i="32"/>
  <c r="J819" i="32"/>
  <c r="E819" i="32"/>
  <c r="K819" i="32"/>
  <c r="L819" i="32"/>
  <c r="C820" i="32"/>
  <c r="G820" i="32"/>
  <c r="H820" i="32"/>
  <c r="I820" i="32"/>
  <c r="D820" i="32"/>
  <c r="J820" i="32"/>
  <c r="E820" i="32"/>
  <c r="K820" i="32"/>
  <c r="L820" i="32"/>
  <c r="C821" i="32"/>
  <c r="G821" i="32"/>
  <c r="H821" i="32"/>
  <c r="I821" i="32"/>
  <c r="D821" i="32"/>
  <c r="J821" i="32"/>
  <c r="E821" i="32"/>
  <c r="K821" i="32"/>
  <c r="L821" i="32"/>
  <c r="C822" i="32"/>
  <c r="G822" i="32"/>
  <c r="H822" i="32"/>
  <c r="I822" i="32"/>
  <c r="D822" i="32"/>
  <c r="J822" i="32"/>
  <c r="E822" i="32"/>
  <c r="K822" i="32"/>
  <c r="L822" i="32"/>
  <c r="C823" i="32"/>
  <c r="G823" i="32"/>
  <c r="F823" i="32"/>
  <c r="H823" i="32"/>
  <c r="I823" i="32"/>
  <c r="D823" i="32"/>
  <c r="J823" i="32"/>
  <c r="E823" i="32"/>
  <c r="K823" i="32"/>
  <c r="L823" i="32"/>
  <c r="C824" i="32"/>
  <c r="G824" i="32"/>
  <c r="H824" i="32"/>
  <c r="I824" i="32"/>
  <c r="D824" i="32"/>
  <c r="J824" i="32"/>
  <c r="E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F828" i="32"/>
  <c r="H828" i="32"/>
  <c r="I828" i="32"/>
  <c r="D828" i="32"/>
  <c r="J828" i="32"/>
  <c r="E828" i="32"/>
  <c r="K828" i="32"/>
  <c r="L828" i="32"/>
  <c r="C829" i="32"/>
  <c r="G829" i="32"/>
  <c r="F829" i="32"/>
  <c r="H829" i="32"/>
  <c r="I829" i="32"/>
  <c r="D829" i="32"/>
  <c r="J829" i="32"/>
  <c r="E829" i="32"/>
  <c r="K829" i="32"/>
  <c r="L829" i="32"/>
  <c r="C830" i="32"/>
  <c r="G830" i="32"/>
  <c r="H830" i="32"/>
  <c r="F830" i="32"/>
  <c r="I830" i="32"/>
  <c r="D830" i="32"/>
  <c r="J830" i="32"/>
  <c r="E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G838" i="32"/>
  <c r="H838" i="32"/>
  <c r="I838" i="32"/>
  <c r="D838" i="32"/>
  <c r="J838" i="32"/>
  <c r="E838" i="32"/>
  <c r="K838" i="32"/>
  <c r="L838" i="32"/>
  <c r="C839" i="32"/>
  <c r="G839" i="32"/>
  <c r="H839" i="32"/>
  <c r="I839" i="32"/>
  <c r="D839" i="32"/>
  <c r="J839" i="32"/>
  <c r="E839" i="32"/>
  <c r="K839" i="32"/>
  <c r="L839" i="32"/>
  <c r="C840" i="32"/>
  <c r="G840" i="32"/>
  <c r="H840" i="32"/>
  <c r="I840" i="32"/>
  <c r="D840" i="32"/>
  <c r="J840" i="32"/>
  <c r="E840" i="32"/>
  <c r="K840" i="32"/>
  <c r="L840" i="32"/>
  <c r="C841" i="32"/>
  <c r="G841" i="32"/>
  <c r="H841" i="32"/>
  <c r="I841" i="32"/>
  <c r="D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G845" i="32"/>
  <c r="H845" i="32"/>
  <c r="I845" i="32"/>
  <c r="D845" i="32"/>
  <c r="J845" i="32"/>
  <c r="E845" i="32"/>
  <c r="K845" i="32"/>
  <c r="L845" i="32"/>
  <c r="C846" i="32"/>
  <c r="G846" i="32"/>
  <c r="H846" i="32"/>
  <c r="I846" i="32"/>
  <c r="D846" i="32"/>
  <c r="J846" i="32"/>
  <c r="E846" i="32"/>
  <c r="K846" i="32"/>
  <c r="L846" i="32"/>
  <c r="C847" i="32"/>
  <c r="G847" i="32"/>
  <c r="H847" i="32"/>
  <c r="I847" i="32"/>
  <c r="D847" i="32"/>
  <c r="J847" i="32"/>
  <c r="E847" i="32"/>
  <c r="K847" i="32"/>
  <c r="L847" i="32"/>
  <c r="C848" i="32"/>
  <c r="G848" i="32"/>
  <c r="H848" i="32"/>
  <c r="I848" i="32"/>
  <c r="D848" i="32"/>
  <c r="J848" i="32"/>
  <c r="E848" i="32"/>
  <c r="K848" i="32"/>
  <c r="L848" i="32"/>
  <c r="C849" i="32"/>
  <c r="G849" i="32"/>
  <c r="H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F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G859" i="32"/>
  <c r="H859" i="32"/>
  <c r="I859" i="32"/>
  <c r="D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F866" i="32"/>
  <c r="H866" i="32"/>
  <c r="I866" i="32"/>
  <c r="D866" i="32"/>
  <c r="J866" i="32"/>
  <c r="E866" i="32"/>
  <c r="K866" i="32"/>
  <c r="L866" i="32"/>
  <c r="C867" i="32"/>
  <c r="G867" i="32"/>
  <c r="H867" i="32"/>
  <c r="I867" i="32"/>
  <c r="D867" i="32"/>
  <c r="J867" i="32"/>
  <c r="E867" i="32"/>
  <c r="K867" i="32"/>
  <c r="L867" i="32"/>
  <c r="C868" i="32"/>
  <c r="G868" i="32"/>
  <c r="H868" i="32"/>
  <c r="I868" i="32"/>
  <c r="D868" i="32"/>
  <c r="J868" i="32"/>
  <c r="E868" i="32"/>
  <c r="K868" i="32"/>
  <c r="L868" i="32"/>
  <c r="C869" i="32"/>
  <c r="G869" i="32"/>
  <c r="H869" i="32"/>
  <c r="I869" i="32"/>
  <c r="D869" i="32"/>
  <c r="J869" i="32"/>
  <c r="E869" i="32"/>
  <c r="K869" i="32"/>
  <c r="L869" i="32"/>
  <c r="C870" i="32"/>
  <c r="G870" i="32"/>
  <c r="H870" i="32"/>
  <c r="I870" i="32"/>
  <c r="D870" i="32"/>
  <c r="J870" i="32"/>
  <c r="E870" i="32"/>
  <c r="K870" i="32"/>
  <c r="L870" i="32"/>
  <c r="C871" i="32"/>
  <c r="G871" i="32"/>
  <c r="F871" i="32"/>
  <c r="H871" i="32"/>
  <c r="I871" i="32"/>
  <c r="D871" i="32"/>
  <c r="J871" i="32"/>
  <c r="E871" i="32"/>
  <c r="K871" i="32"/>
  <c r="L871" i="32"/>
  <c r="C872" i="32"/>
  <c r="G872" i="32"/>
  <c r="H872" i="32"/>
  <c r="I872" i="32"/>
  <c r="D872" i="32"/>
  <c r="J872" i="32"/>
  <c r="E872" i="32"/>
  <c r="K872" i="32"/>
  <c r="L872" i="32"/>
  <c r="C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G876" i="32"/>
  <c r="H876" i="32"/>
  <c r="I876" i="32"/>
  <c r="D876" i="32"/>
  <c r="J876" i="32"/>
  <c r="E876" i="32"/>
  <c r="K876" i="32"/>
  <c r="L876" i="32"/>
  <c r="C877" i="32"/>
  <c r="G877" i="32"/>
  <c r="F877" i="32"/>
  <c r="H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G881" i="32"/>
  <c r="F881" i="32"/>
  <c r="H881" i="32"/>
  <c r="I881" i="32"/>
  <c r="D881" i="32"/>
  <c r="J881" i="32"/>
  <c r="E881" i="32"/>
  <c r="K881" i="32"/>
  <c r="L881" i="32"/>
  <c r="C882" i="32"/>
  <c r="G882" i="32"/>
  <c r="H882" i="32"/>
  <c r="F882" i="32"/>
  <c r="I882" i="32"/>
  <c r="D882" i="32"/>
  <c r="J882" i="32"/>
  <c r="E882" i="32"/>
  <c r="K882" i="32"/>
  <c r="L882" i="32"/>
  <c r="C883" i="32"/>
  <c r="G883" i="32"/>
  <c r="F883" i="32"/>
  <c r="H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H888" i="32"/>
  <c r="F888" i="32"/>
  <c r="I888" i="32"/>
  <c r="D888" i="32"/>
  <c r="J888" i="32"/>
  <c r="E888" i="32"/>
  <c r="K888" i="32"/>
  <c r="L888" i="32"/>
  <c r="C889" i="32"/>
  <c r="G889" i="32"/>
  <c r="H889" i="32"/>
  <c r="I889" i="32"/>
  <c r="D889" i="32"/>
  <c r="J889" i="32"/>
  <c r="E889" i="32"/>
  <c r="K889" i="32"/>
  <c r="L889" i="32"/>
  <c r="C890" i="32"/>
  <c r="G890" i="32"/>
  <c r="H890" i="32"/>
  <c r="I890" i="32"/>
  <c r="D890" i="32"/>
  <c r="J890" i="32"/>
  <c r="E890" i="32"/>
  <c r="K890" i="32"/>
  <c r="L890" i="32"/>
  <c r="C891" i="32"/>
  <c r="G891" i="32"/>
  <c r="H891" i="32"/>
  <c r="I891" i="32"/>
  <c r="D891" i="32"/>
  <c r="J891" i="32"/>
  <c r="E891" i="32"/>
  <c r="K891" i="32"/>
  <c r="L891" i="32"/>
  <c r="C892" i="32"/>
  <c r="G892" i="32"/>
  <c r="H892" i="32"/>
  <c r="I892" i="32"/>
  <c r="D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G896" i="32"/>
  <c r="H896" i="32"/>
  <c r="I896" i="32"/>
  <c r="D896" i="32"/>
  <c r="J896" i="32"/>
  <c r="E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I902" i="32"/>
  <c r="D902" i="32"/>
  <c r="J902" i="32"/>
  <c r="E902" i="32"/>
  <c r="K902" i="32"/>
  <c r="L902" i="32"/>
  <c r="C903" i="32"/>
  <c r="G903" i="32"/>
  <c r="H903" i="32"/>
  <c r="I903" i="32"/>
  <c r="D903" i="32"/>
  <c r="J903" i="32"/>
  <c r="E903" i="32"/>
  <c r="K903" i="32"/>
  <c r="L903" i="32"/>
  <c r="C904" i="32"/>
  <c r="G904" i="32"/>
  <c r="H904" i="32"/>
  <c r="I904" i="32"/>
  <c r="D904" i="32"/>
  <c r="J904" i="32"/>
  <c r="E904" i="32"/>
  <c r="K904" i="32"/>
  <c r="L904" i="32"/>
  <c r="C905" i="32"/>
  <c r="G905" i="32"/>
  <c r="H905" i="32"/>
  <c r="I905" i="32"/>
  <c r="D905" i="32"/>
  <c r="J905" i="32"/>
  <c r="E905" i="32"/>
  <c r="K905" i="32"/>
  <c r="L905" i="32"/>
  <c r="C906" i="32"/>
  <c r="D906" i="32"/>
  <c r="G906" i="32"/>
  <c r="H906" i="32"/>
  <c r="I906" i="32"/>
  <c r="J906" i="32"/>
  <c r="E906" i="32"/>
  <c r="K906" i="32"/>
  <c r="L906" i="32"/>
  <c r="C907" i="32"/>
  <c r="G907" i="32"/>
  <c r="H907" i="32"/>
  <c r="I907" i="32"/>
  <c r="D907" i="32"/>
  <c r="J907" i="32"/>
  <c r="E907" i="32"/>
  <c r="K907" i="32"/>
  <c r="L907" i="32"/>
  <c r="C908" i="32"/>
  <c r="G908" i="32"/>
  <c r="F908" i="32"/>
  <c r="H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G916" i="32"/>
  <c r="H916" i="32"/>
  <c r="I916" i="32"/>
  <c r="D916" i="32"/>
  <c r="J916" i="32"/>
  <c r="E916" i="32"/>
  <c r="K916" i="32"/>
  <c r="L916" i="32"/>
  <c r="C917" i="32"/>
  <c r="G917" i="32"/>
  <c r="F917" i="32"/>
  <c r="H917" i="32"/>
  <c r="I917" i="32"/>
  <c r="D917" i="32"/>
  <c r="J917" i="32"/>
  <c r="E917" i="32"/>
  <c r="K917" i="32"/>
  <c r="L917" i="32"/>
  <c r="C918" i="32"/>
  <c r="G918" i="32"/>
  <c r="H918" i="32"/>
  <c r="I918" i="32"/>
  <c r="D918" i="32"/>
  <c r="J918" i="32"/>
  <c r="E918" i="32"/>
  <c r="K918" i="32"/>
  <c r="L918" i="32"/>
  <c r="C919" i="32"/>
  <c r="G919" i="32"/>
  <c r="H919" i="32"/>
  <c r="I919" i="32"/>
  <c r="D919" i="32"/>
  <c r="J919" i="32"/>
  <c r="E919" i="32"/>
  <c r="K919" i="32"/>
  <c r="L919" i="32"/>
  <c r="C920" i="32"/>
  <c r="G920" i="32"/>
  <c r="H920" i="32"/>
  <c r="I920" i="32"/>
  <c r="D920" i="32"/>
  <c r="J920" i="32"/>
  <c r="E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G924" i="32"/>
  <c r="H924" i="32"/>
  <c r="I924" i="32"/>
  <c r="D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G929" i="32"/>
  <c r="H929" i="32"/>
  <c r="I929" i="32"/>
  <c r="D929" i="32"/>
  <c r="J929" i="32"/>
  <c r="E929" i="32"/>
  <c r="K929" i="32"/>
  <c r="L929" i="32"/>
  <c r="C930" i="32"/>
  <c r="G930" i="32"/>
  <c r="H930" i="32"/>
  <c r="I930" i="32"/>
  <c r="D930" i="32"/>
  <c r="J930" i="32"/>
  <c r="E930" i="32"/>
  <c r="K930" i="32"/>
  <c r="L930" i="32"/>
  <c r="C931" i="32"/>
  <c r="G931" i="32"/>
  <c r="H931" i="32"/>
  <c r="I931" i="32"/>
  <c r="D931" i="32"/>
  <c r="J931" i="32"/>
  <c r="E931" i="32"/>
  <c r="K931" i="32"/>
  <c r="L931" i="32"/>
  <c r="C932" i="32"/>
  <c r="G932" i="32"/>
  <c r="H932" i="32"/>
  <c r="I932" i="32"/>
  <c r="D932" i="32"/>
  <c r="J932" i="32"/>
  <c r="E932" i="32"/>
  <c r="K932" i="32"/>
  <c r="L932" i="32"/>
  <c r="C933" i="32"/>
  <c r="G933" i="32"/>
  <c r="H933" i="32"/>
  <c r="I933" i="32"/>
  <c r="D933" i="32"/>
  <c r="J933" i="32"/>
  <c r="E933" i="32"/>
  <c r="K933" i="32"/>
  <c r="L933" i="32"/>
  <c r="C934" i="32"/>
  <c r="G934" i="32"/>
  <c r="H934" i="32"/>
  <c r="I934" i="32"/>
  <c r="D934" i="32"/>
  <c r="J934" i="32"/>
  <c r="E934" i="32"/>
  <c r="K934" i="32"/>
  <c r="L934" i="32"/>
  <c r="C935" i="32"/>
  <c r="G935" i="32"/>
  <c r="H935" i="32"/>
  <c r="I935" i="32"/>
  <c r="D935" i="32"/>
  <c r="J935" i="32"/>
  <c r="E935" i="32"/>
  <c r="K935" i="32"/>
  <c r="L935" i="32"/>
  <c r="C936" i="32"/>
  <c r="G936" i="32"/>
  <c r="H936" i="32"/>
  <c r="I936" i="32"/>
  <c r="D936" i="32"/>
  <c r="J936" i="32"/>
  <c r="E936" i="32"/>
  <c r="K936" i="32"/>
  <c r="L936" i="32"/>
  <c r="C937" i="32"/>
  <c r="G937" i="32"/>
  <c r="H937" i="32"/>
  <c r="I937" i="32"/>
  <c r="D937" i="32"/>
  <c r="J937" i="32"/>
  <c r="E937" i="32"/>
  <c r="K937" i="32"/>
  <c r="L937" i="32"/>
  <c r="C938" i="32"/>
  <c r="G938" i="32"/>
  <c r="F938" i="32"/>
  <c r="H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F943" i="32"/>
  <c r="H943" i="32"/>
  <c r="I943" i="32"/>
  <c r="D943" i="32"/>
  <c r="J943" i="32"/>
  <c r="E943" i="32"/>
  <c r="K943" i="32"/>
  <c r="L943" i="32"/>
  <c r="C944" i="32"/>
  <c r="G944" i="32"/>
  <c r="H944" i="32"/>
  <c r="I944" i="32"/>
  <c r="D944" i="32"/>
  <c r="J944" i="32"/>
  <c r="E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F950" i="32"/>
  <c r="H950" i="32"/>
  <c r="I950" i="32"/>
  <c r="D950" i="32"/>
  <c r="J950" i="32"/>
  <c r="E950" i="32"/>
  <c r="K950" i="32"/>
  <c r="L950" i="32"/>
  <c r="C951" i="32"/>
  <c r="G951" i="32"/>
  <c r="F951" i="32"/>
  <c r="H951" i="32"/>
  <c r="I951" i="32"/>
  <c r="D951" i="32"/>
  <c r="J951" i="32"/>
  <c r="E951" i="32"/>
  <c r="K951" i="32"/>
  <c r="L951" i="32"/>
  <c r="C952" i="32"/>
  <c r="G952" i="32"/>
  <c r="H952" i="32"/>
  <c r="F952" i="32"/>
  <c r="I952" i="32"/>
  <c r="D952" i="32"/>
  <c r="J952" i="32"/>
  <c r="E952" i="32"/>
  <c r="K952" i="32"/>
  <c r="L952" i="32"/>
  <c r="C953" i="32"/>
  <c r="G953" i="32"/>
  <c r="H953" i="32"/>
  <c r="F953" i="32"/>
  <c r="I953" i="32"/>
  <c r="D953" i="32"/>
  <c r="J953" i="32"/>
  <c r="E953" i="32"/>
  <c r="K953" i="32"/>
  <c r="L953" i="32"/>
  <c r="C954" i="32"/>
  <c r="G954" i="32"/>
  <c r="H954" i="32"/>
  <c r="I954" i="32"/>
  <c r="D954" i="32"/>
  <c r="J954" i="32"/>
  <c r="E954" i="32"/>
  <c r="K954" i="32"/>
  <c r="L954" i="32"/>
  <c r="C955" i="32"/>
  <c r="G955" i="32"/>
  <c r="H955" i="32"/>
  <c r="I955" i="32"/>
  <c r="D955" i="32"/>
  <c r="J955" i="32"/>
  <c r="E955" i="32"/>
  <c r="K955" i="32"/>
  <c r="L955" i="32"/>
  <c r="C956" i="32"/>
  <c r="G956" i="32"/>
  <c r="H956" i="32"/>
  <c r="I956" i="32"/>
  <c r="D956" i="32"/>
  <c r="J956" i="32"/>
  <c r="E956" i="32"/>
  <c r="K956" i="32"/>
  <c r="L956" i="32"/>
  <c r="C957" i="32"/>
  <c r="G957" i="32"/>
  <c r="H957" i="32"/>
  <c r="I957" i="32"/>
  <c r="D957" i="32"/>
  <c r="J957" i="32"/>
  <c r="E957" i="32"/>
  <c r="K957" i="32"/>
  <c r="L957" i="32"/>
  <c r="C958" i="32"/>
  <c r="G958" i="32"/>
  <c r="H958" i="32"/>
  <c r="I958" i="32"/>
  <c r="D958" i="32"/>
  <c r="J958" i="32"/>
  <c r="E958" i="32"/>
  <c r="K958" i="32"/>
  <c r="L958" i="32"/>
  <c r="C959" i="32"/>
  <c r="G959" i="32"/>
  <c r="F959" i="32"/>
  <c r="H959" i="32"/>
  <c r="I959" i="32"/>
  <c r="D959" i="32"/>
  <c r="J959" i="32"/>
  <c r="E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F962" i="32"/>
  <c r="H962" i="32"/>
  <c r="I962" i="32"/>
  <c r="J962" i="32"/>
  <c r="E962" i="32"/>
  <c r="K962" i="32"/>
  <c r="L962" i="32"/>
  <c r="C963" i="32"/>
  <c r="G963" i="32"/>
  <c r="H963" i="32"/>
  <c r="I963" i="32"/>
  <c r="D963" i="32"/>
  <c r="J963" i="32"/>
  <c r="E963" i="32"/>
  <c r="K963" i="32"/>
  <c r="L963" i="32"/>
  <c r="C964" i="32"/>
  <c r="G964" i="32"/>
  <c r="H964" i="32"/>
  <c r="I964" i="32"/>
  <c r="D964" i="32"/>
  <c r="J964" i="32"/>
  <c r="E964" i="32"/>
  <c r="K964" i="32"/>
  <c r="L964" i="32"/>
  <c r="C965" i="32"/>
  <c r="G965" i="32"/>
  <c r="H965" i="32"/>
  <c r="F965" i="32"/>
  <c r="I965" i="32"/>
  <c r="D965" i="32"/>
  <c r="J965" i="32"/>
  <c r="E965" i="32"/>
  <c r="K965" i="32"/>
  <c r="L965" i="32"/>
  <c r="C966" i="32"/>
  <c r="G966" i="32"/>
  <c r="F966" i="32"/>
  <c r="H966" i="32"/>
  <c r="I966" i="32"/>
  <c r="D966" i="32"/>
  <c r="J966" i="32"/>
  <c r="E966" i="32"/>
  <c r="K966" i="32"/>
  <c r="L966" i="32"/>
  <c r="C967" i="32"/>
  <c r="G967" i="32"/>
  <c r="H967" i="32"/>
  <c r="I967" i="32"/>
  <c r="D967" i="32"/>
  <c r="J967" i="32"/>
  <c r="E967" i="32"/>
  <c r="K967" i="32"/>
  <c r="L967" i="32"/>
  <c r="C968" i="32"/>
  <c r="G968" i="32"/>
  <c r="H968" i="32"/>
  <c r="I968" i="32"/>
  <c r="D968" i="32"/>
  <c r="J968" i="32"/>
  <c r="E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G977" i="32"/>
  <c r="H977" i="32"/>
  <c r="I977" i="32"/>
  <c r="D977" i="32"/>
  <c r="J977" i="32"/>
  <c r="E977" i="32"/>
  <c r="K977" i="32"/>
  <c r="L977" i="32"/>
  <c r="C978" i="32"/>
  <c r="G978" i="32"/>
  <c r="H978" i="32"/>
  <c r="I978" i="32"/>
  <c r="D978" i="32"/>
  <c r="J978" i="32"/>
  <c r="E978" i="32"/>
  <c r="K978" i="32"/>
  <c r="L978" i="32"/>
  <c r="C979" i="32"/>
  <c r="G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G982" i="32"/>
  <c r="H982" i="32"/>
  <c r="I982" i="32"/>
  <c r="D982" i="32"/>
  <c r="J982" i="32"/>
  <c r="E982" i="32"/>
  <c r="K982" i="32"/>
  <c r="L982" i="32"/>
  <c r="C983" i="32"/>
  <c r="G983" i="32"/>
  <c r="H983" i="32"/>
  <c r="I983" i="32"/>
  <c r="D983" i="32"/>
  <c r="J983" i="32"/>
  <c r="E983" i="32"/>
  <c r="K983" i="32"/>
  <c r="L983" i="32"/>
  <c r="C984" i="32"/>
  <c r="G984" i="32"/>
  <c r="H984" i="32"/>
  <c r="I984" i="32"/>
  <c r="D984" i="32"/>
  <c r="J984" i="32"/>
  <c r="E984" i="32"/>
  <c r="K984" i="32"/>
  <c r="L984" i="32"/>
  <c r="C985" i="32"/>
  <c r="G985" i="32"/>
  <c r="H985" i="32"/>
  <c r="I985" i="32"/>
  <c r="D985" i="32"/>
  <c r="J985" i="32"/>
  <c r="E985" i="32"/>
  <c r="K985" i="32"/>
  <c r="L985" i="32"/>
  <c r="C986" i="32"/>
  <c r="G986" i="32"/>
  <c r="H986" i="32"/>
  <c r="F986" i="32"/>
  <c r="I986" i="32"/>
  <c r="D986" i="32"/>
  <c r="J986" i="32"/>
  <c r="E986" i="32"/>
  <c r="K986" i="32"/>
  <c r="L986" i="32"/>
  <c r="C987" i="32"/>
  <c r="G987" i="32"/>
  <c r="F987" i="32"/>
  <c r="H987" i="32"/>
  <c r="I987" i="32"/>
  <c r="D987" i="32"/>
  <c r="J987" i="32"/>
  <c r="E987" i="32"/>
  <c r="K987" i="32"/>
  <c r="L987" i="32"/>
  <c r="C988" i="32"/>
  <c r="G988" i="32"/>
  <c r="H988" i="32"/>
  <c r="F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F991" i="32"/>
  <c r="H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G994" i="32"/>
  <c r="H994" i="32"/>
  <c r="I994" i="32"/>
  <c r="D994" i="32"/>
  <c r="J994" i="32"/>
  <c r="E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G999" i="32"/>
  <c r="H999" i="32"/>
  <c r="I999" i="32"/>
  <c r="D999" i="32"/>
  <c r="J999" i="32"/>
  <c r="E999" i="32"/>
  <c r="K999" i="32"/>
  <c r="L999" i="32"/>
  <c r="C1000" i="32"/>
  <c r="G1000" i="32"/>
  <c r="H1000" i="32"/>
  <c r="F1000" i="32"/>
  <c r="I1000" i="32"/>
  <c r="D1000" i="32"/>
  <c r="J1000" i="32"/>
  <c r="E1000" i="32"/>
  <c r="K1000" i="32"/>
  <c r="L1000" i="32"/>
  <c r="C1001" i="32"/>
  <c r="E1001" i="32"/>
  <c r="G1001" i="32"/>
  <c r="H1001" i="32"/>
  <c r="F1001" i="32"/>
  <c r="I1001" i="32"/>
  <c r="D1001" i="32"/>
  <c r="J1001" i="32"/>
  <c r="K1001" i="32"/>
  <c r="L1001" i="32"/>
  <c r="C1002" i="32"/>
  <c r="G1002" i="32"/>
  <c r="H1002" i="32"/>
  <c r="F1002" i="32"/>
  <c r="I1002" i="32"/>
  <c r="D1002" i="32"/>
  <c r="J1002" i="32"/>
  <c r="E1002" i="32"/>
  <c r="K1002" i="32"/>
  <c r="L1002" i="32"/>
  <c r="C1003" i="32"/>
  <c r="G1003" i="32"/>
  <c r="H1003" i="32"/>
  <c r="F1003" i="32"/>
  <c r="I1003" i="32"/>
  <c r="D1003" i="32"/>
  <c r="J1003" i="32"/>
  <c r="E1003" i="32"/>
  <c r="K1003" i="32"/>
  <c r="L1003" i="32"/>
  <c r="C1004" i="32"/>
  <c r="G1004" i="32"/>
  <c r="H1004" i="32"/>
  <c r="I1004" i="32"/>
  <c r="D1004" i="32"/>
  <c r="J1004" i="32"/>
  <c r="E1004" i="32"/>
  <c r="K1004" i="32"/>
  <c r="L1004" i="32"/>
  <c r="C1005" i="32"/>
  <c r="G1005" i="32"/>
  <c r="H1005" i="32"/>
  <c r="I1005" i="32"/>
  <c r="D1005" i="32"/>
  <c r="J1005" i="32"/>
  <c r="E1005" i="32"/>
  <c r="K1005" i="32"/>
  <c r="L1005" i="32"/>
  <c r="C1006" i="32"/>
  <c r="G1006" i="32"/>
  <c r="H1006" i="32"/>
  <c r="F1006" i="32"/>
  <c r="I1006" i="32"/>
  <c r="D1006" i="32"/>
  <c r="J1006" i="32"/>
  <c r="E1006" i="32"/>
  <c r="K1006" i="32"/>
  <c r="L1006" i="32"/>
  <c r="C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G1014" i="32"/>
  <c r="H1014" i="32"/>
  <c r="I1014" i="32"/>
  <c r="D1014" i="32"/>
  <c r="J1014" i="32"/>
  <c r="E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G1018" i="32"/>
  <c r="F1018" i="32"/>
  <c r="H1018" i="32"/>
  <c r="I1018" i="32"/>
  <c r="D1018" i="32"/>
  <c r="J1018" i="32"/>
  <c r="E1018" i="32"/>
  <c r="K1018" i="32"/>
  <c r="L1018" i="32"/>
  <c r="C1019" i="32"/>
  <c r="G1019" i="32"/>
  <c r="H1019" i="32"/>
  <c r="I1019" i="32"/>
  <c r="D1019" i="32"/>
  <c r="J1019" i="32"/>
  <c r="E1019" i="32"/>
  <c r="K1019" i="32"/>
  <c r="L1019" i="32"/>
  <c r="C1020" i="32"/>
  <c r="G1020" i="32"/>
  <c r="F1020" i="32"/>
  <c r="H1020" i="32"/>
  <c r="I1020" i="32"/>
  <c r="D1020" i="32"/>
  <c r="J1020" i="32"/>
  <c r="E1020" i="32"/>
  <c r="K1020" i="32"/>
  <c r="L1020" i="32"/>
  <c r="C1021" i="32"/>
  <c r="G1021" i="32"/>
  <c r="H1021" i="32"/>
  <c r="F1021" i="32"/>
  <c r="I1021" i="32"/>
  <c r="D1021" i="32"/>
  <c r="J1021" i="32"/>
  <c r="E1021" i="32"/>
  <c r="K1021" i="32"/>
  <c r="L1021" i="32"/>
  <c r="C1022" i="32"/>
  <c r="G1022" i="32"/>
  <c r="H1022" i="32"/>
  <c r="I1022" i="32"/>
  <c r="D1022" i="32"/>
  <c r="J1022" i="32"/>
  <c r="E1022" i="32"/>
  <c r="K1022" i="32"/>
  <c r="L1022" i="32"/>
  <c r="C1023" i="32"/>
  <c r="G1023" i="32"/>
  <c r="F1023" i="32"/>
  <c r="H1023" i="32"/>
  <c r="I1023" i="32"/>
  <c r="D1023" i="32"/>
  <c r="J1023" i="32"/>
  <c r="E1023" i="32"/>
  <c r="K1023" i="32"/>
  <c r="L1023" i="32"/>
  <c r="C1024" i="32"/>
  <c r="G1024" i="32"/>
  <c r="F1024" i="32"/>
  <c r="H1024" i="32"/>
  <c r="I1024" i="32"/>
  <c r="D1024" i="32"/>
  <c r="J1024" i="32"/>
  <c r="E1024" i="32"/>
  <c r="K1024" i="32"/>
  <c r="L1024" i="32"/>
  <c r="C1025" i="32"/>
  <c r="G1025" i="32"/>
  <c r="H1025" i="32"/>
  <c r="F1025" i="32"/>
  <c r="I1025" i="32"/>
  <c r="D1025" i="32"/>
  <c r="J1025" i="32"/>
  <c r="E1025" i="32"/>
  <c r="K1025" i="32"/>
  <c r="L1025" i="32"/>
  <c r="C1026" i="32"/>
  <c r="G1026" i="32"/>
  <c r="H1026" i="32"/>
  <c r="I1026" i="32"/>
  <c r="D1026" i="32"/>
  <c r="J1026" i="32"/>
  <c r="E1026" i="32"/>
  <c r="K1026" i="32"/>
  <c r="L1026" i="32"/>
  <c r="C1027" i="32"/>
  <c r="G1027" i="32"/>
  <c r="H1027" i="32"/>
  <c r="I1027" i="32"/>
  <c r="D1027" i="32"/>
  <c r="J1027" i="32"/>
  <c r="E1027" i="32"/>
  <c r="K1027" i="32"/>
  <c r="L1027" i="32"/>
  <c r="C1028" i="32"/>
  <c r="G1028" i="32"/>
  <c r="H1028" i="32"/>
  <c r="I1028" i="32"/>
  <c r="D1028" i="32"/>
  <c r="J1028" i="32"/>
  <c r="E1028" i="32"/>
  <c r="K1028" i="32"/>
  <c r="L1028" i="32"/>
  <c r="C1029" i="32"/>
  <c r="G1029" i="32"/>
  <c r="H1029" i="32"/>
  <c r="I1029" i="32"/>
  <c r="D1029" i="32"/>
  <c r="J1029" i="32"/>
  <c r="E1029" i="32"/>
  <c r="K1029" i="32"/>
  <c r="L1029" i="32"/>
  <c r="C1030" i="32"/>
  <c r="G1030" i="32"/>
  <c r="H1030" i="32"/>
  <c r="I1030" i="32"/>
  <c r="D1030" i="32"/>
  <c r="J1030" i="32"/>
  <c r="E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I1033" i="32"/>
  <c r="D1033" i="32"/>
  <c r="J1033" i="32"/>
  <c r="E1033" i="32"/>
  <c r="K1033" i="32"/>
  <c r="L1033" i="32"/>
  <c r="C1034" i="32"/>
  <c r="G1034" i="32"/>
  <c r="H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G1039" i="32"/>
  <c r="H1039" i="32"/>
  <c r="I1039" i="32"/>
  <c r="D1039" i="32"/>
  <c r="J1039" i="32"/>
  <c r="E1039" i="32"/>
  <c r="K1039" i="32"/>
  <c r="L1039" i="32"/>
  <c r="C1040" i="32"/>
  <c r="G1040" i="32"/>
  <c r="H1040" i="32"/>
  <c r="I1040" i="32"/>
  <c r="D1040" i="32"/>
  <c r="J1040" i="32"/>
  <c r="E1040" i="32"/>
  <c r="K1040" i="32"/>
  <c r="L1040" i="32"/>
  <c r="C1041" i="32"/>
  <c r="G1041" i="32"/>
  <c r="F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F1046" i="32"/>
  <c r="H1046" i="32"/>
  <c r="I1046" i="32"/>
  <c r="D1046" i="32"/>
  <c r="J1046" i="32"/>
  <c r="E1046" i="32"/>
  <c r="K1046" i="32"/>
  <c r="L1046" i="32"/>
  <c r="C1047" i="32"/>
  <c r="G1047" i="32"/>
  <c r="H1047" i="32"/>
  <c r="I1047" i="32"/>
  <c r="D1047" i="32"/>
  <c r="J1047" i="32"/>
  <c r="E1047" i="32"/>
  <c r="K1047" i="32"/>
  <c r="L1047" i="32"/>
  <c r="C1048" i="32"/>
  <c r="G1048" i="32"/>
  <c r="F1048" i="32"/>
  <c r="H1048" i="32"/>
  <c r="I1048" i="32"/>
  <c r="D1048" i="32"/>
  <c r="J1048" i="32"/>
  <c r="E1048" i="32"/>
  <c r="K1048" i="32"/>
  <c r="L1048" i="32"/>
  <c r="C1049" i="32"/>
  <c r="G1049" i="32"/>
  <c r="F1049" i="32"/>
  <c r="H1049" i="32"/>
  <c r="I1049" i="32"/>
  <c r="D1049" i="32"/>
  <c r="J1049" i="32"/>
  <c r="E1049" i="32"/>
  <c r="K1049" i="32"/>
  <c r="L1049" i="32"/>
  <c r="C1050" i="32"/>
  <c r="G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G1053" i="32"/>
  <c r="H1053" i="32"/>
  <c r="I1053" i="32"/>
  <c r="D1053" i="32"/>
  <c r="J1053" i="32"/>
  <c r="E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F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G1060" i="32"/>
  <c r="H1060" i="32"/>
  <c r="F1060" i="32"/>
  <c r="I1060" i="32"/>
  <c r="D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G1064" i="32"/>
  <c r="H1064" i="32"/>
  <c r="I1064" i="32"/>
  <c r="D1064" i="32"/>
  <c r="J1064" i="32"/>
  <c r="E1064" i="32"/>
  <c r="K1064" i="32"/>
  <c r="L1064" i="32"/>
  <c r="C1065" i="32"/>
  <c r="G1065" i="32"/>
  <c r="H1065" i="32"/>
  <c r="I1065" i="32"/>
  <c r="D1065" i="32"/>
  <c r="J1065" i="32"/>
  <c r="E1065" i="32"/>
  <c r="K1065" i="32"/>
  <c r="L1065" i="32"/>
  <c r="C1066" i="32"/>
  <c r="G1066" i="32"/>
  <c r="F1066" i="32"/>
  <c r="H1066" i="32"/>
  <c r="I1066" i="32"/>
  <c r="D1066" i="32"/>
  <c r="J1066" i="32"/>
  <c r="E1066" i="32"/>
  <c r="K1066" i="32"/>
  <c r="L1066" i="32"/>
  <c r="C1067" i="32"/>
  <c r="G1067" i="32"/>
  <c r="F1067" i="32"/>
  <c r="H1067" i="32"/>
  <c r="I1067" i="32"/>
  <c r="D1067" i="32"/>
  <c r="J1067" i="32"/>
  <c r="E1067" i="32"/>
  <c r="K1067" i="32"/>
  <c r="L1067" i="32"/>
  <c r="C1068" i="32"/>
  <c r="D1068" i="32"/>
  <c r="G1068" i="32"/>
  <c r="H1068" i="32"/>
  <c r="F1068" i="32"/>
  <c r="I1068" i="32"/>
  <c r="J1068" i="32"/>
  <c r="E1068" i="32"/>
  <c r="K1068" i="32"/>
  <c r="L1068" i="32"/>
  <c r="C1069" i="32"/>
  <c r="G1069" i="32"/>
  <c r="F1069" i="32"/>
  <c r="H1069" i="32"/>
  <c r="I1069" i="32"/>
  <c r="D1069" i="32"/>
  <c r="J1069" i="32"/>
  <c r="E1069" i="32"/>
  <c r="K1069" i="32"/>
  <c r="L1069" i="32"/>
  <c r="C1070" i="32"/>
  <c r="G1070" i="32"/>
  <c r="F1070" i="32"/>
  <c r="H1070" i="32"/>
  <c r="I1070" i="32"/>
  <c r="D1070" i="32"/>
  <c r="J1070" i="32"/>
  <c r="E1070" i="32"/>
  <c r="K1070" i="32"/>
  <c r="L1070" i="32"/>
  <c r="C1071" i="32"/>
  <c r="G1071" i="32"/>
  <c r="F1071" i="32"/>
  <c r="H1071" i="32"/>
  <c r="I1071" i="32"/>
  <c r="D1071" i="32"/>
  <c r="J1071" i="32"/>
  <c r="E1071" i="32"/>
  <c r="K1071" i="32"/>
  <c r="L1071" i="32"/>
  <c r="C1072" i="32"/>
  <c r="G1072" i="32"/>
  <c r="F1072" i="32"/>
  <c r="H1072" i="32"/>
  <c r="I1072" i="32"/>
  <c r="D1072" i="32"/>
  <c r="J1072" i="32"/>
  <c r="E1072" i="32"/>
  <c r="K1072" i="32"/>
  <c r="L1072" i="32"/>
  <c r="C1073" i="32"/>
  <c r="G1073" i="32"/>
  <c r="H1073" i="32"/>
  <c r="F1073" i="32"/>
  <c r="I1073" i="32"/>
  <c r="D1073" i="32"/>
  <c r="J1073" i="32"/>
  <c r="E1073" i="32"/>
  <c r="K1073" i="32"/>
  <c r="L1073" i="32"/>
  <c r="C1074" i="32"/>
  <c r="G1074" i="32"/>
  <c r="F1074" i="32"/>
  <c r="H1074" i="32"/>
  <c r="I1074" i="32"/>
  <c r="D1074" i="32"/>
  <c r="J1074" i="32"/>
  <c r="E1074" i="32"/>
  <c r="K1074" i="32"/>
  <c r="L1074" i="32"/>
  <c r="C1075" i="32"/>
  <c r="G1075" i="32"/>
  <c r="H1075" i="32"/>
  <c r="F1075" i="32"/>
  <c r="I1075" i="32"/>
  <c r="D1075" i="32"/>
  <c r="J1075" i="32"/>
  <c r="E1075" i="32"/>
  <c r="K1075" i="32"/>
  <c r="L1075" i="32"/>
  <c r="C1076" i="32"/>
  <c r="G1076" i="32"/>
  <c r="H1076" i="32"/>
  <c r="I1076" i="32"/>
  <c r="D1076" i="32"/>
  <c r="J1076" i="32"/>
  <c r="E1076" i="32"/>
  <c r="K1076" i="32"/>
  <c r="L1076" i="32"/>
  <c r="C1077" i="32"/>
  <c r="G1077" i="32"/>
  <c r="H1077" i="32"/>
  <c r="I1077" i="32"/>
  <c r="D1077" i="32"/>
  <c r="J1077" i="32"/>
  <c r="E1077" i="32"/>
  <c r="K1077" i="32"/>
  <c r="L1077" i="32"/>
  <c r="C1078" i="32"/>
  <c r="G1078" i="32"/>
  <c r="H1078" i="32"/>
  <c r="F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G1083" i="32"/>
  <c r="H1083" i="32"/>
  <c r="I1083" i="32"/>
  <c r="D1083" i="32"/>
  <c r="J1083" i="32"/>
  <c r="E1083" i="32"/>
  <c r="K1083" i="32"/>
  <c r="L1083" i="32"/>
  <c r="C1084" i="32"/>
  <c r="G1084" i="32"/>
  <c r="F1084" i="32"/>
  <c r="H1084" i="32"/>
  <c r="I1084" i="32"/>
  <c r="D1084" i="32"/>
  <c r="J1084" i="32"/>
  <c r="E1084" i="32"/>
  <c r="K1084" i="32"/>
  <c r="L1084" i="32"/>
  <c r="C1085" i="32"/>
  <c r="G1085" i="32"/>
  <c r="H1085" i="32"/>
  <c r="I1085" i="32"/>
  <c r="D1085" i="32"/>
  <c r="J1085" i="32"/>
  <c r="E1085" i="32"/>
  <c r="K1085" i="32"/>
  <c r="L1085" i="32"/>
  <c r="C1086" i="32"/>
  <c r="G1086" i="32"/>
  <c r="H1086" i="32"/>
  <c r="I1086" i="32"/>
  <c r="D1086" i="32"/>
  <c r="J1086" i="32"/>
  <c r="E1086" i="32"/>
  <c r="K1086" i="32"/>
  <c r="L1086" i="32"/>
  <c r="C1087" i="32"/>
  <c r="G1087" i="32"/>
  <c r="H1087" i="32"/>
  <c r="I1087" i="32"/>
  <c r="D1087" i="32"/>
  <c r="J1087" i="32"/>
  <c r="E1087" i="32"/>
  <c r="K1087" i="32"/>
  <c r="L1087" i="32"/>
  <c r="C1088" i="32"/>
  <c r="G1088" i="32"/>
  <c r="H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F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F1098" i="32"/>
  <c r="H1098" i="32"/>
  <c r="I1098" i="32"/>
  <c r="D1098" i="32"/>
  <c r="J1098" i="32"/>
  <c r="E1098" i="32"/>
  <c r="K1098" i="32"/>
  <c r="L1098" i="32"/>
  <c r="C1099" i="32"/>
  <c r="G1099" i="32"/>
  <c r="H1099" i="32"/>
  <c r="I1099" i="32"/>
  <c r="D1099" i="32"/>
  <c r="J1099" i="32"/>
  <c r="E1099" i="32"/>
  <c r="K1099" i="32"/>
  <c r="L1099" i="32"/>
  <c r="C1100" i="32"/>
  <c r="G1100" i="32"/>
  <c r="F1100" i="32"/>
  <c r="H1100" i="32"/>
  <c r="I1100" i="32"/>
  <c r="D1100" i="32"/>
  <c r="J1100" i="32"/>
  <c r="E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F1103" i="32"/>
  <c r="I1103" i="32"/>
  <c r="D1103" i="32"/>
  <c r="J1103" i="32"/>
  <c r="E1103" i="32"/>
  <c r="K1103" i="32"/>
  <c r="L1103" i="32"/>
  <c r="C1104" i="32"/>
  <c r="G1104" i="32"/>
  <c r="H1104" i="32"/>
  <c r="I1104" i="32"/>
  <c r="D1104" i="32"/>
  <c r="J1104" i="32"/>
  <c r="E1104" i="32"/>
  <c r="K1104" i="32"/>
  <c r="L1104" i="32"/>
  <c r="C1105" i="32"/>
  <c r="G1105" i="32"/>
  <c r="F1105" i="32"/>
  <c r="H1105" i="32"/>
  <c r="I1105" i="32"/>
  <c r="D1105" i="32"/>
  <c r="J1105" i="32"/>
  <c r="E1105" i="32"/>
  <c r="K1105" i="32"/>
  <c r="L1105" i="32"/>
  <c r="C1106" i="32"/>
  <c r="G1106" i="32"/>
  <c r="H1106" i="32"/>
  <c r="I1106" i="32"/>
  <c r="D1106" i="32"/>
  <c r="J1106" i="32"/>
  <c r="E1106" i="32"/>
  <c r="K1106" i="32"/>
  <c r="L1106" i="32"/>
  <c r="C1107" i="32"/>
  <c r="G1107" i="32"/>
  <c r="H1107" i="32"/>
  <c r="F1107" i="32"/>
  <c r="I1107" i="32"/>
  <c r="D1107" i="32"/>
  <c r="J1107" i="32"/>
  <c r="E1107" i="32"/>
  <c r="K1107" i="32"/>
  <c r="L1107" i="32"/>
  <c r="C1108" i="32"/>
  <c r="G1108" i="32"/>
  <c r="H1108" i="32"/>
  <c r="I1108" i="32"/>
  <c r="D1108" i="32"/>
  <c r="J1108" i="32"/>
  <c r="E1108" i="32"/>
  <c r="K1108" i="32"/>
  <c r="L1108" i="32"/>
  <c r="C1109" i="32"/>
  <c r="G1109" i="32"/>
  <c r="H1109" i="32"/>
  <c r="I1109" i="32"/>
  <c r="D1109" i="32"/>
  <c r="J1109" i="32"/>
  <c r="E1109" i="32"/>
  <c r="K1109" i="32"/>
  <c r="L1109" i="32"/>
  <c r="C1110" i="32"/>
  <c r="G1110" i="32"/>
  <c r="H1110" i="32"/>
  <c r="I1110" i="32"/>
  <c r="D1110" i="32"/>
  <c r="J1110" i="32"/>
  <c r="E1110" i="32"/>
  <c r="K1110" i="32"/>
  <c r="L1110" i="32"/>
  <c r="C1111" i="32"/>
  <c r="G1111" i="32"/>
  <c r="H1111" i="32"/>
  <c r="F1111" i="32"/>
  <c r="I1111" i="32"/>
  <c r="D1111" i="32"/>
  <c r="J1111" i="32"/>
  <c r="E1111" i="32"/>
  <c r="K1111" i="32"/>
  <c r="L1111" i="32"/>
  <c r="C1112" i="32"/>
  <c r="G1112" i="32"/>
  <c r="F1112" i="32"/>
  <c r="H1112" i="32"/>
  <c r="I1112" i="32"/>
  <c r="D1112" i="32"/>
  <c r="J1112" i="32"/>
  <c r="E1112" i="32"/>
  <c r="K1112" i="32"/>
  <c r="L1112" i="32"/>
  <c r="C1113" i="32"/>
  <c r="G1113" i="32"/>
  <c r="H1113" i="32"/>
  <c r="F1113" i="32"/>
  <c r="I1113" i="32"/>
  <c r="D1113" i="32"/>
  <c r="J1113" i="32"/>
  <c r="E1113" i="32"/>
  <c r="K1113" i="32"/>
  <c r="L1113" i="32"/>
  <c r="C1114" i="32"/>
  <c r="G1114" i="32"/>
  <c r="H1114" i="32"/>
  <c r="F1114" i="32"/>
  <c r="I1114" i="32"/>
  <c r="D1114" i="32"/>
  <c r="J1114" i="32"/>
  <c r="E1114" i="32"/>
  <c r="K1114" i="32"/>
  <c r="L1114" i="32"/>
  <c r="C1115" i="32"/>
  <c r="G1115" i="32"/>
  <c r="H1115" i="32"/>
  <c r="F1115" i="32"/>
  <c r="I1115" i="32"/>
  <c r="D1115" i="32"/>
  <c r="J1115" i="32"/>
  <c r="E1115" i="32"/>
  <c r="K1115" i="32"/>
  <c r="L1115" i="32"/>
  <c r="C1116" i="32"/>
  <c r="G1116" i="32"/>
  <c r="F1116" i="32"/>
  <c r="H1116" i="32"/>
  <c r="I1116" i="32"/>
  <c r="D1116" i="32"/>
  <c r="J1116" i="32"/>
  <c r="E1116" i="32"/>
  <c r="K1116" i="32"/>
  <c r="L1116" i="32"/>
  <c r="C1117" i="32"/>
  <c r="G1117" i="32"/>
  <c r="F1117" i="32"/>
  <c r="H1117" i="32"/>
  <c r="I1117" i="32"/>
  <c r="D1117" i="32"/>
  <c r="J1117" i="32"/>
  <c r="E1117" i="32"/>
  <c r="K1117" i="32"/>
  <c r="L1117" i="32"/>
  <c r="C1118" i="32"/>
  <c r="G1118" i="32"/>
  <c r="F1118" i="32"/>
  <c r="H1118" i="32"/>
  <c r="I1118" i="32"/>
  <c r="D1118" i="32"/>
  <c r="J1118" i="32"/>
  <c r="E1118" i="32"/>
  <c r="K1118" i="32"/>
  <c r="L1118" i="32"/>
  <c r="C1119" i="32"/>
  <c r="G1119" i="32"/>
  <c r="H1119" i="32"/>
  <c r="I1119" i="32"/>
  <c r="D1119" i="32"/>
  <c r="J1119" i="32"/>
  <c r="E1119" i="32"/>
  <c r="K1119" i="32"/>
  <c r="L1119" i="32"/>
  <c r="C1120" i="32"/>
  <c r="G1120" i="32"/>
  <c r="F1120" i="32"/>
  <c r="H1120" i="32"/>
  <c r="I1120" i="32"/>
  <c r="D1120" i="32"/>
  <c r="J1120" i="32"/>
  <c r="E1120" i="32"/>
  <c r="K1120" i="32"/>
  <c r="L1120" i="32"/>
  <c r="C1121" i="32"/>
  <c r="G1121" i="32"/>
  <c r="H1121" i="32"/>
  <c r="I1121" i="32"/>
  <c r="D1121" i="32"/>
  <c r="J1121" i="32"/>
  <c r="E1121" i="32"/>
  <c r="K1121" i="32"/>
  <c r="L1121" i="32"/>
  <c r="C1122" i="32"/>
  <c r="G1122" i="32"/>
  <c r="F1122" i="32"/>
  <c r="H1122" i="32"/>
  <c r="I1122" i="32"/>
  <c r="D1122" i="32"/>
  <c r="J1122" i="32"/>
  <c r="E1122" i="32"/>
  <c r="K1122" i="32"/>
  <c r="L1122" i="32"/>
  <c r="C1123" i="32"/>
  <c r="G1123" i="32"/>
  <c r="H1123" i="32"/>
  <c r="F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F1126" i="32"/>
  <c r="H1126" i="32"/>
  <c r="I1126" i="32"/>
  <c r="D1126" i="32"/>
  <c r="J1126" i="32"/>
  <c r="E1126" i="32"/>
  <c r="K1126" i="32"/>
  <c r="L1126" i="32"/>
  <c r="C1127" i="32"/>
  <c r="D1127" i="32"/>
  <c r="G1127" i="32"/>
  <c r="F1127" i="32"/>
  <c r="H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H1130" i="32"/>
  <c r="I1130" i="32"/>
  <c r="D1130" i="32"/>
  <c r="J1130" i="32"/>
  <c r="E1130" i="32"/>
  <c r="K1130" i="32"/>
  <c r="L1130" i="32"/>
  <c r="C1131" i="32"/>
  <c r="G1131" i="32"/>
  <c r="H1131" i="32"/>
  <c r="F1131" i="32"/>
  <c r="I1131" i="32"/>
  <c r="D1131" i="32"/>
  <c r="J1131" i="32"/>
  <c r="E1131" i="32"/>
  <c r="K1131" i="32"/>
  <c r="L1131" i="32"/>
  <c r="C1132" i="32"/>
  <c r="G1132" i="32"/>
  <c r="H1132" i="32"/>
  <c r="I1132" i="32"/>
  <c r="D1132" i="32"/>
  <c r="J1132" i="32"/>
  <c r="E1132" i="32"/>
  <c r="K1132" i="32"/>
  <c r="L1132" i="32"/>
  <c r="C1133" i="32"/>
  <c r="G1133" i="32"/>
  <c r="H1133" i="32"/>
  <c r="I1133" i="32"/>
  <c r="D1133" i="32"/>
  <c r="J1133" i="32"/>
  <c r="E1133" i="32"/>
  <c r="K1133" i="32"/>
  <c r="L1133" i="32"/>
  <c r="C1134" i="32"/>
  <c r="G1134" i="32"/>
  <c r="F1134" i="32"/>
  <c r="H1134" i="32"/>
  <c r="I1134" i="32"/>
  <c r="D1134" i="32"/>
  <c r="J1134" i="32"/>
  <c r="E1134" i="32"/>
  <c r="K1134" i="32"/>
  <c r="L1134" i="32"/>
  <c r="C1135" i="32"/>
  <c r="G1135" i="32"/>
  <c r="H1135" i="32"/>
  <c r="I1135" i="32"/>
  <c r="D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I1138" i="32"/>
  <c r="D1138" i="32"/>
  <c r="J1138" i="32"/>
  <c r="E1138" i="32"/>
  <c r="K1138" i="32"/>
  <c r="L1138" i="32"/>
  <c r="C1139" i="32"/>
  <c r="G1139" i="32"/>
  <c r="F1139" i="32"/>
  <c r="H1139" i="32"/>
  <c r="I1139" i="32"/>
  <c r="D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F1142" i="32"/>
  <c r="H1142" i="32"/>
  <c r="I1142" i="32"/>
  <c r="D1142" i="32"/>
  <c r="J1142" i="32"/>
  <c r="E1142" i="32"/>
  <c r="K1142" i="32"/>
  <c r="L1142" i="32"/>
  <c r="C1143" i="32"/>
  <c r="G1143" i="32"/>
  <c r="H1143" i="32"/>
  <c r="I1143" i="32"/>
  <c r="D1143" i="32"/>
  <c r="J1143" i="32"/>
  <c r="E1143" i="32"/>
  <c r="K1143" i="32"/>
  <c r="L1143" i="32"/>
  <c r="C1144" i="32"/>
  <c r="G1144" i="32"/>
  <c r="F1144" i="32"/>
  <c r="H1144" i="32"/>
  <c r="I1144" i="32"/>
  <c r="D1144" i="32"/>
  <c r="J1144" i="32"/>
  <c r="E1144" i="32"/>
  <c r="K1144" i="32"/>
  <c r="L1144" i="32"/>
  <c r="C1145" i="32"/>
  <c r="G1145" i="32"/>
  <c r="F1145" i="32"/>
  <c r="H1145" i="32"/>
  <c r="I1145" i="32"/>
  <c r="D1145" i="32"/>
  <c r="J1145" i="32"/>
  <c r="E1145" i="32"/>
  <c r="K1145" i="32"/>
  <c r="L1145" i="32"/>
  <c r="C1146" i="32"/>
  <c r="G1146" i="32"/>
  <c r="H1146" i="32"/>
  <c r="I1146" i="32"/>
  <c r="D1146" i="32"/>
  <c r="J1146" i="32"/>
  <c r="E1146" i="32"/>
  <c r="K1146" i="32"/>
  <c r="L1146" i="32"/>
  <c r="C1147" i="32"/>
  <c r="G1147" i="32"/>
  <c r="F1147" i="32"/>
  <c r="H1147" i="32"/>
  <c r="I1147" i="32"/>
  <c r="D1147" i="32"/>
  <c r="J1147" i="32"/>
  <c r="E1147" i="32"/>
  <c r="K1147" i="32"/>
  <c r="L1147" i="32"/>
  <c r="C1148" i="32"/>
  <c r="G1148" i="32"/>
  <c r="H1148" i="32"/>
  <c r="I1148" i="32"/>
  <c r="D1148" i="32"/>
  <c r="J1148" i="32"/>
  <c r="E1148" i="32"/>
  <c r="K1148" i="32"/>
  <c r="L1148" i="32"/>
  <c r="C1149" i="32"/>
  <c r="G1149" i="32"/>
  <c r="F1149" i="32"/>
  <c r="H1149" i="32"/>
  <c r="I1149" i="32"/>
  <c r="D1149" i="32"/>
  <c r="J1149" i="32"/>
  <c r="E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F1152" i="32"/>
  <c r="H1152" i="32"/>
  <c r="I1152" i="32"/>
  <c r="D1152" i="32"/>
  <c r="J1152" i="32"/>
  <c r="E1152" i="32"/>
  <c r="K1152" i="32"/>
  <c r="L1152" i="32"/>
  <c r="C1153" i="32"/>
  <c r="G1153" i="32"/>
  <c r="H1153" i="32"/>
  <c r="I1153" i="32"/>
  <c r="D1153" i="32"/>
  <c r="J1153" i="32"/>
  <c r="E1153" i="32"/>
  <c r="K1153" i="32"/>
  <c r="L1153" i="32"/>
  <c r="C1154" i="32"/>
  <c r="G1154" i="32"/>
  <c r="H1154" i="32"/>
  <c r="I1154" i="32"/>
  <c r="D1154" i="32"/>
  <c r="J1154" i="32"/>
  <c r="E1154" i="32"/>
  <c r="K1154" i="32"/>
  <c r="L1154" i="32"/>
  <c r="C1155" i="32"/>
  <c r="G1155" i="32"/>
  <c r="F1155" i="32"/>
  <c r="H1155" i="32"/>
  <c r="I1155" i="32"/>
  <c r="D1155" i="32"/>
  <c r="J1155" i="32"/>
  <c r="E1155" i="32"/>
  <c r="K1155" i="32"/>
  <c r="L1155" i="32"/>
  <c r="C1156" i="32"/>
  <c r="G1156" i="32"/>
  <c r="H1156" i="32"/>
  <c r="F1156" i="32"/>
  <c r="I1156" i="32"/>
  <c r="D1156" i="32"/>
  <c r="J1156" i="32"/>
  <c r="E1156" i="32"/>
  <c r="K1156" i="32"/>
  <c r="L1156" i="32"/>
  <c r="C1157" i="32"/>
  <c r="G1157" i="32"/>
  <c r="F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I1160" i="32"/>
  <c r="D1160" i="32"/>
  <c r="J1160" i="32"/>
  <c r="E1160" i="32"/>
  <c r="K1160" i="32"/>
  <c r="L1160" i="32"/>
  <c r="C1161" i="32"/>
  <c r="G1161" i="32"/>
  <c r="H1161" i="32"/>
  <c r="F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G1164" i="32"/>
  <c r="H1164" i="32"/>
  <c r="I1164" i="32"/>
  <c r="D1164" i="32"/>
  <c r="J1164" i="32"/>
  <c r="E1164" i="32"/>
  <c r="K1164" i="32"/>
  <c r="L1164" i="32"/>
  <c r="C1165" i="32"/>
  <c r="G1165" i="32"/>
  <c r="H1165" i="32"/>
  <c r="F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G1168" i="32"/>
  <c r="H1168" i="32"/>
  <c r="F1168" i="32"/>
  <c r="I1168" i="32"/>
  <c r="D1168" i="32"/>
  <c r="J1168" i="32"/>
  <c r="E1168" i="32"/>
  <c r="K1168" i="32"/>
  <c r="L1168" i="32"/>
  <c r="C1169" i="32"/>
  <c r="G1169" i="32"/>
  <c r="H1169" i="32"/>
  <c r="I1169" i="32"/>
  <c r="D1169" i="32"/>
  <c r="J1169" i="32"/>
  <c r="E1169" i="32"/>
  <c r="K1169" i="32"/>
  <c r="L1169" i="32"/>
  <c r="C1170" i="32"/>
  <c r="G1170" i="32"/>
  <c r="F1170" i="32"/>
  <c r="H1170" i="32"/>
  <c r="I1170" i="32"/>
  <c r="D1170" i="32"/>
  <c r="J1170" i="32"/>
  <c r="E1170" i="32"/>
  <c r="K1170" i="32"/>
  <c r="L1170" i="32"/>
  <c r="C1171" i="32"/>
  <c r="G1171" i="32"/>
  <c r="H1171" i="32"/>
  <c r="F1171" i="32"/>
  <c r="I1171" i="32"/>
  <c r="D1171" i="32"/>
  <c r="J1171" i="32"/>
  <c r="E1171" i="32"/>
  <c r="K1171" i="32"/>
  <c r="L1171" i="32"/>
  <c r="C1172" i="32"/>
  <c r="G1172" i="32"/>
  <c r="H1172" i="32"/>
  <c r="F1172" i="32"/>
  <c r="I1172" i="32"/>
  <c r="D1172" i="32"/>
  <c r="J1172" i="32"/>
  <c r="E1172" i="32"/>
  <c r="K1172" i="32"/>
  <c r="L1172" i="32"/>
  <c r="C1173" i="32"/>
  <c r="G1173" i="32"/>
  <c r="H1173" i="32"/>
  <c r="I1173" i="32"/>
  <c r="D1173" i="32"/>
  <c r="J1173" i="32"/>
  <c r="E1173" i="32"/>
  <c r="K1173" i="32"/>
  <c r="L1173" i="32"/>
  <c r="C1174" i="32"/>
  <c r="G1174" i="32"/>
  <c r="F1174" i="32"/>
  <c r="H1174" i="32"/>
  <c r="I1174" i="32"/>
  <c r="D1174" i="32"/>
  <c r="J1174" i="32"/>
  <c r="E1174" i="32"/>
  <c r="K1174" i="32"/>
  <c r="L1174" i="32"/>
  <c r="C1175" i="32"/>
  <c r="G1175" i="32"/>
  <c r="F1175" i="32"/>
  <c r="H1175" i="32"/>
  <c r="I1175" i="32"/>
  <c r="D1175" i="32"/>
  <c r="J1175" i="32"/>
  <c r="E1175" i="32"/>
  <c r="K1175" i="32"/>
  <c r="L1175" i="32"/>
  <c r="C1176" i="32"/>
  <c r="G1176" i="32"/>
  <c r="F1176" i="32"/>
  <c r="H1176" i="32"/>
  <c r="I1176" i="32"/>
  <c r="D1176" i="32"/>
  <c r="J1176" i="32"/>
  <c r="E1176" i="32"/>
  <c r="K1176" i="32"/>
  <c r="L1176" i="32"/>
  <c r="C1177" i="32"/>
  <c r="D1177" i="32"/>
  <c r="G1177" i="32"/>
  <c r="H1177" i="32"/>
  <c r="I1177" i="32"/>
  <c r="J1177" i="32"/>
  <c r="E1177" i="32"/>
  <c r="K1177" i="32"/>
  <c r="L1177" i="32"/>
  <c r="C1178" i="32"/>
  <c r="G1178" i="32"/>
  <c r="F1178" i="32"/>
  <c r="H1178" i="32"/>
  <c r="I1178" i="32"/>
  <c r="D1178" i="32"/>
  <c r="J1178" i="32"/>
  <c r="E1178" i="32"/>
  <c r="K1178" i="32"/>
  <c r="L1178" i="32"/>
  <c r="C1179" i="32"/>
  <c r="G1179" i="32"/>
  <c r="F1179" i="32"/>
  <c r="H1179" i="32"/>
  <c r="I1179" i="32"/>
  <c r="D1179" i="32"/>
  <c r="J1179" i="32"/>
  <c r="E1179" i="32"/>
  <c r="K1179" i="32"/>
  <c r="L1179" i="32"/>
  <c r="C1180" i="32"/>
  <c r="G1180" i="32"/>
  <c r="F1180" i="32"/>
  <c r="H1180" i="32"/>
  <c r="I1180" i="32"/>
  <c r="D1180" i="32"/>
  <c r="J1180" i="32"/>
  <c r="E1180" i="32"/>
  <c r="K1180" i="32"/>
  <c r="L1180" i="32"/>
  <c r="C1181" i="32"/>
  <c r="G1181" i="32"/>
  <c r="F1181" i="32"/>
  <c r="H1181" i="32"/>
  <c r="I1181" i="32"/>
  <c r="D1181" i="32"/>
  <c r="J1181" i="32"/>
  <c r="E1181" i="32"/>
  <c r="K1181" i="32"/>
  <c r="L1181" i="32"/>
  <c r="C1182" i="32"/>
  <c r="D1182" i="32"/>
  <c r="G1182" i="32"/>
  <c r="F1182" i="32"/>
  <c r="H1182" i="32"/>
  <c r="I1182" i="32"/>
  <c r="J1182" i="32"/>
  <c r="E1182" i="32"/>
  <c r="K1182" i="32"/>
  <c r="L1182" i="32"/>
  <c r="C1183" i="32"/>
  <c r="G1183" i="32"/>
  <c r="F1183" i="32"/>
  <c r="H1183" i="32"/>
  <c r="I1183" i="32"/>
  <c r="D1183" i="32"/>
  <c r="J1183" i="32"/>
  <c r="E1183" i="32"/>
  <c r="K1183" i="32"/>
  <c r="L1183" i="32"/>
  <c r="C1184" i="32"/>
  <c r="G1184" i="32"/>
  <c r="H1184" i="32"/>
  <c r="F1184" i="32"/>
  <c r="I1184" i="32"/>
  <c r="D1184" i="32"/>
  <c r="J1184" i="32"/>
  <c r="E1184" i="32"/>
  <c r="K1184" i="32"/>
  <c r="L1184" i="32"/>
  <c r="C1185" i="32"/>
  <c r="G1185" i="32"/>
  <c r="H1185" i="32"/>
  <c r="F1185" i="32"/>
  <c r="I1185" i="32"/>
  <c r="D1185" i="32"/>
  <c r="J1185" i="32"/>
  <c r="E1185" i="32"/>
  <c r="K1185" i="32"/>
  <c r="L1185" i="32"/>
  <c r="C1186" i="32"/>
  <c r="G1186" i="32"/>
  <c r="F1186" i="32"/>
  <c r="H1186" i="32"/>
  <c r="I1186" i="32"/>
  <c r="D1186" i="32"/>
  <c r="J1186" i="32"/>
  <c r="E1186" i="32"/>
  <c r="K1186" i="32"/>
  <c r="L1186" i="32"/>
  <c r="C1187" i="32"/>
  <c r="G1187" i="32"/>
  <c r="F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G1190" i="32"/>
  <c r="F1190" i="32"/>
  <c r="H1190" i="32"/>
  <c r="I1190" i="32"/>
  <c r="D1190" i="32"/>
  <c r="J1190" i="32"/>
  <c r="E1190" i="32"/>
  <c r="K1190" i="32"/>
  <c r="L1190" i="32"/>
  <c r="C1191" i="32"/>
  <c r="G1191" i="32"/>
  <c r="H1191" i="32"/>
  <c r="I1191" i="32"/>
  <c r="D1191" i="32"/>
  <c r="J1191" i="32"/>
  <c r="E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F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G1197" i="32"/>
  <c r="F1197" i="32"/>
  <c r="H1197" i="32"/>
  <c r="I1197" i="32"/>
  <c r="D1197" i="32"/>
  <c r="J1197" i="32"/>
  <c r="E1197" i="32"/>
  <c r="K1197" i="32"/>
  <c r="L1197" i="32"/>
  <c r="C1198" i="32"/>
  <c r="G1198" i="32"/>
  <c r="F1198" i="32"/>
  <c r="H1198" i="32"/>
  <c r="I1198" i="32"/>
  <c r="D1198" i="32"/>
  <c r="J1198" i="32"/>
  <c r="E1198" i="32"/>
  <c r="K1198" i="32"/>
  <c r="L1198" i="32"/>
  <c r="C1199" i="32"/>
  <c r="G1199" i="32"/>
  <c r="F1199" i="32"/>
  <c r="H1199" i="32"/>
  <c r="I1199" i="32"/>
  <c r="D1199" i="32"/>
  <c r="J1199" i="32"/>
  <c r="E1199" i="32"/>
  <c r="K1199" i="32"/>
  <c r="L1199" i="32"/>
  <c r="C1200" i="32"/>
  <c r="G1200" i="32"/>
  <c r="F1200" i="32"/>
  <c r="H1200" i="32"/>
  <c r="I1200" i="32"/>
  <c r="D1200" i="32"/>
  <c r="J1200" i="32"/>
  <c r="E1200" i="32"/>
  <c r="K1200" i="32"/>
  <c r="L1200" i="32"/>
  <c r="D16" i="62"/>
  <c r="E16" i="62"/>
  <c r="C16" i="62"/>
  <c r="B1" i="62"/>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C110" i="46"/>
  <c r="C109" i="46"/>
  <c r="C108" i="46"/>
  <c r="C98" i="46"/>
  <c r="C97" i="46"/>
  <c r="C96" i="46"/>
  <c r="C86" i="46"/>
  <c r="C85" i="46"/>
  <c r="C84" i="46"/>
  <c r="K46" i="56"/>
  <c r="K51" i="56" s="1"/>
  <c r="K34" i="56"/>
  <c r="K39" i="56" s="1"/>
  <c r="K147" i="56"/>
  <c r="K148" i="56" s="1"/>
  <c r="K134" i="56"/>
  <c r="K135" i="56" s="1"/>
  <c r="K73" i="56"/>
  <c r="K72" i="56"/>
  <c r="K71" i="56"/>
  <c r="C73" i="46"/>
  <c r="C72" i="46"/>
  <c r="C11" i="46"/>
  <c r="C27" i="56"/>
  <c r="B27" i="56"/>
  <c r="C27" i="46"/>
  <c r="B27" i="46"/>
  <c r="B74" i="47"/>
  <c r="C25" i="56"/>
  <c r="B25" i="56"/>
  <c r="C25" i="46"/>
  <c r="B25" i="46"/>
  <c r="B72" i="47"/>
  <c r="C23" i="56"/>
  <c r="B23" i="56"/>
  <c r="C23" i="46"/>
  <c r="B23" i="46"/>
  <c r="B70" i="47"/>
  <c r="C21" i="56"/>
  <c r="B21" i="56"/>
  <c r="C21" i="46"/>
  <c r="B21" i="46"/>
  <c r="B66" i="47"/>
  <c r="B19" i="56"/>
  <c r="B19" i="46"/>
  <c r="B62" i="47"/>
  <c r="B17" i="56"/>
  <c r="B17" i="46"/>
  <c r="B58" i="47"/>
  <c r="B16" i="56"/>
  <c r="B16" i="46"/>
  <c r="B56" i="47"/>
  <c r="B15" i="56"/>
  <c r="B15" i="46"/>
  <c r="B54" i="47"/>
  <c r="C13" i="56"/>
  <c r="B13" i="56"/>
  <c r="C13" i="46"/>
  <c r="B13" i="46"/>
  <c r="B49" i="47"/>
  <c r="B12" i="46"/>
  <c r="B48" i="47"/>
  <c r="C11" i="56"/>
  <c r="B11" i="56"/>
  <c r="B10" i="56"/>
  <c r="B11" i="46"/>
  <c r="B47" i="47"/>
  <c r="B10" i="46"/>
  <c r="B46" i="47"/>
  <c r="B1" i="61"/>
  <c r="B1" i="59"/>
  <c r="F48" i="57"/>
  <c r="E46" i="57"/>
  <c r="D45" i="57"/>
  <c r="G45" i="57" s="1"/>
  <c r="K45" i="57" s="1"/>
  <c r="D44" i="57"/>
  <c r="V36" i="57"/>
  <c r="E34" i="57"/>
  <c r="F30" i="57"/>
  <c r="V28" i="57"/>
  <c r="F26" i="57"/>
  <c r="V20" i="57"/>
  <c r="E47" i="57"/>
  <c r="F47" i="57"/>
  <c r="D47" i="57"/>
  <c r="E24" i="57"/>
  <c r="E25" i="57"/>
  <c r="E29" i="57"/>
  <c r="D28" i="57"/>
  <c r="D38" i="57"/>
  <c r="F42" i="57"/>
  <c r="D43" i="57"/>
  <c r="G43" i="57" s="1"/>
  <c r="K43" i="57" s="1"/>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50" i="47"/>
  <c r="B26" i="56"/>
  <c r="B24" i="56"/>
  <c r="B22" i="56"/>
  <c r="B20" i="56"/>
  <c r="B18" i="56"/>
  <c r="B26" i="46"/>
  <c r="B73" i="47"/>
  <c r="B24" i="46"/>
  <c r="B71" i="47"/>
  <c r="B22" i="46"/>
  <c r="B69" i="47"/>
  <c r="B20" i="46"/>
  <c r="B65" i="47"/>
  <c r="B18" i="46"/>
  <c r="B61" i="47"/>
  <c r="B57" i="47"/>
  <c r="B55" i="47"/>
  <c r="B53" i="47"/>
  <c r="E6" i="47"/>
  <c r="F6" i="47"/>
  <c r="G6" i="47"/>
  <c r="H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F1313" i="32"/>
  <c r="G1313" i="32"/>
  <c r="C1313" i="32"/>
  <c r="L1312" i="32"/>
  <c r="K1312" i="32"/>
  <c r="J1312" i="32"/>
  <c r="E1312" i="32"/>
  <c r="I1312" i="32"/>
  <c r="D1312" i="32"/>
  <c r="H1312" i="32"/>
  <c r="G1312" i="32"/>
  <c r="F1312" i="32"/>
  <c r="C1312" i="32"/>
  <c r="L1311" i="32"/>
  <c r="K1311" i="32"/>
  <c r="J1311" i="32"/>
  <c r="E1311" i="32"/>
  <c r="I1311" i="32"/>
  <c r="D1311" i="32"/>
  <c r="H1311" i="32"/>
  <c r="G1311" i="32"/>
  <c r="F1311" i="32"/>
  <c r="C1311" i="32"/>
  <c r="L1310" i="32"/>
  <c r="K1310" i="32"/>
  <c r="J1310" i="32"/>
  <c r="E1310" i="32"/>
  <c r="I1310" i="32"/>
  <c r="D1310" i="32"/>
  <c r="H1310" i="32"/>
  <c r="G1310" i="32"/>
  <c r="F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F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F1297" i="32"/>
  <c r="C1297" i="32"/>
  <c r="L1296" i="32"/>
  <c r="K1296" i="32"/>
  <c r="J1296" i="32"/>
  <c r="E1296" i="32"/>
  <c r="I1296" i="32"/>
  <c r="D1296" i="32"/>
  <c r="H1296" i="32"/>
  <c r="G1296" i="32"/>
  <c r="C1296" i="32"/>
  <c r="L43" i="32"/>
  <c r="K43" i="32"/>
  <c r="J43" i="32"/>
  <c r="E43" i="32"/>
  <c r="I43" i="32"/>
  <c r="D43" i="32"/>
  <c r="H43" i="32"/>
  <c r="G43" i="32"/>
  <c r="F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F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F36" i="32"/>
  <c r="C36" i="32"/>
  <c r="L35" i="32"/>
  <c r="K35" i="32"/>
  <c r="J35" i="32"/>
  <c r="E35" i="32"/>
  <c r="I35" i="32"/>
  <c r="D35" i="32"/>
  <c r="H35" i="32"/>
  <c r="G35" i="32"/>
  <c r="C35" i="32"/>
  <c r="L34" i="32"/>
  <c r="K34" i="32"/>
  <c r="J34" i="32"/>
  <c r="E34" i="32"/>
  <c r="I34" i="32"/>
  <c r="D34" i="32"/>
  <c r="H34" i="32"/>
  <c r="F34" i="32"/>
  <c r="G34" i="32"/>
  <c r="C34" i="32"/>
  <c r="L33" i="32"/>
  <c r="K33" i="32"/>
  <c r="J33" i="32"/>
  <c r="E33" i="32"/>
  <c r="I33" i="32"/>
  <c r="D33" i="32"/>
  <c r="H33" i="32"/>
  <c r="F33" i="32"/>
  <c r="G33" i="32"/>
  <c r="C33" i="32"/>
  <c r="L32" i="32"/>
  <c r="L1314" i="32"/>
  <c r="K32" i="32"/>
  <c r="J32" i="32"/>
  <c r="E32" i="32"/>
  <c r="I32" i="32"/>
  <c r="D32" i="32"/>
  <c r="H32" i="32"/>
  <c r="G32" i="32"/>
  <c r="F32" i="32"/>
  <c r="C32" i="32"/>
  <c r="L31" i="32"/>
  <c r="K31" i="32"/>
  <c r="J31" i="32"/>
  <c r="E31" i="32"/>
  <c r="I31" i="32"/>
  <c r="D31" i="32"/>
  <c r="H31" i="32"/>
  <c r="G31" i="32"/>
  <c r="F31" i="32"/>
  <c r="C31" i="32"/>
  <c r="L30" i="32"/>
  <c r="K30" i="32"/>
  <c r="J30" i="32"/>
  <c r="E30" i="32"/>
  <c r="I30" i="32"/>
  <c r="D30" i="32"/>
  <c r="H30" i="32"/>
  <c r="H1314" i="32"/>
  <c r="G30" i="32"/>
  <c r="C30" i="32"/>
  <c r="K29" i="32"/>
  <c r="J29" i="32"/>
  <c r="E29" i="32"/>
  <c r="I29" i="32"/>
  <c r="D29" i="32"/>
  <c r="H29" i="32"/>
  <c r="G29" i="32"/>
  <c r="G1314"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H1336" i="32"/>
  <c r="G1332" i="32"/>
  <c r="F1332" i="32"/>
  <c r="L1331" i="32"/>
  <c r="K1331" i="32"/>
  <c r="J1331" i="32"/>
  <c r="E1331" i="32"/>
  <c r="I1331" i="32"/>
  <c r="D1331" i="32"/>
  <c r="H1331" i="32"/>
  <c r="G1331" i="32"/>
  <c r="L1330" i="32"/>
  <c r="L1336" i="32"/>
  <c r="K1330" i="32"/>
  <c r="J1330" i="32"/>
  <c r="E1330" i="32"/>
  <c r="I1330" i="32"/>
  <c r="D1330" i="32"/>
  <c r="H1330" i="32"/>
  <c r="G1330" i="32"/>
  <c r="F1330" i="32"/>
  <c r="L1329" i="32"/>
  <c r="K1329" i="32"/>
  <c r="J1329" i="32"/>
  <c r="E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L1328" i="32"/>
  <c r="K1323" i="32"/>
  <c r="J1323" i="32"/>
  <c r="E1323" i="32"/>
  <c r="I1323" i="32"/>
  <c r="D1323" i="32"/>
  <c r="H1323" i="32"/>
  <c r="H1328" i="32"/>
  <c r="G1323" i="32"/>
  <c r="F1323" i="32"/>
  <c r="F1328" i="32"/>
  <c r="L1321" i="32"/>
  <c r="K1321" i="32"/>
  <c r="J1321" i="32"/>
  <c r="E1321" i="32"/>
  <c r="I1321" i="32"/>
  <c r="D1321" i="32"/>
  <c r="H1321" i="32"/>
  <c r="F1321" i="32"/>
  <c r="G1321" i="32"/>
  <c r="L1320" i="32"/>
  <c r="K1320" i="32"/>
  <c r="J1320" i="32"/>
  <c r="E1320" i="32"/>
  <c r="I1320" i="32"/>
  <c r="D1320" i="32"/>
  <c r="H1320" i="32"/>
  <c r="G1320" i="32"/>
  <c r="F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F1317" i="32"/>
  <c r="G1317" i="32"/>
  <c r="L1316" i="32"/>
  <c r="K1316" i="32"/>
  <c r="J1316" i="32"/>
  <c r="E1316" i="32"/>
  <c r="I1316" i="32"/>
  <c r="D1316" i="32"/>
  <c r="H1316" i="32"/>
  <c r="G1316" i="32"/>
  <c r="F1316" i="32"/>
  <c r="L1315" i="32"/>
  <c r="K1315" i="32"/>
  <c r="K1322" i="32"/>
  <c r="J1315" i="32"/>
  <c r="E1315" i="32"/>
  <c r="I1315" i="32"/>
  <c r="D1315" i="32"/>
  <c r="H1315" i="32"/>
  <c r="H1322" i="32"/>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c r="J26" i="32"/>
  <c r="E26" i="32"/>
  <c r="K27" i="32"/>
  <c r="D37" i="32"/>
  <c r="J27" i="32"/>
  <c r="E27" i="32"/>
  <c r="L27" i="32"/>
  <c r="K1314" i="32"/>
  <c r="G26" i="32"/>
  <c r="F26" i="32"/>
  <c r="I26" i="32"/>
  <c r="D26" i="32"/>
  <c r="F1700" i="32"/>
  <c r="F1711" i="32"/>
  <c r="F27" i="32"/>
  <c r="F1676" i="32"/>
  <c r="F1699" i="32"/>
  <c r="D25" i="32"/>
  <c r="E25" i="32"/>
  <c r="C16" i="32"/>
  <c r="E16" i="32"/>
  <c r="D16" i="32"/>
  <c r="F16" i="32"/>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c r="F299" i="32"/>
  <c r="F298" i="32"/>
  <c r="D1379" i="32"/>
  <c r="J1379" i="32"/>
  <c r="K152" i="56"/>
  <c r="B99" i="46"/>
  <c r="B111" i="46"/>
  <c r="B124" i="46"/>
  <c r="B137" i="46"/>
  <c r="B150" i="46"/>
  <c r="B162" i="46"/>
  <c r="B174" i="46"/>
  <c r="K49" i="56"/>
  <c r="C29" i="42"/>
  <c r="K150" i="56"/>
  <c r="K37" i="56"/>
  <c r="K52" i="56"/>
  <c r="K48" i="56"/>
  <c r="J48" i="57"/>
  <c r="K48" i="57" s="1"/>
  <c r="J47" i="57"/>
  <c r="K47" i="57" s="1"/>
  <c r="J46" i="57"/>
  <c r="K46" i="57" s="1"/>
  <c r="F45" i="57"/>
  <c r="D24" i="57"/>
  <c r="E28" i="57"/>
  <c r="D41" i="57"/>
  <c r="F41" i="57"/>
  <c r="E23" i="57"/>
  <c r="F23" i="57"/>
  <c r="D23" i="57"/>
  <c r="E27" i="57"/>
  <c r="F27" i="57"/>
  <c r="D27" i="57"/>
  <c r="D22" i="57"/>
  <c r="F46" i="57"/>
  <c r="F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D19" i="57"/>
  <c r="F19" i="57"/>
  <c r="D30" i="57"/>
  <c r="D26" i="57"/>
  <c r="F29" i="57"/>
  <c r="D25" i="57"/>
  <c r="E19" i="57"/>
  <c r="F15" i="57"/>
  <c r="E26" i="57"/>
  <c r="F25" i="57"/>
  <c r="D34" i="57"/>
  <c r="F38" i="57"/>
  <c r="F34" i="57"/>
  <c r="F22" i="57"/>
  <c r="F1379" i="32"/>
  <c r="F1314" i="32"/>
  <c r="C28" i="42"/>
  <c r="C71" i="46"/>
  <c r="P18" i="61"/>
  <c r="K19" i="46" s="1"/>
  <c r="P21" i="61"/>
  <c r="K25" i="46" s="1"/>
  <c r="E15" i="57"/>
  <c r="D15" i="57"/>
  <c r="P22" i="61"/>
  <c r="K27" i="46" s="1"/>
  <c r="P20" i="61"/>
  <c r="K23" i="46" s="1"/>
  <c r="D33" i="57"/>
  <c r="E33" i="57"/>
  <c r="F33" i="57"/>
  <c r="F40" i="57"/>
  <c r="D40" i="57"/>
  <c r="D18" i="57"/>
  <c r="E18" i="57"/>
  <c r="F18" i="57"/>
  <c r="F37" i="57"/>
  <c r="D37" i="57"/>
  <c r="E37" i="57"/>
  <c r="F14" i="57"/>
  <c r="D14" i="57"/>
  <c r="E14" i="57"/>
  <c r="E16" i="57"/>
  <c r="D16" i="57"/>
  <c r="F16" i="57"/>
  <c r="C27" i="42"/>
  <c r="C23" i="42"/>
  <c r="C26" i="42"/>
  <c r="C25" i="42"/>
  <c r="C24" i="42"/>
  <c r="P16" i="61"/>
  <c r="K16" i="46" s="1"/>
  <c r="P17" i="61"/>
  <c r="K17" i="46" s="1"/>
  <c r="P15" i="61"/>
  <c r="K15" i="46" s="1"/>
  <c r="F55" i="47"/>
  <c r="H53" i="47"/>
  <c r="F57" i="47"/>
  <c r="E53" i="47"/>
  <c r="D57" i="47"/>
  <c r="H55" i="47"/>
  <c r="G57" i="47"/>
  <c r="G53" i="47"/>
  <c r="H57" i="47"/>
  <c r="D53" i="47"/>
  <c r="G55" i="47"/>
  <c r="F53" i="47"/>
  <c r="D55" i="47"/>
  <c r="E57" i="47"/>
  <c r="E55" i="47"/>
  <c r="K136" i="56" l="1"/>
  <c r="K137" i="56"/>
  <c r="K140" i="56"/>
  <c r="K38" i="56"/>
  <c r="K35" i="56"/>
  <c r="K36" i="56"/>
  <c r="K40" i="56"/>
  <c r="K47" i="56"/>
  <c r="K50" i="56"/>
  <c r="K151" i="56"/>
  <c r="K149" i="56"/>
  <c r="K153" i="56"/>
  <c r="K138" i="56"/>
  <c r="K139" i="56"/>
  <c r="P19" i="61"/>
  <c r="K21" i="46" s="1"/>
  <c r="P13" i="61"/>
  <c r="K11" i="46" s="1"/>
  <c r="P14" i="61"/>
  <c r="K13" i="46" s="1"/>
  <c r="G44" i="57"/>
  <c r="K44" i="57" s="1"/>
  <c r="P16" i="32"/>
  <c r="C14" i="32"/>
  <c r="D14" i="32" s="1"/>
  <c r="E14" i="32" s="1"/>
  <c r="F14" i="32" s="1"/>
  <c r="E12" i="50" s="1"/>
  <c r="E14" i="50" l="1"/>
  <c r="E34" i="50" s="1"/>
  <c r="E35" i="50" l="1"/>
  <c r="E36" i="50" s="1"/>
  <c r="F34" i="50"/>
  <c r="F35" i="50" l="1"/>
  <c r="F36" i="50" s="1"/>
  <c r="J50" i="50"/>
  <c r="J48" i="50"/>
  <c r="N56" i="50" s="1"/>
  <c r="J51" i="50"/>
  <c r="H16" i="42"/>
  <c r="G18" i="42"/>
  <c r="G64" i="56"/>
  <c r="G76" i="56" s="1"/>
  <c r="G64" i="46"/>
  <c r="G76" i="46" s="1"/>
  <c r="F63" i="46"/>
  <c r="F75" i="46" s="1"/>
  <c r="F63" i="56"/>
  <c r="F75" i="56" s="1"/>
  <c r="F17" i="42"/>
  <c r="I18" i="42"/>
  <c r="I64" i="56"/>
  <c r="I76" i="56" s="1"/>
  <c r="I64" i="46"/>
  <c r="I76" i="46" s="1"/>
  <c r="H62" i="56"/>
  <c r="H74" i="56" s="1"/>
  <c r="H65" i="56"/>
  <c r="H77" i="56" s="1"/>
  <c r="H65" i="46"/>
  <c r="H77" i="46" s="1"/>
  <c r="H19" i="42"/>
  <c r="I19" i="42"/>
  <c r="I65" i="56"/>
  <c r="I77" i="56" s="1"/>
  <c r="I65" i="46"/>
  <c r="I77" i="46" s="1"/>
  <c r="D64" i="46"/>
  <c r="D76" i="46" s="1"/>
  <c r="D64" i="56"/>
  <c r="D76" i="56" s="1"/>
  <c r="D18" i="42"/>
  <c r="F64" i="56"/>
  <c r="F76" i="56" s="1"/>
  <c r="F18" i="42"/>
  <c r="F64" i="46"/>
  <c r="F76" i="46" s="1"/>
  <c r="H63" i="56"/>
  <c r="H75" i="56" s="1"/>
  <c r="H17" i="42"/>
  <c r="H63" i="46"/>
  <c r="H75" i="46" s="1"/>
  <c r="I62" i="56"/>
  <c r="I74" i="56" s="1"/>
  <c r="I62" i="46"/>
  <c r="I74" i="46" s="1"/>
  <c r="I16" i="42"/>
  <c r="D16" i="42"/>
  <c r="D62" i="56"/>
  <c r="D74" i="56" s="1"/>
  <c r="D62" i="46"/>
  <c r="D74" i="46" s="1"/>
  <c r="G16" i="42"/>
  <c r="G62" i="56"/>
  <c r="G74" i="56" s="1"/>
  <c r="G62" i="46"/>
  <c r="G74" i="46" s="1"/>
  <c r="G65" i="56"/>
  <c r="G77" i="56" s="1"/>
  <c r="G65" i="46"/>
  <c r="G77" i="46" s="1"/>
  <c r="G19" i="42"/>
  <c r="G63" i="56"/>
  <c r="G75" i="56" s="1"/>
  <c r="G63" i="46"/>
  <c r="G75" i="46" s="1"/>
  <c r="G17" i="42"/>
  <c r="E65" i="56"/>
  <c r="E77" i="56" s="1"/>
  <c r="E19" i="42"/>
  <c r="E65" i="46"/>
  <c r="E77" i="46" s="1"/>
  <c r="E16" i="42"/>
  <c r="E62" i="56"/>
  <c r="E74" i="56" s="1"/>
  <c r="E62" i="46"/>
  <c r="E74" i="46" s="1"/>
  <c r="H18" i="42"/>
  <c r="H64" i="46"/>
  <c r="H76" i="46" s="1"/>
  <c r="H64" i="56"/>
  <c r="H76" i="56" s="1"/>
  <c r="I17" i="42"/>
  <c r="I63" i="56"/>
  <c r="I75" i="56" s="1"/>
  <c r="I63" i="46"/>
  <c r="I75" i="46" s="1"/>
  <c r="E64" i="46"/>
  <c r="E76" i="46" s="1"/>
  <c r="E64" i="56"/>
  <c r="E76" i="56" s="1"/>
  <c r="E18" i="42"/>
  <c r="D63" i="56"/>
  <c r="D75" i="56" s="1"/>
  <c r="D17" i="42"/>
  <c r="D63" i="46"/>
  <c r="D75" i="46" s="1"/>
  <c r="D65" i="46"/>
  <c r="D77" i="46" s="1"/>
  <c r="D65" i="56"/>
  <c r="D77" i="56" s="1"/>
  <c r="D19" i="42"/>
  <c r="E17" i="42"/>
  <c r="E63" i="56"/>
  <c r="E75" i="56" s="1"/>
  <c r="E63" i="46"/>
  <c r="E75" i="46" s="1"/>
  <c r="F62" i="46"/>
  <c r="F74" i="46" s="1"/>
  <c r="F62" i="56"/>
  <c r="F74" i="56" s="1"/>
  <c r="F16" i="42"/>
  <c r="F65" i="56"/>
  <c r="F77" i="56" s="1"/>
  <c r="F65" i="46"/>
  <c r="F77" i="46" s="1"/>
  <c r="F19" i="42"/>
  <c r="N58" i="50" l="1"/>
  <c r="D96" i="50" s="1"/>
  <c r="J73" i="50"/>
  <c r="J74" i="50"/>
  <c r="J75" i="50"/>
  <c r="J79" i="50"/>
  <c r="J76" i="50"/>
  <c r="J77" i="50"/>
  <c r="J78" i="50"/>
  <c r="N59" i="50"/>
  <c r="D97" i="50" s="1"/>
  <c r="J97" i="50" s="1"/>
  <c r="K48" i="50"/>
  <c r="O56" i="50" s="1"/>
  <c r="K49" i="50"/>
  <c r="O57" i="50" s="1"/>
  <c r="E95" i="50" s="1"/>
  <c r="K50" i="50"/>
  <c r="K51" i="50"/>
  <c r="J56" i="50"/>
  <c r="D94" i="50"/>
  <c r="N60" i="50"/>
  <c r="J58" i="50"/>
  <c r="I7" i="46"/>
  <c r="I14" i="42"/>
  <c r="I8" i="42"/>
  <c r="H5" i="47"/>
  <c r="H16" i="47" s="1"/>
  <c r="I7" i="56"/>
  <c r="E8" i="42"/>
  <c r="E7" i="56"/>
  <c r="E7" i="46"/>
  <c r="E61" i="56"/>
  <c r="E73" i="56" s="1"/>
  <c r="E123" i="56" s="1"/>
  <c r="D5" i="47"/>
  <c r="F7" i="56"/>
  <c r="F7" i="46"/>
  <c r="E5" i="47"/>
  <c r="F8" i="42"/>
  <c r="G7" i="46"/>
  <c r="F5" i="47"/>
  <c r="F13" i="47" s="1"/>
  <c r="G14" i="42"/>
  <c r="G59" i="56"/>
  <c r="G66" i="56" s="1"/>
  <c r="G8" i="42"/>
  <c r="G7" i="56"/>
  <c r="H8" i="42"/>
  <c r="H7" i="46"/>
  <c r="H7" i="56"/>
  <c r="G5" i="47"/>
  <c r="D7" i="56"/>
  <c r="D7" i="46"/>
  <c r="C5" i="47"/>
  <c r="C16" i="47" s="1"/>
  <c r="D8" i="42"/>
  <c r="H62" i="46"/>
  <c r="H74" i="46" s="1"/>
  <c r="H111" i="46" s="1"/>
  <c r="G112" i="46"/>
  <c r="G100" i="46"/>
  <c r="G88" i="46"/>
  <c r="G125" i="46"/>
  <c r="F140" i="46"/>
  <c r="F165" i="46"/>
  <c r="F153" i="56"/>
  <c r="N153" i="56" s="1"/>
  <c r="F52" i="56"/>
  <c r="N52" i="56" s="1"/>
  <c r="F153" i="46"/>
  <c r="F29" i="42"/>
  <c r="F52" i="46"/>
  <c r="F177" i="46"/>
  <c r="F140" i="56"/>
  <c r="N140" i="56" s="1"/>
  <c r="F165" i="56"/>
  <c r="F177" i="56"/>
  <c r="F40" i="56"/>
  <c r="N40" i="56" s="1"/>
  <c r="F40" i="46"/>
  <c r="D127" i="46"/>
  <c r="D114" i="46"/>
  <c r="D102" i="46"/>
  <c r="D90" i="46"/>
  <c r="E164" i="56"/>
  <c r="E176" i="56"/>
  <c r="E164" i="46"/>
  <c r="E51" i="56"/>
  <c r="M51" i="56" s="1"/>
  <c r="E51" i="46"/>
  <c r="E39" i="46"/>
  <c r="E176" i="46"/>
  <c r="E39" i="56"/>
  <c r="M39" i="56" s="1"/>
  <c r="E152" i="46"/>
  <c r="E152" i="56"/>
  <c r="M152" i="56" s="1"/>
  <c r="E139" i="56"/>
  <c r="M139" i="56" s="1"/>
  <c r="E139" i="46"/>
  <c r="E28" i="42"/>
  <c r="H101" i="46"/>
  <c r="H89" i="46"/>
  <c r="H126" i="46"/>
  <c r="H113" i="46"/>
  <c r="G27" i="42"/>
  <c r="G38" i="46"/>
  <c r="G50" i="56"/>
  <c r="O50" i="56" s="1"/>
  <c r="G38" i="56"/>
  <c r="O38" i="56" s="1"/>
  <c r="G175" i="46"/>
  <c r="G151" i="46"/>
  <c r="G138" i="46"/>
  <c r="G175" i="56"/>
  <c r="G138" i="56"/>
  <c r="O138" i="56" s="1"/>
  <c r="G163" i="56"/>
  <c r="G163" i="46"/>
  <c r="G151" i="56"/>
  <c r="O151" i="56" s="1"/>
  <c r="G50" i="46"/>
  <c r="G124" i="46"/>
  <c r="G111" i="46"/>
  <c r="G87" i="46"/>
  <c r="G99" i="46"/>
  <c r="I99" i="56"/>
  <c r="I124" i="56"/>
  <c r="I111" i="56"/>
  <c r="I87" i="56"/>
  <c r="Q74" i="56"/>
  <c r="F51" i="46"/>
  <c r="F176" i="46"/>
  <c r="F164" i="56"/>
  <c r="F176" i="56"/>
  <c r="F152" i="56"/>
  <c r="N152" i="56" s="1"/>
  <c r="F152" i="46"/>
  <c r="F164" i="46"/>
  <c r="F39" i="46"/>
  <c r="F139" i="46"/>
  <c r="F51" i="56"/>
  <c r="N51" i="56" s="1"/>
  <c r="F139" i="56"/>
  <c r="N139" i="56" s="1"/>
  <c r="F39" i="56"/>
  <c r="N39" i="56" s="1"/>
  <c r="F28" i="42"/>
  <c r="I90" i="46"/>
  <c r="I127" i="46"/>
  <c r="I114" i="46"/>
  <c r="I102" i="46"/>
  <c r="I101" i="46"/>
  <c r="I89" i="46"/>
  <c r="I113" i="46"/>
  <c r="I126" i="46"/>
  <c r="G176" i="46"/>
  <c r="G152" i="46"/>
  <c r="G164" i="46"/>
  <c r="G139" i="46"/>
  <c r="G139" i="56"/>
  <c r="O139" i="56" s="1"/>
  <c r="G51" i="56"/>
  <c r="O51" i="56" s="1"/>
  <c r="G164" i="56"/>
  <c r="G152" i="56"/>
  <c r="O152" i="56" s="1"/>
  <c r="G39" i="56"/>
  <c r="O39" i="56" s="1"/>
  <c r="G28" i="42"/>
  <c r="G176" i="56"/>
  <c r="G51" i="46"/>
  <c r="G39" i="46"/>
  <c r="F127" i="46"/>
  <c r="F114" i="46"/>
  <c r="F102" i="46"/>
  <c r="F90" i="46"/>
  <c r="F101" i="56"/>
  <c r="F113" i="56"/>
  <c r="N76" i="56"/>
  <c r="F89" i="56"/>
  <c r="F126" i="56"/>
  <c r="F37" i="56"/>
  <c r="N37" i="56" s="1"/>
  <c r="F162" i="56"/>
  <c r="F150" i="46"/>
  <c r="F37" i="46"/>
  <c r="F174" i="56"/>
  <c r="F162" i="46"/>
  <c r="F150" i="56"/>
  <c r="N150" i="56" s="1"/>
  <c r="F137" i="56"/>
  <c r="N137" i="56" s="1"/>
  <c r="F26" i="42"/>
  <c r="F49" i="46"/>
  <c r="F49" i="56"/>
  <c r="N49" i="56" s="1"/>
  <c r="F174" i="46"/>
  <c r="F137" i="46"/>
  <c r="F99" i="56"/>
  <c r="F124" i="56"/>
  <c r="F111" i="56"/>
  <c r="F87" i="56"/>
  <c r="N74" i="56"/>
  <c r="D125" i="56"/>
  <c r="D112" i="56"/>
  <c r="D88" i="56"/>
  <c r="L75" i="56"/>
  <c r="D100" i="56"/>
  <c r="E99" i="56"/>
  <c r="E124" i="56"/>
  <c r="E111" i="56"/>
  <c r="E87" i="56"/>
  <c r="M74" i="56"/>
  <c r="D99" i="46"/>
  <c r="D87" i="46"/>
  <c r="D111" i="46"/>
  <c r="D124" i="46"/>
  <c r="H125" i="56"/>
  <c r="H112" i="56"/>
  <c r="H100" i="56"/>
  <c r="P75" i="56"/>
  <c r="H88" i="56"/>
  <c r="D126" i="56"/>
  <c r="D113" i="56"/>
  <c r="D101" i="56"/>
  <c r="D89" i="56"/>
  <c r="L76" i="56"/>
  <c r="H127" i="46"/>
  <c r="H114" i="46"/>
  <c r="H90" i="46"/>
  <c r="H102" i="46"/>
  <c r="F27" i="42"/>
  <c r="F163" i="46"/>
  <c r="F38" i="56"/>
  <c r="N38" i="56" s="1"/>
  <c r="F175" i="46"/>
  <c r="F151" i="56"/>
  <c r="N151" i="56" s="1"/>
  <c r="F138" i="46"/>
  <c r="F151" i="46"/>
  <c r="F175" i="56"/>
  <c r="F50" i="46"/>
  <c r="F163" i="56"/>
  <c r="F50" i="56"/>
  <c r="N50" i="56" s="1"/>
  <c r="F138" i="56"/>
  <c r="N138" i="56" s="1"/>
  <c r="F38" i="46"/>
  <c r="E101" i="56"/>
  <c r="E113" i="56"/>
  <c r="E126" i="56"/>
  <c r="E89" i="56"/>
  <c r="M76" i="56"/>
  <c r="I102" i="56"/>
  <c r="I127" i="56"/>
  <c r="I114" i="56"/>
  <c r="I90" i="56"/>
  <c r="Q77" i="56"/>
  <c r="D27" i="42"/>
  <c r="D163" i="46"/>
  <c r="D138" i="46"/>
  <c r="D38" i="46"/>
  <c r="D151" i="56"/>
  <c r="L151" i="56" s="1"/>
  <c r="D38" i="56"/>
  <c r="L38" i="56" s="1"/>
  <c r="D50" i="56"/>
  <c r="L50" i="56" s="1"/>
  <c r="D163" i="56"/>
  <c r="D175" i="56"/>
  <c r="D175" i="46"/>
  <c r="D50" i="46"/>
  <c r="D138" i="56"/>
  <c r="L138" i="56" s="1"/>
  <c r="D151" i="46"/>
  <c r="G100" i="56"/>
  <c r="G125" i="56"/>
  <c r="G112" i="56"/>
  <c r="G88" i="56"/>
  <c r="O75" i="56"/>
  <c r="G150" i="56"/>
  <c r="O150" i="56" s="1"/>
  <c r="G162" i="46"/>
  <c r="G137" i="56"/>
  <c r="O137" i="56" s="1"/>
  <c r="G150" i="46"/>
  <c r="G37" i="56"/>
  <c r="O37" i="56" s="1"/>
  <c r="G37" i="46"/>
  <c r="G174" i="46"/>
  <c r="G174" i="56"/>
  <c r="G137" i="46"/>
  <c r="G162" i="56"/>
  <c r="G26" i="42"/>
  <c r="G49" i="46"/>
  <c r="G49" i="56"/>
  <c r="O49" i="56" s="1"/>
  <c r="D28" i="42"/>
  <c r="D152" i="46"/>
  <c r="D39" i="56"/>
  <c r="L39" i="56" s="1"/>
  <c r="D139" i="56"/>
  <c r="L139" i="56" s="1"/>
  <c r="D51" i="56"/>
  <c r="L51" i="56" s="1"/>
  <c r="D164" i="46"/>
  <c r="D164" i="56"/>
  <c r="D39" i="46"/>
  <c r="D51" i="46"/>
  <c r="D176" i="56"/>
  <c r="D139" i="46"/>
  <c r="D152" i="56"/>
  <c r="L152" i="56" s="1"/>
  <c r="D176" i="46"/>
  <c r="I52" i="56"/>
  <c r="Q52" i="56" s="1"/>
  <c r="I40" i="46"/>
  <c r="I40" i="56"/>
  <c r="Q40" i="56" s="1"/>
  <c r="I177" i="46"/>
  <c r="I165" i="56"/>
  <c r="I153" i="46"/>
  <c r="I153" i="56"/>
  <c r="Q153" i="56" s="1"/>
  <c r="I177" i="56"/>
  <c r="I52" i="46"/>
  <c r="I140" i="46"/>
  <c r="I165" i="46"/>
  <c r="I140" i="56"/>
  <c r="Q140" i="56" s="1"/>
  <c r="I29" i="42"/>
  <c r="I176" i="56"/>
  <c r="I152" i="46"/>
  <c r="I28" i="42"/>
  <c r="I139" i="46"/>
  <c r="I51" i="56"/>
  <c r="Q51" i="56" s="1"/>
  <c r="I51" i="46"/>
  <c r="I164" i="56"/>
  <c r="I39" i="46"/>
  <c r="I176" i="46"/>
  <c r="I164" i="46"/>
  <c r="I152" i="56"/>
  <c r="Q152" i="56" s="1"/>
  <c r="I39" i="56"/>
  <c r="Q39" i="56" s="1"/>
  <c r="I139" i="56"/>
  <c r="Q139" i="56" s="1"/>
  <c r="F124" i="46"/>
  <c r="F111" i="46"/>
  <c r="F99" i="46"/>
  <c r="F87" i="46"/>
  <c r="I125" i="46"/>
  <c r="I112" i="46"/>
  <c r="I100" i="46"/>
  <c r="I88" i="46"/>
  <c r="E162" i="46"/>
  <c r="E49" i="56"/>
  <c r="M49" i="56" s="1"/>
  <c r="E37" i="46"/>
  <c r="E37" i="56"/>
  <c r="M37" i="56" s="1"/>
  <c r="E26" i="42"/>
  <c r="E150" i="56"/>
  <c r="M150" i="56" s="1"/>
  <c r="E174" i="56"/>
  <c r="E162" i="56"/>
  <c r="E137" i="46"/>
  <c r="E137" i="56"/>
  <c r="M137" i="56" s="1"/>
  <c r="E49" i="46"/>
  <c r="E174" i="46"/>
  <c r="E150" i="46"/>
  <c r="D124" i="56"/>
  <c r="L74" i="56"/>
  <c r="D111" i="56"/>
  <c r="D87" i="56"/>
  <c r="D99" i="56"/>
  <c r="D126" i="46"/>
  <c r="D113" i="46"/>
  <c r="D101" i="46"/>
  <c r="D89" i="46"/>
  <c r="H102" i="56"/>
  <c r="H127" i="56"/>
  <c r="H114" i="56"/>
  <c r="H90" i="56"/>
  <c r="P77" i="56"/>
  <c r="F100" i="56"/>
  <c r="F125" i="56"/>
  <c r="F112" i="56"/>
  <c r="N75" i="56"/>
  <c r="F88" i="56"/>
  <c r="D112" i="46"/>
  <c r="D100" i="46"/>
  <c r="D88" i="46"/>
  <c r="D125" i="46"/>
  <c r="H51" i="56"/>
  <c r="P51" i="56" s="1"/>
  <c r="H39" i="46"/>
  <c r="H176" i="46"/>
  <c r="H176" i="56"/>
  <c r="H152" i="46"/>
  <c r="H51" i="46"/>
  <c r="H139" i="56"/>
  <c r="P139" i="56" s="1"/>
  <c r="H152" i="56"/>
  <c r="P152" i="56" s="1"/>
  <c r="H28" i="42"/>
  <c r="H139" i="46"/>
  <c r="H164" i="56"/>
  <c r="H164" i="46"/>
  <c r="H39" i="56"/>
  <c r="P39" i="56" s="1"/>
  <c r="H125" i="46"/>
  <c r="H112" i="46"/>
  <c r="H100" i="46"/>
  <c r="H88" i="46"/>
  <c r="E126" i="46"/>
  <c r="E113" i="46"/>
  <c r="E89" i="46"/>
  <c r="E101" i="46"/>
  <c r="H151" i="46"/>
  <c r="H38" i="46"/>
  <c r="H163" i="56"/>
  <c r="H38" i="56"/>
  <c r="P38" i="56" s="1"/>
  <c r="H138" i="46"/>
  <c r="H163" i="46"/>
  <c r="H50" i="56"/>
  <c r="P50" i="56" s="1"/>
  <c r="H175" i="46"/>
  <c r="H27" i="42"/>
  <c r="H175" i="56"/>
  <c r="H151" i="56"/>
  <c r="P151" i="56" s="1"/>
  <c r="H50" i="46"/>
  <c r="H138" i="56"/>
  <c r="P138" i="56" s="1"/>
  <c r="H40" i="46"/>
  <c r="H165" i="56"/>
  <c r="H153" i="46"/>
  <c r="H29" i="42"/>
  <c r="H177" i="56"/>
  <c r="H52" i="46"/>
  <c r="H140" i="56"/>
  <c r="P140" i="56" s="1"/>
  <c r="H140" i="46"/>
  <c r="H52" i="56"/>
  <c r="P52" i="56" s="1"/>
  <c r="H177" i="46"/>
  <c r="H153" i="56"/>
  <c r="P153" i="56" s="1"/>
  <c r="H40" i="56"/>
  <c r="P40" i="56" s="1"/>
  <c r="H165" i="46"/>
  <c r="E100" i="46"/>
  <c r="E88" i="46"/>
  <c r="E112" i="46"/>
  <c r="E125" i="46"/>
  <c r="I112" i="56"/>
  <c r="I100" i="56"/>
  <c r="I125" i="56"/>
  <c r="I88" i="56"/>
  <c r="Q75" i="56"/>
  <c r="E114" i="46"/>
  <c r="E102" i="46"/>
  <c r="E90" i="46"/>
  <c r="E127" i="46"/>
  <c r="G40" i="46"/>
  <c r="G165" i="56"/>
  <c r="G153" i="46"/>
  <c r="G29" i="42"/>
  <c r="G177" i="56"/>
  <c r="G177" i="46"/>
  <c r="G140" i="56"/>
  <c r="O140" i="56" s="1"/>
  <c r="G52" i="46"/>
  <c r="G52" i="56"/>
  <c r="O52" i="56" s="1"/>
  <c r="G40" i="56"/>
  <c r="O40" i="56" s="1"/>
  <c r="G153" i="56"/>
  <c r="O153" i="56" s="1"/>
  <c r="G140" i="46"/>
  <c r="G165" i="46"/>
  <c r="D162" i="56"/>
  <c r="D150" i="46"/>
  <c r="D49" i="46"/>
  <c r="D137" i="56"/>
  <c r="L137" i="56" s="1"/>
  <c r="D162" i="46"/>
  <c r="D137" i="46"/>
  <c r="D37" i="56"/>
  <c r="L37" i="56" s="1"/>
  <c r="D37" i="46"/>
  <c r="D150" i="56"/>
  <c r="L150" i="56" s="1"/>
  <c r="D49" i="56"/>
  <c r="L49" i="56" s="1"/>
  <c r="D26" i="42"/>
  <c r="D174" i="46"/>
  <c r="D174" i="56"/>
  <c r="H49" i="46"/>
  <c r="H26" i="42"/>
  <c r="H49" i="56"/>
  <c r="P49" i="56" s="1"/>
  <c r="H150" i="46"/>
  <c r="H150" i="56"/>
  <c r="P150" i="56" s="1"/>
  <c r="H137" i="46"/>
  <c r="H174" i="56"/>
  <c r="H162" i="56"/>
  <c r="H137" i="56"/>
  <c r="P137" i="56" s="1"/>
  <c r="H37" i="46"/>
  <c r="H37" i="56"/>
  <c r="P37" i="56" s="1"/>
  <c r="H162" i="46"/>
  <c r="H174" i="46"/>
  <c r="F100" i="46"/>
  <c r="F88" i="46"/>
  <c r="F112" i="46"/>
  <c r="F125" i="46"/>
  <c r="F102" i="56"/>
  <c r="F114" i="56"/>
  <c r="N77" i="56"/>
  <c r="F127" i="56"/>
  <c r="F90" i="56"/>
  <c r="E124" i="46"/>
  <c r="E111" i="46"/>
  <c r="E99" i="46"/>
  <c r="E87" i="46"/>
  <c r="D165" i="46"/>
  <c r="D177" i="46"/>
  <c r="D153" i="56"/>
  <c r="L153" i="56" s="1"/>
  <c r="D52" i="56"/>
  <c r="L52" i="56" s="1"/>
  <c r="D140" i="46"/>
  <c r="D40" i="56"/>
  <c r="L40" i="56" s="1"/>
  <c r="D40" i="46"/>
  <c r="D177" i="56"/>
  <c r="D29" i="42"/>
  <c r="D52" i="46"/>
  <c r="D165" i="56"/>
  <c r="D153" i="46"/>
  <c r="D140" i="56"/>
  <c r="L140" i="56" s="1"/>
  <c r="I27" i="42"/>
  <c r="I38" i="46"/>
  <c r="I151" i="56"/>
  <c r="Q151" i="56" s="1"/>
  <c r="I38" i="56"/>
  <c r="Q38" i="56" s="1"/>
  <c r="I138" i="56"/>
  <c r="Q138" i="56" s="1"/>
  <c r="I163" i="46"/>
  <c r="I175" i="56"/>
  <c r="I163" i="56"/>
  <c r="I50" i="46"/>
  <c r="I151" i="46"/>
  <c r="I175" i="46"/>
  <c r="I138" i="46"/>
  <c r="I50" i="56"/>
  <c r="Q50" i="56" s="1"/>
  <c r="E153" i="46"/>
  <c r="E52" i="46"/>
  <c r="E153" i="56"/>
  <c r="M153" i="56" s="1"/>
  <c r="E40" i="56"/>
  <c r="M40" i="56" s="1"/>
  <c r="E165" i="46"/>
  <c r="E177" i="56"/>
  <c r="E140" i="46"/>
  <c r="E40" i="46"/>
  <c r="E29" i="42"/>
  <c r="E165" i="56"/>
  <c r="E52" i="56"/>
  <c r="M52" i="56" s="1"/>
  <c r="E177" i="46"/>
  <c r="E140" i="56"/>
  <c r="M140" i="56" s="1"/>
  <c r="G127" i="46"/>
  <c r="G114" i="46"/>
  <c r="G102" i="46"/>
  <c r="G90" i="46"/>
  <c r="I137" i="56"/>
  <c r="Q137" i="56" s="1"/>
  <c r="I162" i="46"/>
  <c r="I174" i="46"/>
  <c r="I137" i="46"/>
  <c r="I174" i="56"/>
  <c r="I150" i="46"/>
  <c r="I26" i="42"/>
  <c r="I37" i="46"/>
  <c r="I162" i="56"/>
  <c r="I37" i="56"/>
  <c r="Q37" i="56" s="1"/>
  <c r="I150" i="56"/>
  <c r="Q150" i="56" s="1"/>
  <c r="I49" i="56"/>
  <c r="Q49" i="56" s="1"/>
  <c r="I49" i="46"/>
  <c r="H124" i="56"/>
  <c r="H111" i="56"/>
  <c r="H99" i="56"/>
  <c r="H87" i="56"/>
  <c r="P74" i="56"/>
  <c r="G89" i="46"/>
  <c r="G126" i="46"/>
  <c r="G101" i="46"/>
  <c r="G113" i="46"/>
  <c r="G124" i="56"/>
  <c r="G111" i="56"/>
  <c r="G99" i="56"/>
  <c r="G87" i="56"/>
  <c r="O74" i="56"/>
  <c r="I126" i="56"/>
  <c r="I113" i="56"/>
  <c r="I101" i="56"/>
  <c r="I89" i="56"/>
  <c r="Q76" i="56"/>
  <c r="E100" i="56"/>
  <c r="E125" i="56"/>
  <c r="E112" i="56"/>
  <c r="M75" i="56"/>
  <c r="E88" i="56"/>
  <c r="E27" i="42"/>
  <c r="E50" i="56"/>
  <c r="M50" i="56" s="1"/>
  <c r="E38" i="46"/>
  <c r="E175" i="46"/>
  <c r="E138" i="46"/>
  <c r="E175" i="56"/>
  <c r="E163" i="56"/>
  <c r="E151" i="46"/>
  <c r="E50" i="46"/>
  <c r="E151" i="56"/>
  <c r="M151" i="56" s="1"/>
  <c r="E163" i="46"/>
  <c r="E38" i="56"/>
  <c r="M38" i="56" s="1"/>
  <c r="E138" i="56"/>
  <c r="M138" i="56" s="1"/>
  <c r="D102" i="56"/>
  <c r="D127" i="56"/>
  <c r="D114" i="56"/>
  <c r="L77" i="56"/>
  <c r="D90" i="56"/>
  <c r="H101" i="56"/>
  <c r="H126" i="56"/>
  <c r="H113" i="56"/>
  <c r="H89" i="56"/>
  <c r="P76" i="56"/>
  <c r="E114" i="56"/>
  <c r="E102" i="56"/>
  <c r="E127" i="56"/>
  <c r="E90" i="56"/>
  <c r="M77" i="56"/>
  <c r="G102" i="56"/>
  <c r="G127" i="56"/>
  <c r="G114" i="56"/>
  <c r="O77" i="56"/>
  <c r="G90" i="56"/>
  <c r="I87" i="46"/>
  <c r="I124" i="46"/>
  <c r="I99" i="46"/>
  <c r="I111" i="46"/>
  <c r="F89" i="46"/>
  <c r="F126" i="46"/>
  <c r="F113" i="46"/>
  <c r="F101" i="46"/>
  <c r="G101" i="56"/>
  <c r="G126" i="56"/>
  <c r="G113" i="56"/>
  <c r="O76" i="56"/>
  <c r="G89" i="56"/>
  <c r="J94" i="50" l="1"/>
  <c r="D98" i="50"/>
  <c r="K76" i="50"/>
  <c r="L76" i="50" s="1"/>
  <c r="K73" i="50"/>
  <c r="L73" i="50" s="1"/>
  <c r="K77" i="50"/>
  <c r="L77" i="50" s="1"/>
  <c r="K74" i="50"/>
  <c r="L74" i="50" s="1"/>
  <c r="K78" i="50"/>
  <c r="L78" i="50" s="1"/>
  <c r="K75" i="50"/>
  <c r="L75" i="50" s="1"/>
  <c r="K79" i="50"/>
  <c r="K95" i="50"/>
  <c r="L95" i="50" s="1"/>
  <c r="F95" i="50"/>
  <c r="O58" i="50"/>
  <c r="E96" i="50" s="1"/>
  <c r="K96" i="50" s="1"/>
  <c r="O59" i="50"/>
  <c r="E97" i="50" s="1"/>
  <c r="H124" i="46"/>
  <c r="J60" i="50"/>
  <c r="E94" i="50"/>
  <c r="L51" i="50"/>
  <c r="P57" i="50"/>
  <c r="L49" i="50"/>
  <c r="K57" i="50"/>
  <c r="K58" i="50"/>
  <c r="L48" i="50"/>
  <c r="L50" i="50"/>
  <c r="K56" i="50"/>
  <c r="P56" i="50"/>
  <c r="D86" i="50"/>
  <c r="D88" i="50"/>
  <c r="J88" i="50" s="1"/>
  <c r="G27" i="50" s="1"/>
  <c r="J80" i="50"/>
  <c r="G25" i="50" s="1"/>
  <c r="H87" i="46"/>
  <c r="H99" i="46"/>
  <c r="H15" i="47"/>
  <c r="F16" i="47"/>
  <c r="E98" i="56"/>
  <c r="K52" i="50"/>
  <c r="M73" i="56"/>
  <c r="E110" i="56"/>
  <c r="E86" i="56"/>
  <c r="F61" i="56"/>
  <c r="F73" i="56" s="1"/>
  <c r="H10" i="47"/>
  <c r="H13" i="47"/>
  <c r="I160" i="56"/>
  <c r="I47" i="56"/>
  <c r="Q47" i="56" s="1"/>
  <c r="I35" i="46"/>
  <c r="I148" i="56"/>
  <c r="Q148" i="56" s="1"/>
  <c r="I47" i="46"/>
  <c r="I135" i="46"/>
  <c r="I35" i="56"/>
  <c r="Q35" i="56" s="1"/>
  <c r="I172" i="46"/>
  <c r="I172" i="56"/>
  <c r="I24" i="42"/>
  <c r="I148" i="46"/>
  <c r="H12" i="47"/>
  <c r="G35" i="46"/>
  <c r="G135" i="56"/>
  <c r="O135" i="56" s="1"/>
  <c r="C10" i="47"/>
  <c r="J52" i="50"/>
  <c r="G135" i="46"/>
  <c r="I135" i="56"/>
  <c r="Q135" i="56" s="1"/>
  <c r="F15" i="42"/>
  <c r="G160" i="56"/>
  <c r="C11" i="47"/>
  <c r="I160" i="46"/>
  <c r="E61" i="46"/>
  <c r="E73" i="46" s="1"/>
  <c r="G10" i="47"/>
  <c r="G15" i="47"/>
  <c r="G11" i="47"/>
  <c r="G16" i="47"/>
  <c r="G12" i="47"/>
  <c r="G14" i="47"/>
  <c r="G13" i="47"/>
  <c r="D59" i="56"/>
  <c r="D59" i="46"/>
  <c r="D13" i="42"/>
  <c r="H60" i="46"/>
  <c r="H72" i="46" s="1"/>
  <c r="H14" i="42"/>
  <c r="H60" i="56"/>
  <c r="H72" i="56" s="1"/>
  <c r="E15" i="47"/>
  <c r="E10" i="47"/>
  <c r="E16" i="47"/>
  <c r="E14" i="47"/>
  <c r="E12" i="47"/>
  <c r="E13" i="47"/>
  <c r="E11" i="47"/>
  <c r="D11" i="47"/>
  <c r="D13" i="47"/>
  <c r="D10" i="47"/>
  <c r="D15" i="47"/>
  <c r="D16" i="47"/>
  <c r="D14" i="47"/>
  <c r="D12" i="47"/>
  <c r="I61" i="46"/>
  <c r="I73" i="46" s="1"/>
  <c r="I15" i="42"/>
  <c r="I61" i="56"/>
  <c r="I73" i="56" s="1"/>
  <c r="D60" i="46"/>
  <c r="D72" i="46" s="1"/>
  <c r="D60" i="56"/>
  <c r="D72" i="56" s="1"/>
  <c r="D14" i="42"/>
  <c r="H59" i="46"/>
  <c r="H59" i="56"/>
  <c r="H13" i="42"/>
  <c r="E13" i="42"/>
  <c r="E59" i="46"/>
  <c r="E59" i="56"/>
  <c r="D61" i="46"/>
  <c r="D73" i="46" s="1"/>
  <c r="D15" i="42"/>
  <c r="G13" i="42"/>
  <c r="G59" i="46"/>
  <c r="D61" i="56"/>
  <c r="D73" i="56" s="1"/>
  <c r="C15" i="47"/>
  <c r="C13" i="47"/>
  <c r="C12" i="47"/>
  <c r="C14" i="47"/>
  <c r="H61" i="46"/>
  <c r="H73" i="46" s="1"/>
  <c r="H15" i="42"/>
  <c r="H61" i="56"/>
  <c r="H73" i="56" s="1"/>
  <c r="G60" i="46"/>
  <c r="G72" i="46" s="1"/>
  <c r="G60" i="56"/>
  <c r="G72" i="56" s="1"/>
  <c r="I59" i="46"/>
  <c r="I59" i="56"/>
  <c r="I13" i="42"/>
  <c r="F10" i="47"/>
  <c r="F12" i="47"/>
  <c r="F15" i="47"/>
  <c r="F14" i="47"/>
  <c r="F13" i="42"/>
  <c r="F59" i="56"/>
  <c r="F59" i="46"/>
  <c r="E14" i="42"/>
  <c r="E60" i="56"/>
  <c r="E72" i="56" s="1"/>
  <c r="E60" i="46"/>
  <c r="E72" i="46" s="1"/>
  <c r="F61" i="46"/>
  <c r="F73" i="46" s="1"/>
  <c r="F60" i="56"/>
  <c r="F72" i="56" s="1"/>
  <c r="F60" i="46"/>
  <c r="F72" i="46" s="1"/>
  <c r="F14" i="42"/>
  <c r="I60" i="46"/>
  <c r="I72" i="46" s="1"/>
  <c r="I60" i="56"/>
  <c r="I72" i="56" s="1"/>
  <c r="H11" i="47"/>
  <c r="E15" i="42"/>
  <c r="F11" i="47"/>
  <c r="H14" i="47"/>
  <c r="G61" i="56"/>
  <c r="G73" i="56" s="1"/>
  <c r="G61" i="46"/>
  <c r="G73" i="46" s="1"/>
  <c r="G15" i="42"/>
  <c r="G47" i="46"/>
  <c r="G172" i="56"/>
  <c r="G148" i="46"/>
  <c r="G71" i="56"/>
  <c r="G84" i="56" s="1"/>
  <c r="G148" i="56"/>
  <c r="O148" i="56" s="1"/>
  <c r="G35" i="56"/>
  <c r="O35" i="56" s="1"/>
  <c r="G160" i="46"/>
  <c r="G47" i="56"/>
  <c r="O47" i="56" s="1"/>
  <c r="G24" i="42"/>
  <c r="G172" i="46"/>
  <c r="G73" i="50" l="1"/>
  <c r="G78" i="50"/>
  <c r="G77" i="50"/>
  <c r="G74" i="50"/>
  <c r="G79" i="50"/>
  <c r="G76" i="50"/>
  <c r="G75" i="50"/>
  <c r="E98" i="50"/>
  <c r="O60" i="50"/>
  <c r="J86" i="50"/>
  <c r="D89" i="50"/>
  <c r="L57" i="50"/>
  <c r="E87" i="50"/>
  <c r="P59" i="50"/>
  <c r="K97" i="50"/>
  <c r="L97" i="50" s="1"/>
  <c r="F97" i="50"/>
  <c r="J96" i="50"/>
  <c r="J98" i="50" s="1"/>
  <c r="F94" i="50"/>
  <c r="K94" i="50"/>
  <c r="L58" i="50"/>
  <c r="K60" i="50"/>
  <c r="E88" i="50"/>
  <c r="P58" i="50"/>
  <c r="P60" i="50" s="1"/>
  <c r="F28" i="50" s="1"/>
  <c r="L52" i="50"/>
  <c r="K80" i="50"/>
  <c r="H25" i="50" s="1"/>
  <c r="L56" i="50"/>
  <c r="L79" i="50"/>
  <c r="E86" i="50"/>
  <c r="F96" i="50"/>
  <c r="O71" i="56"/>
  <c r="O78" i="56" s="1"/>
  <c r="O14" i="56" s="1"/>
  <c r="H17" i="47"/>
  <c r="G78" i="56"/>
  <c r="G14" i="56" s="1"/>
  <c r="G121" i="56"/>
  <c r="G128" i="56" s="1"/>
  <c r="G96" i="56"/>
  <c r="G103" i="56" s="1"/>
  <c r="F29" i="62"/>
  <c r="F43" i="62" s="1"/>
  <c r="D17" i="47"/>
  <c r="E17" i="47"/>
  <c r="F110" i="56"/>
  <c r="F98" i="56"/>
  <c r="N73" i="56"/>
  <c r="F86" i="56"/>
  <c r="F123" i="56"/>
  <c r="G17" i="47"/>
  <c r="F30" i="62"/>
  <c r="F44" i="62" s="1"/>
  <c r="G108" i="56"/>
  <c r="G115" i="56" s="1"/>
  <c r="H25" i="62"/>
  <c r="H39" i="62" s="1"/>
  <c r="F31" i="62"/>
  <c r="F45" i="62" s="1"/>
  <c r="G20" i="42"/>
  <c r="H30" i="62"/>
  <c r="H44" i="62" s="1"/>
  <c r="C17" i="47"/>
  <c r="F17" i="47"/>
  <c r="E86" i="46"/>
  <c r="E123" i="46"/>
  <c r="E110" i="46"/>
  <c r="E98" i="46"/>
  <c r="F26" i="62"/>
  <c r="F40" i="62" s="1"/>
  <c r="F27" i="62"/>
  <c r="F41" i="62" s="1"/>
  <c r="H32" i="62"/>
  <c r="H46" i="62" s="1"/>
  <c r="F48" i="46"/>
  <c r="F48" i="56"/>
  <c r="N48" i="56" s="1"/>
  <c r="F36" i="46"/>
  <c r="F136" i="56"/>
  <c r="N136" i="56" s="1"/>
  <c r="F149" i="56"/>
  <c r="N149" i="56" s="1"/>
  <c r="F149" i="46"/>
  <c r="F173" i="56"/>
  <c r="F36" i="56"/>
  <c r="N36" i="56" s="1"/>
  <c r="F136" i="46"/>
  <c r="F173" i="46"/>
  <c r="F25" i="42"/>
  <c r="F161" i="46"/>
  <c r="F161" i="56"/>
  <c r="F28" i="62"/>
  <c r="F42" i="62" s="1"/>
  <c r="F32" i="62"/>
  <c r="F46" i="62" s="1"/>
  <c r="F23" i="62"/>
  <c r="F37" i="62" s="1"/>
  <c r="F47" i="62" s="1"/>
  <c r="F32" i="47" s="1"/>
  <c r="F24" i="62"/>
  <c r="F38" i="62" s="1"/>
  <c r="I20" i="42"/>
  <c r="E48" i="56"/>
  <c r="M48" i="56" s="1"/>
  <c r="E48" i="46"/>
  <c r="E149" i="56"/>
  <c r="M149" i="56" s="1"/>
  <c r="E136" i="56"/>
  <c r="M136" i="56" s="1"/>
  <c r="E161" i="56"/>
  <c r="E136" i="46"/>
  <c r="E149" i="46"/>
  <c r="E36" i="56"/>
  <c r="M36" i="56" s="1"/>
  <c r="E36" i="46"/>
  <c r="E25" i="42"/>
  <c r="E161" i="46"/>
  <c r="E173" i="46"/>
  <c r="E173" i="56"/>
  <c r="E97" i="46"/>
  <c r="E109" i="46"/>
  <c r="E122" i="46"/>
  <c r="E85" i="46"/>
  <c r="G122" i="46"/>
  <c r="G97" i="46"/>
  <c r="G109" i="46"/>
  <c r="G85" i="46"/>
  <c r="D86" i="56"/>
  <c r="L73" i="56"/>
  <c r="D98" i="56"/>
  <c r="D123" i="56"/>
  <c r="D110" i="56"/>
  <c r="D29" i="62"/>
  <c r="E34" i="46"/>
  <c r="E171" i="56"/>
  <c r="D31" i="62"/>
  <c r="D23" i="62"/>
  <c r="D32" i="62"/>
  <c r="D28" i="62"/>
  <c r="E46" i="46"/>
  <c r="E46" i="56"/>
  <c r="E20" i="42"/>
  <c r="E159" i="46"/>
  <c r="E147" i="46"/>
  <c r="D30" i="62"/>
  <c r="E23" i="42"/>
  <c r="E30" i="42" s="1"/>
  <c r="D22" i="47" s="1"/>
  <c r="E134" i="56"/>
  <c r="D24" i="62"/>
  <c r="D25" i="62"/>
  <c r="E159" i="56"/>
  <c r="E134" i="46"/>
  <c r="E147" i="56"/>
  <c r="E34" i="56"/>
  <c r="D27" i="62"/>
  <c r="D7" i="47"/>
  <c r="D26" i="62"/>
  <c r="E171" i="46"/>
  <c r="I98" i="56"/>
  <c r="I123" i="56"/>
  <c r="I110" i="56"/>
  <c r="Q73" i="56"/>
  <c r="I86" i="56"/>
  <c r="H24" i="62"/>
  <c r="E122" i="56"/>
  <c r="E97" i="56"/>
  <c r="M72" i="56"/>
  <c r="E109" i="56"/>
  <c r="E85" i="56"/>
  <c r="H86" i="56"/>
  <c r="P73" i="56"/>
  <c r="H123" i="56"/>
  <c r="H110" i="56"/>
  <c r="H98" i="56"/>
  <c r="G71" i="46"/>
  <c r="G66" i="46"/>
  <c r="G29" i="62"/>
  <c r="G31" i="62"/>
  <c r="G23" i="62"/>
  <c r="G24" i="62"/>
  <c r="H46" i="56"/>
  <c r="G30" i="62"/>
  <c r="H159" i="56"/>
  <c r="G25" i="62"/>
  <c r="H159" i="46"/>
  <c r="G26" i="62"/>
  <c r="H34" i="56"/>
  <c r="H34" i="46"/>
  <c r="H46" i="46"/>
  <c r="G28" i="62"/>
  <c r="G32" i="62"/>
  <c r="H20" i="42"/>
  <c r="G27" i="62"/>
  <c r="H147" i="46"/>
  <c r="H171" i="46"/>
  <c r="H134" i="56"/>
  <c r="H147" i="56"/>
  <c r="H171" i="56"/>
  <c r="H134" i="46"/>
  <c r="H23" i="42"/>
  <c r="H30" i="42" s="1"/>
  <c r="G22" i="47" s="1"/>
  <c r="G7" i="47"/>
  <c r="I161" i="46"/>
  <c r="I161" i="56"/>
  <c r="I48" i="56"/>
  <c r="Q48" i="56" s="1"/>
  <c r="I36" i="46"/>
  <c r="I136" i="46"/>
  <c r="I149" i="56"/>
  <c r="Q149" i="56" s="1"/>
  <c r="I173" i="46"/>
  <c r="I149" i="46"/>
  <c r="I25" i="42"/>
  <c r="I36" i="56"/>
  <c r="Q36" i="56" s="1"/>
  <c r="I136" i="56"/>
  <c r="Q136" i="56" s="1"/>
  <c r="I173" i="56"/>
  <c r="I48" i="46"/>
  <c r="H122" i="56"/>
  <c r="H85" i="56"/>
  <c r="P72" i="56"/>
  <c r="H109" i="56"/>
  <c r="H97" i="56"/>
  <c r="I85" i="56"/>
  <c r="Q72" i="56"/>
  <c r="I97" i="56"/>
  <c r="I122" i="56"/>
  <c r="I109" i="56"/>
  <c r="E148" i="46"/>
  <c r="E172" i="46"/>
  <c r="E148" i="56"/>
  <c r="M148" i="56" s="1"/>
  <c r="E24" i="42"/>
  <c r="E160" i="56"/>
  <c r="E135" i="46"/>
  <c r="E47" i="56"/>
  <c r="M47" i="56" s="1"/>
  <c r="E35" i="56"/>
  <c r="M35" i="56" s="1"/>
  <c r="E47" i="46"/>
  <c r="E135" i="56"/>
  <c r="M135" i="56" s="1"/>
  <c r="E35" i="46"/>
  <c r="E160" i="46"/>
  <c r="E172" i="56"/>
  <c r="H149" i="56"/>
  <c r="P149" i="56" s="1"/>
  <c r="H173" i="56"/>
  <c r="H161" i="56"/>
  <c r="H149" i="46"/>
  <c r="H136" i="56"/>
  <c r="P136" i="56" s="1"/>
  <c r="H173" i="46"/>
  <c r="H136" i="46"/>
  <c r="H48" i="46"/>
  <c r="H25" i="42"/>
  <c r="H36" i="56"/>
  <c r="P36" i="56" s="1"/>
  <c r="H161" i="46"/>
  <c r="H36" i="46"/>
  <c r="H48" i="56"/>
  <c r="P48" i="56" s="1"/>
  <c r="G134" i="46"/>
  <c r="G171" i="46"/>
  <c r="G134" i="56"/>
  <c r="G23" i="42"/>
  <c r="G30" i="42" s="1"/>
  <c r="F22" i="47" s="1"/>
  <c r="G147" i="56"/>
  <c r="O147" i="56" s="1"/>
  <c r="F7" i="47"/>
  <c r="G171" i="56"/>
  <c r="G46" i="46"/>
  <c r="G34" i="46"/>
  <c r="G159" i="56"/>
  <c r="G46" i="56"/>
  <c r="G34" i="56"/>
  <c r="G159" i="46"/>
  <c r="G147" i="46"/>
  <c r="H71" i="56"/>
  <c r="H66" i="56"/>
  <c r="I86" i="46"/>
  <c r="I123" i="46"/>
  <c r="I110" i="46"/>
  <c r="I98" i="46"/>
  <c r="H35" i="46"/>
  <c r="H160" i="46"/>
  <c r="H160" i="56"/>
  <c r="H172" i="46"/>
  <c r="H148" i="56"/>
  <c r="P148" i="56" s="1"/>
  <c r="H24" i="42"/>
  <c r="H35" i="56"/>
  <c r="P35" i="56" s="1"/>
  <c r="H172" i="56"/>
  <c r="H47" i="46"/>
  <c r="H47" i="56"/>
  <c r="P47" i="56" s="1"/>
  <c r="H135" i="56"/>
  <c r="P135" i="56" s="1"/>
  <c r="H135" i="46"/>
  <c r="H148" i="46"/>
  <c r="G48" i="56"/>
  <c r="O48" i="56" s="1"/>
  <c r="G25" i="42"/>
  <c r="G161" i="46"/>
  <c r="G149" i="56"/>
  <c r="O149" i="56" s="1"/>
  <c r="G36" i="56"/>
  <c r="O36" i="56" s="1"/>
  <c r="G149" i="46"/>
  <c r="G173" i="46"/>
  <c r="G48" i="46"/>
  <c r="G173" i="56"/>
  <c r="G136" i="46"/>
  <c r="G161" i="56"/>
  <c r="G136" i="56"/>
  <c r="O136" i="56" s="1"/>
  <c r="G36" i="46"/>
  <c r="I122" i="46"/>
  <c r="I109" i="46"/>
  <c r="I85" i="46"/>
  <c r="I97" i="46"/>
  <c r="F66" i="46"/>
  <c r="F71" i="46"/>
  <c r="I147" i="46"/>
  <c r="H27" i="62"/>
  <c r="H23" i="62"/>
  <c r="H28" i="62"/>
  <c r="I134" i="56"/>
  <c r="H7" i="47"/>
  <c r="I159" i="56"/>
  <c r="I159" i="46"/>
  <c r="I23" i="42"/>
  <c r="I30" i="42" s="1"/>
  <c r="H22" i="47" s="1"/>
  <c r="H26" i="62"/>
  <c r="I147" i="56"/>
  <c r="I34" i="46"/>
  <c r="I134" i="46"/>
  <c r="I171" i="46"/>
  <c r="H29" i="62"/>
  <c r="H31" i="62"/>
  <c r="I171" i="56"/>
  <c r="I46" i="56"/>
  <c r="I34" i="56"/>
  <c r="I46" i="46"/>
  <c r="H98" i="46"/>
  <c r="H86" i="46"/>
  <c r="H110" i="46"/>
  <c r="H123" i="46"/>
  <c r="H71" i="46"/>
  <c r="H66" i="46"/>
  <c r="H109" i="46"/>
  <c r="H97" i="46"/>
  <c r="H85" i="46"/>
  <c r="H122" i="46"/>
  <c r="G98" i="46"/>
  <c r="G86" i="46"/>
  <c r="G123" i="46"/>
  <c r="G110" i="46"/>
  <c r="F148" i="46"/>
  <c r="F160" i="46"/>
  <c r="F160" i="56"/>
  <c r="F24" i="42"/>
  <c r="F148" i="56"/>
  <c r="N148" i="56" s="1"/>
  <c r="F35" i="56"/>
  <c r="N35" i="56" s="1"/>
  <c r="F135" i="46"/>
  <c r="F47" i="46"/>
  <c r="F172" i="56"/>
  <c r="F135" i="56"/>
  <c r="N135" i="56" s="1"/>
  <c r="F172" i="46"/>
  <c r="F35" i="46"/>
  <c r="F47" i="56"/>
  <c r="N47" i="56" s="1"/>
  <c r="F71" i="56"/>
  <c r="F66" i="56"/>
  <c r="I71" i="56"/>
  <c r="I66" i="56"/>
  <c r="D36" i="46"/>
  <c r="D136" i="56"/>
  <c r="L136" i="56" s="1"/>
  <c r="D149" i="56"/>
  <c r="L149" i="56" s="1"/>
  <c r="D149" i="46"/>
  <c r="D173" i="56"/>
  <c r="D161" i="46"/>
  <c r="D161" i="56"/>
  <c r="D48" i="46"/>
  <c r="D173" i="46"/>
  <c r="D36" i="56"/>
  <c r="L36" i="56" s="1"/>
  <c r="D25" i="42"/>
  <c r="D48" i="56"/>
  <c r="L48" i="56" s="1"/>
  <c r="D136" i="46"/>
  <c r="D47" i="56"/>
  <c r="L47" i="56" s="1"/>
  <c r="D35" i="46"/>
  <c r="D148" i="56"/>
  <c r="L148" i="56" s="1"/>
  <c r="D135" i="56"/>
  <c r="L135" i="56" s="1"/>
  <c r="D24" i="42"/>
  <c r="D35" i="56"/>
  <c r="L35" i="56" s="1"/>
  <c r="D172" i="46"/>
  <c r="D160" i="46"/>
  <c r="D148" i="46"/>
  <c r="D160" i="56"/>
  <c r="D135" i="46"/>
  <c r="D47" i="46"/>
  <c r="D172" i="56"/>
  <c r="C25" i="62"/>
  <c r="C39" i="62" s="1"/>
  <c r="C26" i="62"/>
  <c r="D34" i="56"/>
  <c r="C28" i="62"/>
  <c r="C42" i="62" s="1"/>
  <c r="L42" i="62" s="1"/>
  <c r="D34" i="46"/>
  <c r="D159" i="46"/>
  <c r="C24" i="62"/>
  <c r="C38" i="62" s="1"/>
  <c r="D134" i="56"/>
  <c r="D147" i="46"/>
  <c r="D171" i="46"/>
  <c r="C31" i="62"/>
  <c r="D171" i="56"/>
  <c r="C7" i="47"/>
  <c r="C30" i="62"/>
  <c r="D46" i="56"/>
  <c r="C23" i="62"/>
  <c r="D134" i="46"/>
  <c r="D23" i="42"/>
  <c r="D30" i="42" s="1"/>
  <c r="C22" i="47" s="1"/>
  <c r="C27" i="62"/>
  <c r="D159" i="56"/>
  <c r="D46" i="46"/>
  <c r="D147" i="56"/>
  <c r="C32" i="62"/>
  <c r="D20" i="42"/>
  <c r="C29" i="62"/>
  <c r="G98" i="56"/>
  <c r="G86" i="56"/>
  <c r="O73" i="56"/>
  <c r="G123" i="56"/>
  <c r="G110" i="56"/>
  <c r="F122" i="46"/>
  <c r="F109" i="46"/>
  <c r="F85" i="46"/>
  <c r="F97" i="46"/>
  <c r="F34" i="46"/>
  <c r="F34" i="56"/>
  <c r="E23" i="62"/>
  <c r="F171" i="56"/>
  <c r="F46" i="46"/>
  <c r="F147" i="46"/>
  <c r="F134" i="56"/>
  <c r="E29" i="62"/>
  <c r="E24" i="62"/>
  <c r="F159" i="46"/>
  <c r="E27" i="62"/>
  <c r="E7" i="47"/>
  <c r="E30" i="62"/>
  <c r="E26" i="62"/>
  <c r="E28" i="62"/>
  <c r="F171" i="46"/>
  <c r="F134" i="46"/>
  <c r="F147" i="56"/>
  <c r="F23" i="42"/>
  <c r="F30" i="42" s="1"/>
  <c r="E22" i="47" s="1"/>
  <c r="E31" i="62"/>
  <c r="E25" i="62"/>
  <c r="E32" i="62"/>
  <c r="F20" i="42"/>
  <c r="F46" i="56"/>
  <c r="F159" i="56"/>
  <c r="I71" i="46"/>
  <c r="I66" i="46"/>
  <c r="D98" i="46"/>
  <c r="D86" i="46"/>
  <c r="D110" i="46"/>
  <c r="D123" i="46"/>
  <c r="D97" i="56"/>
  <c r="D109" i="56"/>
  <c r="D122" i="56"/>
  <c r="L72" i="56"/>
  <c r="D85" i="56"/>
  <c r="D66" i="46"/>
  <c r="D71" i="46"/>
  <c r="F122" i="56"/>
  <c r="F109" i="56"/>
  <c r="F97" i="56"/>
  <c r="N72" i="56"/>
  <c r="F85" i="56"/>
  <c r="E66" i="56"/>
  <c r="E71" i="56"/>
  <c r="D85" i="46"/>
  <c r="D122" i="46"/>
  <c r="D97" i="46"/>
  <c r="D109" i="46"/>
  <c r="D71" i="56"/>
  <c r="D66" i="56"/>
  <c r="G67" i="56" s="1"/>
  <c r="F86" i="46"/>
  <c r="F123" i="46"/>
  <c r="F98" i="46"/>
  <c r="F110" i="46"/>
  <c r="G122" i="56"/>
  <c r="G109" i="56"/>
  <c r="G97" i="56"/>
  <c r="O72" i="56"/>
  <c r="G85" i="56"/>
  <c r="E71" i="46"/>
  <c r="E66" i="46"/>
  <c r="F25" i="62"/>
  <c r="G91" i="56"/>
  <c r="G80" i="50" l="1"/>
  <c r="F25" i="50" s="1"/>
  <c r="F98" i="50"/>
  <c r="G26" i="50"/>
  <c r="J89" i="50"/>
  <c r="G28" i="50"/>
  <c r="G29" i="50" s="1"/>
  <c r="F86" i="50"/>
  <c r="F26" i="50" s="1"/>
  <c r="K86" i="50"/>
  <c r="H26" i="50" s="1"/>
  <c r="F88" i="50"/>
  <c r="F27" i="50" s="1"/>
  <c r="K88" i="50"/>
  <c r="K87" i="50"/>
  <c r="L87" i="50" s="1"/>
  <c r="F87" i="50"/>
  <c r="L96" i="50"/>
  <c r="L60" i="50"/>
  <c r="K98" i="50"/>
  <c r="H28" i="50" s="1"/>
  <c r="L94" i="50"/>
  <c r="L80" i="50"/>
  <c r="I25" i="50" s="1"/>
  <c r="E89" i="50"/>
  <c r="F33" i="62"/>
  <c r="I154" i="46"/>
  <c r="I22" i="46" s="1"/>
  <c r="I23" i="46" s="1"/>
  <c r="Q23" i="46" s="1"/>
  <c r="I166" i="46"/>
  <c r="I24" i="46" s="1"/>
  <c r="I25" i="46" s="1"/>
  <c r="Q25" i="46" s="1"/>
  <c r="I141" i="46"/>
  <c r="I20" i="46" s="1"/>
  <c r="I21" i="46" s="1"/>
  <c r="Q21" i="46" s="1"/>
  <c r="I53" i="46"/>
  <c r="I12" i="46" s="1"/>
  <c r="I13" i="46" s="1"/>
  <c r="Q13" i="46" s="1"/>
  <c r="O154" i="56"/>
  <c r="O22" i="56" s="1"/>
  <c r="I166" i="56"/>
  <c r="I24" i="56" s="1"/>
  <c r="I25" i="56" s="1"/>
  <c r="I178" i="46"/>
  <c r="I26" i="46" s="1"/>
  <c r="I27" i="46" s="1"/>
  <c r="Q27" i="46" s="1"/>
  <c r="G166" i="56"/>
  <c r="G24" i="56" s="1"/>
  <c r="G25" i="56" s="1"/>
  <c r="G178" i="46"/>
  <c r="G26" i="46" s="1"/>
  <c r="G27" i="46" s="1"/>
  <c r="O27" i="46" s="1"/>
  <c r="F141" i="46"/>
  <c r="F20" i="46" s="1"/>
  <c r="F21" i="46" s="1"/>
  <c r="N21" i="46" s="1"/>
  <c r="F166" i="46"/>
  <c r="F24" i="46" s="1"/>
  <c r="F25" i="46" s="1"/>
  <c r="N25" i="46" s="1"/>
  <c r="I178" i="56"/>
  <c r="I26" i="56" s="1"/>
  <c r="I27" i="56" s="1"/>
  <c r="G17" i="56"/>
  <c r="F166" i="56"/>
  <c r="F24" i="56" s="1"/>
  <c r="F25" i="56" s="1"/>
  <c r="F53" i="46"/>
  <c r="F12" i="46" s="1"/>
  <c r="F13" i="46" s="1"/>
  <c r="N13" i="46" s="1"/>
  <c r="L32" i="62"/>
  <c r="I41" i="46"/>
  <c r="I10" i="46" s="1"/>
  <c r="I11" i="46" s="1"/>
  <c r="Q11" i="46" s="1"/>
  <c r="F178" i="56"/>
  <c r="F26" i="56" s="1"/>
  <c r="F27" i="56" s="1"/>
  <c r="G53" i="46"/>
  <c r="G12" i="46" s="1"/>
  <c r="G13" i="46" s="1"/>
  <c r="O13" i="46" s="1"/>
  <c r="F24" i="47"/>
  <c r="F41" i="46"/>
  <c r="F10" i="46" s="1"/>
  <c r="F11" i="46" s="1"/>
  <c r="N11" i="46" s="1"/>
  <c r="F178" i="46"/>
  <c r="F26" i="46" s="1"/>
  <c r="F27" i="46" s="1"/>
  <c r="N27" i="46" s="1"/>
  <c r="F154" i="46"/>
  <c r="F22" i="46" s="1"/>
  <c r="F23" i="46" s="1"/>
  <c r="N23" i="46" s="1"/>
  <c r="E178" i="46"/>
  <c r="E26" i="46" s="1"/>
  <c r="E27" i="46" s="1"/>
  <c r="M27" i="46" s="1"/>
  <c r="E154" i="46"/>
  <c r="E22" i="46" s="1"/>
  <c r="E23" i="46" s="1"/>
  <c r="M23" i="46" s="1"/>
  <c r="E141" i="46"/>
  <c r="E20" i="46" s="1"/>
  <c r="E21" i="46" s="1"/>
  <c r="M21" i="46" s="1"/>
  <c r="E166" i="46"/>
  <c r="E24" i="46" s="1"/>
  <c r="E25" i="46" s="1"/>
  <c r="M25" i="46" s="1"/>
  <c r="E178" i="56"/>
  <c r="E26" i="56" s="1"/>
  <c r="E27" i="56" s="1"/>
  <c r="E166" i="56"/>
  <c r="E24" i="56" s="1"/>
  <c r="E25" i="56" s="1"/>
  <c r="E41" i="46"/>
  <c r="E10" i="46" s="1"/>
  <c r="E11" i="46" s="1"/>
  <c r="M11" i="46" s="1"/>
  <c r="E53" i="46"/>
  <c r="E12" i="46" s="1"/>
  <c r="E13" i="46" s="1"/>
  <c r="M13" i="46" s="1"/>
  <c r="G166" i="46"/>
  <c r="G24" i="46" s="1"/>
  <c r="G25" i="46" s="1"/>
  <c r="O25" i="46" s="1"/>
  <c r="H141" i="46"/>
  <c r="H20" i="46" s="1"/>
  <c r="H21" i="46" s="1"/>
  <c r="P21" i="46" s="1"/>
  <c r="H166" i="56"/>
  <c r="H24" i="56" s="1"/>
  <c r="H25" i="56" s="1"/>
  <c r="H178" i="56"/>
  <c r="H26" i="56" s="1"/>
  <c r="H27" i="56" s="1"/>
  <c r="G19" i="56"/>
  <c r="H53" i="46"/>
  <c r="H12" i="46" s="1"/>
  <c r="H13" i="46" s="1"/>
  <c r="P13" i="46" s="1"/>
  <c r="H41" i="46"/>
  <c r="H10" i="46" s="1"/>
  <c r="H11" i="46" s="1"/>
  <c r="P11" i="46" s="1"/>
  <c r="G41" i="46"/>
  <c r="G10" i="46" s="1"/>
  <c r="G11" i="46" s="1"/>
  <c r="O11" i="46" s="1"/>
  <c r="G141" i="46"/>
  <c r="G20" i="46" s="1"/>
  <c r="G21" i="46" s="1"/>
  <c r="O21" i="46" s="1"/>
  <c r="H178" i="46"/>
  <c r="H26" i="46" s="1"/>
  <c r="H27" i="46" s="1"/>
  <c r="P27" i="46" s="1"/>
  <c r="G15" i="56"/>
  <c r="H154" i="46"/>
  <c r="H22" i="46" s="1"/>
  <c r="H23" i="46" s="1"/>
  <c r="P23" i="46" s="1"/>
  <c r="G178" i="56"/>
  <c r="G26" i="56" s="1"/>
  <c r="G27" i="56" s="1"/>
  <c r="H166" i="46"/>
  <c r="H24" i="46" s="1"/>
  <c r="H25" i="46" s="1"/>
  <c r="P25" i="46" s="1"/>
  <c r="G154" i="46"/>
  <c r="G22" i="46" s="1"/>
  <c r="G23" i="46" s="1"/>
  <c r="O23" i="46" s="1"/>
  <c r="H23" i="47"/>
  <c r="D53" i="46"/>
  <c r="D41" i="46"/>
  <c r="F23" i="47"/>
  <c r="G16" i="56"/>
  <c r="E67" i="46"/>
  <c r="D141" i="46"/>
  <c r="D20" i="46" s="1"/>
  <c r="L38" i="62"/>
  <c r="D178" i="46"/>
  <c r="E32" i="42"/>
  <c r="E33" i="42" s="1"/>
  <c r="I32" i="42"/>
  <c r="G23" i="47"/>
  <c r="G67" i="46"/>
  <c r="D23" i="47"/>
  <c r="H24" i="47"/>
  <c r="D154" i="46"/>
  <c r="G24" i="47"/>
  <c r="F32" i="42"/>
  <c r="I67" i="46"/>
  <c r="E42" i="62"/>
  <c r="K42" i="62" s="1"/>
  <c r="K28" i="62"/>
  <c r="N134" i="56"/>
  <c r="N141" i="56" s="1"/>
  <c r="F141" i="56"/>
  <c r="C43" i="62"/>
  <c r="L43" i="62" s="1"/>
  <c r="L29" i="62"/>
  <c r="H43" i="62"/>
  <c r="N29" i="62"/>
  <c r="F67" i="46"/>
  <c r="G41" i="62"/>
  <c r="M27" i="62"/>
  <c r="M29" i="62"/>
  <c r="G43" i="62"/>
  <c r="E154" i="56"/>
  <c r="M147" i="56"/>
  <c r="M154" i="56" s="1"/>
  <c r="J31" i="62"/>
  <c r="D45" i="62"/>
  <c r="D121" i="46"/>
  <c r="D108" i="46"/>
  <c r="D84" i="46"/>
  <c r="D96" i="46"/>
  <c r="D78" i="46"/>
  <c r="D14" i="46" s="1"/>
  <c r="E40" i="62"/>
  <c r="K26" i="62"/>
  <c r="D141" i="56"/>
  <c r="D20" i="56" s="1"/>
  <c r="D21" i="56" s="1"/>
  <c r="L134" i="56"/>
  <c r="L141" i="56" s="1"/>
  <c r="L20" i="56" s="1"/>
  <c r="M25" i="62"/>
  <c r="G39" i="62"/>
  <c r="M39" i="62" s="1"/>
  <c r="D24" i="47"/>
  <c r="G154" i="56"/>
  <c r="E96" i="56"/>
  <c r="E121" i="56"/>
  <c r="E108" i="56"/>
  <c r="M71" i="56"/>
  <c r="M78" i="56" s="1"/>
  <c r="E84" i="56"/>
  <c r="E78" i="56"/>
  <c r="E39" i="62"/>
  <c r="K39" i="62" s="1"/>
  <c r="K25" i="62"/>
  <c r="E44" i="62"/>
  <c r="K30" i="62"/>
  <c r="C46" i="62"/>
  <c r="N32" i="62"/>
  <c r="D53" i="56"/>
  <c r="D12" i="56" s="1"/>
  <c r="D13" i="56" s="1"/>
  <c r="L46" i="56"/>
  <c r="L53" i="56" s="1"/>
  <c r="L12" i="56" s="1"/>
  <c r="Q134" i="56"/>
  <c r="Q141" i="56" s="1"/>
  <c r="I141" i="56"/>
  <c r="G41" i="56"/>
  <c r="O34" i="56"/>
  <c r="O41" i="56" s="1"/>
  <c r="G46" i="62"/>
  <c r="M32" i="62"/>
  <c r="G78" i="46"/>
  <c r="G84" i="46"/>
  <c r="G121" i="46"/>
  <c r="G108" i="46"/>
  <c r="G96" i="46"/>
  <c r="L28" i="62"/>
  <c r="K32" i="62"/>
  <c r="E46" i="62"/>
  <c r="C37" i="62"/>
  <c r="C33" i="62"/>
  <c r="H32" i="42"/>
  <c r="E67" i="56"/>
  <c r="E45" i="62"/>
  <c r="K31" i="62"/>
  <c r="D154" i="56"/>
  <c r="D22" i="56" s="1"/>
  <c r="D23" i="56" s="1"/>
  <c r="L147" i="56"/>
  <c r="L154" i="56" s="1"/>
  <c r="C44" i="62"/>
  <c r="N44" i="62" s="1"/>
  <c r="N30" i="62"/>
  <c r="D166" i="46"/>
  <c r="I67" i="56"/>
  <c r="H42" i="62"/>
  <c r="N42" i="62" s="1"/>
  <c r="N28" i="62"/>
  <c r="O46" i="56"/>
  <c r="O53" i="56" s="1"/>
  <c r="G53" i="56"/>
  <c r="G141" i="56"/>
  <c r="O134" i="56"/>
  <c r="O141" i="56" s="1"/>
  <c r="G42" i="62"/>
  <c r="M42" i="62" s="1"/>
  <c r="M28" i="62"/>
  <c r="G44" i="62"/>
  <c r="M30" i="62"/>
  <c r="D39" i="62"/>
  <c r="J39" i="62" s="1"/>
  <c r="J25" i="62"/>
  <c r="M46" i="56"/>
  <c r="M53" i="56" s="1"/>
  <c r="E53" i="56"/>
  <c r="J29" i="62"/>
  <c r="D43" i="62"/>
  <c r="L23" i="62"/>
  <c r="L33" i="62" s="1"/>
  <c r="F77" i="47" s="1"/>
  <c r="E41" i="62"/>
  <c r="K27" i="62"/>
  <c r="E37" i="62"/>
  <c r="K23" i="62"/>
  <c r="K33" i="62" s="1"/>
  <c r="E77" i="47" s="1"/>
  <c r="E33" i="62"/>
  <c r="I108" i="56"/>
  <c r="I96" i="56"/>
  <c r="I121" i="56"/>
  <c r="I84" i="56"/>
  <c r="Q71" i="56"/>
  <c r="Q78" i="56" s="1"/>
  <c r="I78" i="56"/>
  <c r="I41" i="56"/>
  <c r="Q34" i="56"/>
  <c r="Q41" i="56" s="1"/>
  <c r="I154" i="56"/>
  <c r="Q147" i="56"/>
  <c r="Q154" i="56" s="1"/>
  <c r="N23" i="62"/>
  <c r="N33" i="62" s="1"/>
  <c r="H77" i="47" s="1"/>
  <c r="H37" i="62"/>
  <c r="H33" i="62"/>
  <c r="P147" i="56"/>
  <c r="P154" i="56" s="1"/>
  <c r="H154" i="56"/>
  <c r="P46" i="56"/>
  <c r="P53" i="56" s="1"/>
  <c r="H53" i="56"/>
  <c r="J26" i="62"/>
  <c r="D40" i="62"/>
  <c r="J24" i="62"/>
  <c r="D38" i="62"/>
  <c r="J38" i="62" s="1"/>
  <c r="L30" i="62"/>
  <c r="G32" i="42"/>
  <c r="F39" i="62"/>
  <c r="L39" i="62" s="1"/>
  <c r="L25" i="62"/>
  <c r="D84" i="56"/>
  <c r="D96" i="56"/>
  <c r="D108" i="56"/>
  <c r="D78" i="56"/>
  <c r="D121" i="56"/>
  <c r="L71" i="56"/>
  <c r="L78" i="56" s="1"/>
  <c r="I84" i="46"/>
  <c r="I121" i="46"/>
  <c r="I108" i="46"/>
  <c r="I78" i="46"/>
  <c r="I96" i="46"/>
  <c r="F154" i="56"/>
  <c r="N147" i="56"/>
  <c r="N154" i="56" s="1"/>
  <c r="N34" i="56"/>
  <c r="N41" i="56" s="1"/>
  <c r="F41" i="56"/>
  <c r="D166" i="56"/>
  <c r="F167" i="56" s="1"/>
  <c r="D178" i="56"/>
  <c r="F67" i="56"/>
  <c r="H67" i="46"/>
  <c r="I53" i="56"/>
  <c r="Q46" i="56"/>
  <c r="Q53" i="56" s="1"/>
  <c r="N26" i="62"/>
  <c r="H40" i="62"/>
  <c r="H41" i="62"/>
  <c r="N27" i="62"/>
  <c r="H141" i="56"/>
  <c r="P134" i="56"/>
  <c r="P141" i="56" s="1"/>
  <c r="M24" i="62"/>
  <c r="G38" i="62"/>
  <c r="M38" i="62" s="1"/>
  <c r="H38" i="62"/>
  <c r="N38" i="62" s="1"/>
  <c r="N24" i="62"/>
  <c r="E141" i="56"/>
  <c r="M134" i="56"/>
  <c r="M141" i="56" s="1"/>
  <c r="D42" i="62"/>
  <c r="J42" i="62" s="1"/>
  <c r="J28" i="62"/>
  <c r="E38" i="62"/>
  <c r="K38" i="62" s="1"/>
  <c r="K24" i="62"/>
  <c r="C41" i="62"/>
  <c r="L41" i="62" s="1"/>
  <c r="L27" i="62"/>
  <c r="C45" i="62"/>
  <c r="L45" i="62" s="1"/>
  <c r="L31" i="62"/>
  <c r="L34" i="56"/>
  <c r="L41" i="56" s="1"/>
  <c r="L10" i="56" s="1"/>
  <c r="L28" i="56" s="1"/>
  <c r="C31" i="47" s="1"/>
  <c r="D41" i="56"/>
  <c r="D10" i="56" s="1"/>
  <c r="D11" i="56" s="1"/>
  <c r="F78" i="56"/>
  <c r="F121" i="56"/>
  <c r="F108" i="56"/>
  <c r="F96" i="56"/>
  <c r="N71" i="56"/>
  <c r="N78" i="56" s="1"/>
  <c r="F84" i="56"/>
  <c r="H108" i="46"/>
  <c r="H84" i="46"/>
  <c r="H121" i="46"/>
  <c r="H96" i="46"/>
  <c r="H78" i="46"/>
  <c r="H67" i="56"/>
  <c r="P34" i="56"/>
  <c r="P41" i="56" s="1"/>
  <c r="H41" i="56"/>
  <c r="M23" i="62"/>
  <c r="M33" i="62" s="1"/>
  <c r="G77" i="47" s="1"/>
  <c r="G33" i="62"/>
  <c r="G37" i="62"/>
  <c r="D41" i="62"/>
  <c r="J27" i="62"/>
  <c r="D46" i="62"/>
  <c r="J32" i="62"/>
  <c r="N25" i="62"/>
  <c r="E121" i="46"/>
  <c r="E108" i="46"/>
  <c r="E96" i="46"/>
  <c r="E84" i="46"/>
  <c r="E78" i="46"/>
  <c r="N46" i="56"/>
  <c r="N53" i="56" s="1"/>
  <c r="F53" i="56"/>
  <c r="K29" i="62"/>
  <c r="E43" i="62"/>
  <c r="C40" i="62"/>
  <c r="L40" i="62" s="1"/>
  <c r="L26" i="62"/>
  <c r="H45" i="62"/>
  <c r="N31" i="62"/>
  <c r="F121" i="46"/>
  <c r="F108" i="46"/>
  <c r="F84" i="46"/>
  <c r="F96" i="46"/>
  <c r="F78" i="46"/>
  <c r="H96" i="56"/>
  <c r="H108" i="56"/>
  <c r="H121" i="56"/>
  <c r="H78" i="56"/>
  <c r="H84" i="56"/>
  <c r="P71" i="56"/>
  <c r="P78" i="56" s="1"/>
  <c r="G40" i="62"/>
  <c r="M26" i="62"/>
  <c r="G45" i="62"/>
  <c r="M31" i="62"/>
  <c r="E41" i="56"/>
  <c r="M34" i="56"/>
  <c r="M41" i="56" s="1"/>
  <c r="D44" i="62"/>
  <c r="J30" i="62"/>
  <c r="D33" i="62"/>
  <c r="J23" i="62"/>
  <c r="J33" i="62" s="1"/>
  <c r="D77" i="47" s="1"/>
  <c r="D37" i="62"/>
  <c r="L24" i="62"/>
  <c r="N39" i="62"/>
  <c r="E24" i="47"/>
  <c r="E23" i="47"/>
  <c r="G18" i="56"/>
  <c r="L86" i="50" l="1"/>
  <c r="I26" i="50" s="1"/>
  <c r="F89" i="50"/>
  <c r="K89" i="50"/>
  <c r="L89" i="50" s="1"/>
  <c r="H27" i="50"/>
  <c r="H29" i="50" s="1"/>
  <c r="L88" i="50"/>
  <c r="I27" i="50" s="1"/>
  <c r="L98" i="50"/>
  <c r="I28" i="50" s="1"/>
  <c r="M46" i="62"/>
  <c r="G155" i="46"/>
  <c r="F179" i="46"/>
  <c r="F54" i="46"/>
  <c r="I179" i="46"/>
  <c r="H65" i="47"/>
  <c r="M45" i="62"/>
  <c r="J43" i="62"/>
  <c r="M43" i="62"/>
  <c r="F155" i="46"/>
  <c r="K43" i="62"/>
  <c r="I33" i="42"/>
  <c r="L44" i="62"/>
  <c r="J44" i="62"/>
  <c r="E167" i="46"/>
  <c r="E179" i="46"/>
  <c r="E179" i="56"/>
  <c r="H179" i="46"/>
  <c r="G142" i="46"/>
  <c r="H142" i="46"/>
  <c r="D10" i="46"/>
  <c r="F46" i="47" s="1"/>
  <c r="H42" i="46"/>
  <c r="F42" i="46"/>
  <c r="E42" i="46"/>
  <c r="I42" i="46"/>
  <c r="E142" i="46"/>
  <c r="F142" i="46"/>
  <c r="I142" i="46"/>
  <c r="D12" i="46"/>
  <c r="H54" i="46"/>
  <c r="I54" i="46"/>
  <c r="E54" i="46"/>
  <c r="G54" i="46"/>
  <c r="D21" i="46"/>
  <c r="G65" i="47"/>
  <c r="F65" i="47"/>
  <c r="J46" i="62"/>
  <c r="D65" i="47"/>
  <c r="D26" i="46"/>
  <c r="G179" i="46"/>
  <c r="E65" i="47"/>
  <c r="G42" i="46"/>
  <c r="J41" i="62"/>
  <c r="M40" i="62"/>
  <c r="F33" i="42"/>
  <c r="K41" i="62"/>
  <c r="N41" i="62"/>
  <c r="G33" i="42"/>
  <c r="D22" i="46"/>
  <c r="I155" i="46"/>
  <c r="E155" i="46"/>
  <c r="H155" i="46"/>
  <c r="H20" i="56"/>
  <c r="H21" i="56" s="1"/>
  <c r="H142" i="56"/>
  <c r="F14" i="46"/>
  <c r="E50" i="47" s="1"/>
  <c r="F79" i="46"/>
  <c r="E17" i="46"/>
  <c r="E115" i="46"/>
  <c r="M37" i="62"/>
  <c r="M47" i="62" s="1"/>
  <c r="G47" i="62"/>
  <c r="G32" i="47" s="1"/>
  <c r="H19" i="46"/>
  <c r="H128" i="46"/>
  <c r="F79" i="56"/>
  <c r="F14" i="56"/>
  <c r="N40" i="62"/>
  <c r="F42" i="56"/>
  <c r="F10" i="56"/>
  <c r="F11" i="56" s="1"/>
  <c r="I15" i="46"/>
  <c r="I91" i="46"/>
  <c r="H47" i="62"/>
  <c r="H32" i="47" s="1"/>
  <c r="N37" i="62"/>
  <c r="N47" i="62" s="1"/>
  <c r="I15" i="56"/>
  <c r="I91" i="56"/>
  <c r="G12" i="56"/>
  <c r="G13" i="56" s="1"/>
  <c r="G54" i="56"/>
  <c r="L22" i="56"/>
  <c r="O155" i="56"/>
  <c r="G128" i="46"/>
  <c r="G19" i="46"/>
  <c r="Q142" i="56"/>
  <c r="Q20" i="56"/>
  <c r="E22" i="56"/>
  <c r="E23" i="56" s="1"/>
  <c r="E155" i="56"/>
  <c r="H128" i="56"/>
  <c r="H19" i="56"/>
  <c r="F16" i="56"/>
  <c r="F103" i="56"/>
  <c r="F103" i="46"/>
  <c r="F16" i="46"/>
  <c r="E128" i="46"/>
  <c r="E19" i="46"/>
  <c r="H15" i="46"/>
  <c r="H91" i="46"/>
  <c r="N10" i="56"/>
  <c r="N28" i="56" s="1"/>
  <c r="E31" i="47" s="1"/>
  <c r="N42" i="56"/>
  <c r="L14" i="56"/>
  <c r="O79" i="56"/>
  <c r="J40" i="62"/>
  <c r="I128" i="56"/>
  <c r="I19" i="56"/>
  <c r="O54" i="56"/>
  <c r="O12" i="56"/>
  <c r="G91" i="46"/>
  <c r="G15" i="46"/>
  <c r="E79" i="56"/>
  <c r="E14" i="56"/>
  <c r="D103" i="46"/>
  <c r="D16" i="46"/>
  <c r="L16" i="46" s="1"/>
  <c r="Q54" i="56"/>
  <c r="Q12" i="56"/>
  <c r="N155" i="56"/>
  <c r="N22" i="56"/>
  <c r="D128" i="56"/>
  <c r="D19" i="56"/>
  <c r="Q155" i="56"/>
  <c r="Q22" i="56"/>
  <c r="I103" i="56"/>
  <c r="I16" i="56"/>
  <c r="C47" i="62"/>
  <c r="C32" i="47" s="1"/>
  <c r="C38" i="47" s="1"/>
  <c r="L37" i="62"/>
  <c r="L47" i="62" s="1"/>
  <c r="G14" i="46"/>
  <c r="F50" i="47" s="1"/>
  <c r="G79" i="46"/>
  <c r="E15" i="56"/>
  <c r="E91" i="56"/>
  <c r="D91" i="46"/>
  <c r="D15" i="46"/>
  <c r="L15" i="46" s="1"/>
  <c r="F142" i="56"/>
  <c r="F20" i="56"/>
  <c r="F21" i="56" s="1"/>
  <c r="H115" i="46"/>
  <c r="H17" i="46"/>
  <c r="H33" i="42"/>
  <c r="H91" i="56"/>
  <c r="H15" i="56"/>
  <c r="F17" i="46"/>
  <c r="F115" i="46"/>
  <c r="F12" i="56"/>
  <c r="F13" i="56" s="1"/>
  <c r="F54" i="56"/>
  <c r="H42" i="56"/>
  <c r="H10" i="56"/>
  <c r="H11" i="56" s="1"/>
  <c r="F15" i="56"/>
  <c r="F91" i="56"/>
  <c r="I54" i="56"/>
  <c r="I12" i="56"/>
  <c r="I13" i="56" s="1"/>
  <c r="F155" i="56"/>
  <c r="F22" i="56"/>
  <c r="F23" i="56" s="1"/>
  <c r="D14" i="56"/>
  <c r="G79" i="56"/>
  <c r="H54" i="56"/>
  <c r="H12" i="56"/>
  <c r="H13" i="56" s="1"/>
  <c r="I22" i="56"/>
  <c r="I23" i="56" s="1"/>
  <c r="I155" i="56"/>
  <c r="I115" i="56"/>
  <c r="I17" i="56"/>
  <c r="M44" i="62"/>
  <c r="K45" i="62"/>
  <c r="K46" i="62"/>
  <c r="M79" i="56"/>
  <c r="M14" i="56"/>
  <c r="D17" i="46"/>
  <c r="L17" i="46" s="1"/>
  <c r="D115" i="46"/>
  <c r="N142" i="56"/>
  <c r="N20" i="56"/>
  <c r="P14" i="56"/>
  <c r="P79" i="56"/>
  <c r="F15" i="46"/>
  <c r="F91" i="46"/>
  <c r="M42" i="56"/>
  <c r="M10" i="56"/>
  <c r="M28" i="56" s="1"/>
  <c r="D31" i="47" s="1"/>
  <c r="H14" i="56"/>
  <c r="H79" i="56"/>
  <c r="F128" i="46"/>
  <c r="F19" i="46"/>
  <c r="N12" i="56"/>
  <c r="N54" i="56"/>
  <c r="P42" i="56"/>
  <c r="P10" i="56"/>
  <c r="P28" i="56" s="1"/>
  <c r="G31" i="47" s="1"/>
  <c r="N79" i="56"/>
  <c r="N14" i="56"/>
  <c r="P20" i="56"/>
  <c r="P142" i="56"/>
  <c r="I103" i="46"/>
  <c r="I16" i="46"/>
  <c r="D17" i="56"/>
  <c r="D115" i="56"/>
  <c r="G116" i="56" s="1"/>
  <c r="P12" i="56"/>
  <c r="P54" i="56"/>
  <c r="Q42" i="56"/>
  <c r="Q10" i="56"/>
  <c r="Q28" i="56" s="1"/>
  <c r="H31" i="47" s="1"/>
  <c r="N46" i="62"/>
  <c r="L46" i="62"/>
  <c r="E115" i="56"/>
  <c r="E17" i="56"/>
  <c r="D128" i="46"/>
  <c r="D18" i="46" s="1"/>
  <c r="D19" i="46"/>
  <c r="L19" i="46" s="1"/>
  <c r="M41" i="62"/>
  <c r="I79" i="46"/>
  <c r="I14" i="46"/>
  <c r="H50" i="47" s="1"/>
  <c r="D16" i="56"/>
  <c r="D103" i="56"/>
  <c r="G104" i="56" s="1"/>
  <c r="H155" i="56"/>
  <c r="H22" i="56"/>
  <c r="H23" i="56" s="1"/>
  <c r="I42" i="56"/>
  <c r="I10" i="56"/>
  <c r="I11" i="56" s="1"/>
  <c r="D24" i="46"/>
  <c r="F71" i="47" s="1"/>
  <c r="H167" i="46"/>
  <c r="F167" i="46"/>
  <c r="I167" i="46"/>
  <c r="O42" i="56"/>
  <c r="O10" i="56"/>
  <c r="O28" i="56" s="1"/>
  <c r="F31" i="47" s="1"/>
  <c r="F38" i="47" s="1"/>
  <c r="E19" i="56"/>
  <c r="E128" i="56"/>
  <c r="J45" i="62"/>
  <c r="H115" i="56"/>
  <c r="H17" i="56"/>
  <c r="N45" i="62"/>
  <c r="E91" i="46"/>
  <c r="E15" i="46"/>
  <c r="H14" i="46"/>
  <c r="G50" i="47" s="1"/>
  <c r="H79" i="46"/>
  <c r="F115" i="56"/>
  <c r="F17" i="56"/>
  <c r="M142" i="56"/>
  <c r="M20" i="56"/>
  <c r="D26" i="56"/>
  <c r="D27" i="56" s="1"/>
  <c r="H179" i="56"/>
  <c r="F179" i="56"/>
  <c r="I179" i="56"/>
  <c r="G179" i="56"/>
  <c r="I17" i="46"/>
  <c r="I115" i="46"/>
  <c r="D15" i="56"/>
  <c r="D91" i="56"/>
  <c r="G92" i="56" s="1"/>
  <c r="P155" i="56"/>
  <c r="P22" i="56"/>
  <c r="I79" i="56"/>
  <c r="I14" i="56"/>
  <c r="E47" i="62"/>
  <c r="E32" i="47" s="1"/>
  <c r="K37" i="62"/>
  <c r="K47" i="62" s="1"/>
  <c r="E54" i="56"/>
  <c r="E12" i="56"/>
  <c r="E13" i="56" s="1"/>
  <c r="O20" i="56"/>
  <c r="O142" i="56"/>
  <c r="G103" i="46"/>
  <c r="G16" i="46"/>
  <c r="G42" i="56"/>
  <c r="G10" i="56"/>
  <c r="G11" i="56" s="1"/>
  <c r="K44" i="62"/>
  <c r="E103" i="56"/>
  <c r="E16" i="56"/>
  <c r="G167" i="46"/>
  <c r="E10" i="56"/>
  <c r="E11" i="56" s="1"/>
  <c r="E42" i="56"/>
  <c r="E14" i="46"/>
  <c r="D50" i="47" s="1"/>
  <c r="E79" i="46"/>
  <c r="D47" i="62"/>
  <c r="D32" i="47" s="1"/>
  <c r="J37" i="62"/>
  <c r="J47" i="62" s="1"/>
  <c r="H103" i="56"/>
  <c r="H16" i="56"/>
  <c r="E16" i="46"/>
  <c r="E103" i="46"/>
  <c r="H103" i="46"/>
  <c r="H16" i="46"/>
  <c r="F19" i="56"/>
  <c r="F128" i="56"/>
  <c r="E20" i="56"/>
  <c r="E21" i="56" s="1"/>
  <c r="E142" i="56"/>
  <c r="D24" i="56"/>
  <c r="D25" i="56" s="1"/>
  <c r="E167" i="56"/>
  <c r="G167" i="56"/>
  <c r="I167" i="56"/>
  <c r="H167" i="56"/>
  <c r="I19" i="46"/>
  <c r="I128" i="46"/>
  <c r="Q79" i="56"/>
  <c r="Q14" i="56"/>
  <c r="M54" i="56"/>
  <c r="M12" i="56"/>
  <c r="G20" i="56"/>
  <c r="G21" i="56" s="1"/>
  <c r="G142" i="56"/>
  <c r="G17" i="46"/>
  <c r="G115" i="46"/>
  <c r="I142" i="56"/>
  <c r="I20" i="56"/>
  <c r="I21" i="56" s="1"/>
  <c r="G22" i="56"/>
  <c r="G23" i="56" s="1"/>
  <c r="G155" i="56"/>
  <c r="K40" i="62"/>
  <c r="M22" i="56"/>
  <c r="M155" i="56"/>
  <c r="N43" i="62"/>
  <c r="O28" i="46"/>
  <c r="M28" i="46"/>
  <c r="Q28" i="46"/>
  <c r="N28" i="46"/>
  <c r="P28" i="46"/>
  <c r="I29" i="50" l="1"/>
  <c r="G104" i="46"/>
  <c r="H104" i="46"/>
  <c r="I104" i="46"/>
  <c r="H38" i="47"/>
  <c r="H39" i="47" s="1"/>
  <c r="E104" i="46"/>
  <c r="E104" i="56"/>
  <c r="G38" i="47"/>
  <c r="G40" i="47" s="1"/>
  <c r="E38" i="47"/>
  <c r="E39" i="47" s="1"/>
  <c r="L21" i="46"/>
  <c r="D66" i="47"/>
  <c r="G66" i="47"/>
  <c r="F66" i="47"/>
  <c r="E66" i="47"/>
  <c r="H66" i="47"/>
  <c r="D34" i="47"/>
  <c r="D27" i="46"/>
  <c r="E73" i="47"/>
  <c r="F73" i="47"/>
  <c r="G73" i="47"/>
  <c r="H73" i="47"/>
  <c r="D73" i="47"/>
  <c r="D13" i="46"/>
  <c r="F48" i="47"/>
  <c r="D48" i="47"/>
  <c r="G48" i="47"/>
  <c r="H48" i="47"/>
  <c r="E48" i="47"/>
  <c r="D11" i="46"/>
  <c r="D46" i="47"/>
  <c r="E46" i="47"/>
  <c r="H46" i="47"/>
  <c r="G46" i="47"/>
  <c r="F33" i="47"/>
  <c r="H34" i="47"/>
  <c r="I116" i="46"/>
  <c r="G33" i="47"/>
  <c r="G116" i="46"/>
  <c r="G34" i="47"/>
  <c r="D33" i="47"/>
  <c r="F116" i="56"/>
  <c r="E34" i="47"/>
  <c r="F34" i="47"/>
  <c r="H33" i="47"/>
  <c r="D23" i="46"/>
  <c r="G69" i="47"/>
  <c r="H69" i="47"/>
  <c r="D69" i="47"/>
  <c r="F69" i="47"/>
  <c r="E69" i="47"/>
  <c r="E92" i="46"/>
  <c r="E116" i="56"/>
  <c r="F116" i="46"/>
  <c r="F18" i="46"/>
  <c r="E61" i="47" s="1"/>
  <c r="F129" i="46"/>
  <c r="G54" i="47"/>
  <c r="P15" i="46"/>
  <c r="H18" i="56"/>
  <c r="H129" i="56"/>
  <c r="H54" i="47"/>
  <c r="Q15" i="46"/>
  <c r="F56" i="47"/>
  <c r="O16" i="46"/>
  <c r="I18" i="46"/>
  <c r="H61" i="47" s="1"/>
  <c r="I129" i="46"/>
  <c r="H104" i="56"/>
  <c r="M15" i="46"/>
  <c r="D54" i="47"/>
  <c r="F39" i="47"/>
  <c r="P17" i="46"/>
  <c r="G58" i="47"/>
  <c r="I129" i="56"/>
  <c r="I18" i="56"/>
  <c r="M19" i="46"/>
  <c r="D62" i="47"/>
  <c r="F18" i="56"/>
  <c r="F129" i="56"/>
  <c r="H116" i="46"/>
  <c r="D18" i="56"/>
  <c r="G129" i="56"/>
  <c r="E129" i="46"/>
  <c r="E18" i="46"/>
  <c r="D61" i="47" s="1"/>
  <c r="E116" i="46"/>
  <c r="D38" i="47"/>
  <c r="I116" i="56"/>
  <c r="N16" i="46"/>
  <c r="E56" i="47"/>
  <c r="I92" i="56"/>
  <c r="M17" i="46"/>
  <c r="D58" i="47"/>
  <c r="P16" i="46"/>
  <c r="G56" i="47"/>
  <c r="O15" i="46"/>
  <c r="F54" i="47"/>
  <c r="F104" i="46"/>
  <c r="Q17" i="46"/>
  <c r="H58" i="47"/>
  <c r="H116" i="56"/>
  <c r="Q16" i="46"/>
  <c r="H56" i="47"/>
  <c r="F92" i="46"/>
  <c r="E58" i="47"/>
  <c r="N17" i="46"/>
  <c r="G92" i="46"/>
  <c r="F104" i="56"/>
  <c r="O19" i="46"/>
  <c r="F62" i="47"/>
  <c r="O17" i="46"/>
  <c r="F58" i="47"/>
  <c r="N15" i="46"/>
  <c r="E54" i="47"/>
  <c r="F92" i="56"/>
  <c r="I104" i="56"/>
  <c r="E33" i="47"/>
  <c r="G129" i="46"/>
  <c r="G18" i="46"/>
  <c r="F61" i="47" s="1"/>
  <c r="H18" i="46"/>
  <c r="G61" i="47" s="1"/>
  <c r="H129" i="46"/>
  <c r="Q19" i="46"/>
  <c r="H62" i="47"/>
  <c r="M16" i="46"/>
  <c r="D56" i="47"/>
  <c r="E129" i="56"/>
  <c r="E18" i="56"/>
  <c r="D25" i="46"/>
  <c r="G71" i="47"/>
  <c r="E71" i="47"/>
  <c r="D71" i="47"/>
  <c r="H71" i="47"/>
  <c r="E62" i="47"/>
  <c r="N19" i="46"/>
  <c r="H92" i="56"/>
  <c r="E92" i="56"/>
  <c r="H92" i="46"/>
  <c r="I92" i="46"/>
  <c r="G62" i="47"/>
  <c r="P19" i="46"/>
  <c r="H40" i="47" l="1"/>
  <c r="G39" i="47"/>
  <c r="E40" i="47"/>
  <c r="F40" i="47"/>
  <c r="L27" i="46"/>
  <c r="E74" i="47"/>
  <c r="H74" i="47"/>
  <c r="F74" i="47"/>
  <c r="G74" i="47"/>
  <c r="D74" i="47"/>
  <c r="L13" i="46"/>
  <c r="D49" i="47"/>
  <c r="H49" i="47"/>
  <c r="E49" i="47"/>
  <c r="F49" i="47"/>
  <c r="G49" i="47"/>
  <c r="L11" i="46"/>
  <c r="L28" i="46" s="1"/>
  <c r="H47" i="47"/>
  <c r="E47" i="47"/>
  <c r="G47" i="47"/>
  <c r="D47" i="47"/>
  <c r="F47" i="47"/>
  <c r="L23" i="46"/>
  <c r="G70" i="47"/>
  <c r="F70" i="47"/>
  <c r="E70" i="47"/>
  <c r="H70" i="47"/>
  <c r="D70" i="47"/>
  <c r="L25" i="46"/>
  <c r="G72" i="47"/>
  <c r="E72" i="47"/>
  <c r="F72" i="47"/>
  <c r="D72" i="47"/>
  <c r="H72" i="47"/>
  <c r="D40" i="47"/>
  <c r="D3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3" authorId="0" shapeId="0" xr:uid="{7338DBF1-FA8C-470D-BDC8-2E7E16FB300D}">
      <text>
        <r>
          <rPr>
            <b/>
            <sz val="9"/>
            <color indexed="81"/>
            <rFont val="Tahoma"/>
            <family val="2"/>
          </rPr>
          <t>Note to RIA</t>
        </r>
        <r>
          <rPr>
            <sz val="9"/>
            <color indexed="81"/>
            <rFont val="Tahoma"/>
            <family val="2"/>
          </rPr>
          <t xml:space="preserve">
Each treatment option here has potential for different times, for example, it may take longer for the IV infusion administration of A than it does for B or C. In this case, make the cells blue and populate them. 
Where we do NOT have data that tells us that the options have different durations, just use one column here and assume they're all the same. Make A blue and make B and C look up to A and grey them out.  </t>
        </r>
      </text>
    </comment>
    <comment ref="E18" authorId="0" shapeId="0" xr:uid="{7D37F101-2A56-4D64-BE09-69969218604E}">
      <text>
        <r>
          <rPr>
            <b/>
            <sz val="9"/>
            <color indexed="81"/>
            <rFont val="Tahoma"/>
            <family val="2"/>
          </rPr>
          <t>Note to RIA</t>
        </r>
        <r>
          <rPr>
            <sz val="9"/>
            <color indexed="81"/>
            <rFont val="Tahoma"/>
            <family val="2"/>
          </rPr>
          <t xml:space="preserve">
The application of this will need to be changed depending on the drug.  It may be per visit.  It may be per month.  It may be per year.
Amend throughout worksheets.</t>
        </r>
        <r>
          <rPr>
            <sz val="9"/>
            <color indexed="81"/>
            <rFont val="Tahoma"/>
            <family val="2"/>
          </rPr>
          <t xml:space="preserve">
</t>
        </r>
      </text>
    </comment>
  </commentList>
</comments>
</file>

<file path=xl/sharedStrings.xml><?xml version="1.0" encoding="utf-8"?>
<sst xmlns="http://schemas.openxmlformats.org/spreadsheetml/2006/main" count="4687" uniqueCount="2272">
  <si>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</si>
  <si>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</si>
  <si>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</si>
  <si>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</si>
  <si>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</si>
  <si>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</si>
  <si>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</si>
  <si>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</si>
  <si>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</si>
  <si>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</si>
  <si>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</si>
  <si>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</si>
  <si>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</si>
  <si>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</si>
  <si>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</si>
  <si>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</si>
  <si>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</si>
  <si>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</si>
  <si>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</si>
  <si>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</si>
  <si>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</si>
  <si>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</si>
  <si>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</si>
  <si>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</si>
  <si>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</si>
  <si>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</si>
  <si>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</si>
  <si>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</si>
  <si>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</si>
  <si>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</si>
  <si>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</si>
  <si>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</si>
  <si>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</si>
  <si>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</si>
  <si>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</si>
  <si>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</si>
  <si>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</si>
  <si>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</si>
  <si>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</si>
  <si>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</si>
  <si>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</si>
  <si>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</si>
  <si>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</si>
  <si>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</si>
  <si>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</si>
  <si>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</si>
  <si>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</si>
  <si>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</si>
  <si>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</si>
  <si>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</si>
  <si>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</si>
  <si>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</si>
  <si>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</si>
  <si>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</si>
  <si>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</si>
  <si>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</si>
  <si>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</si>
  <si>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</si>
  <si>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</si>
  <si>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</si>
  <si>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</si>
  <si>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</si>
  <si>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</si>
  <si>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</si>
  <si>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</si>
  <si>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</si>
  <si>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</si>
  <si>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</si>
  <si>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</si>
  <si>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</si>
  <si>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</si>
  <si>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</si>
  <si>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</si>
  <si>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</si>
  <si>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</si>
  <si>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</si>
  <si>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</si>
  <si>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</si>
  <si>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</si>
  <si>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</si>
  <si>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</si>
  <si>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</si>
  <si>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</si>
  <si>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</si>
  <si>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</si>
  <si>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</si>
  <si>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</si>
  <si>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</si>
  <si>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</si>
  <si>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</si>
  <si>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</si>
  <si>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</si>
  <si>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</si>
  <si>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</si>
  <si>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</si>
  <si>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</si>
  <si>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</si>
  <si>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</si>
  <si>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</si>
  <si>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</si>
  <si>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</si>
  <si>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</si>
  <si>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</si>
  <si>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</si>
  <si>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</si>
  <si>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</si>
  <si>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</si>
  <si>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</si>
  <si>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</si>
  <si>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</si>
  <si>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</si>
  <si>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</si>
  <si>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</si>
  <si>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</si>
  <si>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</si>
  <si>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</si>
  <si>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</si>
  <si>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</si>
  <si>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</si>
  <si>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</si>
  <si>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</si>
  <si>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</si>
  <si>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</si>
  <si>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</si>
  <si>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</si>
  <si>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</si>
  <si>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</si>
  <si>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</si>
  <si>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</si>
  <si>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</si>
  <si>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</si>
  <si>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</si>
  <si>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</si>
  <si>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</si>
  <si>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</si>
  <si>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</si>
  <si>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</si>
  <si>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</si>
  <si>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</si>
  <si>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</si>
  <si>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</si>
  <si>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</si>
  <si>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</si>
  <si>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</si>
  <si>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</si>
  <si>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</si>
  <si>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</si>
  <si>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</si>
  <si>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</si>
  <si>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</si>
  <si>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</si>
  <si>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</si>
  <si>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</si>
  <si>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</si>
  <si>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</si>
  <si>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</si>
  <si>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</si>
  <si>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</si>
  <si>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</si>
  <si>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</si>
  <si>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</si>
  <si>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</si>
  <si>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</si>
  <si>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</si>
  <si>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</si>
  <si>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</si>
  <si>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</si>
  <si>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</si>
  <si>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</si>
  <si>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</si>
  <si>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</si>
  <si>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</si>
  <si>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</si>
  <si>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</si>
  <si>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</si>
  <si>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</si>
  <si>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</si>
  <si>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</si>
  <si>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</si>
  <si>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</si>
  <si>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</si>
  <si>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</si>
  <si>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</si>
  <si>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</si>
  <si>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</si>
  <si>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</si>
  <si>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</si>
  <si>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</si>
  <si>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</si>
  <si>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</si>
  <si>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</si>
  <si>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</si>
  <si>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</si>
  <si>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</si>
  <si>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</si>
  <si>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</si>
  <si>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</si>
  <si>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</si>
  <si>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</si>
  <si>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</si>
  <si>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</si>
  <si>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</si>
  <si>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</si>
  <si>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</si>
  <si>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</si>
  <si>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</si>
  <si>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</si>
  <si>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</si>
  <si>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</si>
  <si>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</si>
  <si>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</si>
  <si>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</si>
  <si>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</si>
  <si>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</si>
  <si>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</si>
  <si>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</si>
  <si>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</si>
  <si>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</si>
  <si>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</si>
  <si>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</si>
  <si>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</si>
  <si>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</si>
  <si>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</si>
  <si>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</si>
  <si>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</si>
  <si>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</si>
  <si>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</si>
  <si>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</si>
  <si>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</si>
  <si>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</si>
  <si>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</si>
  <si>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</si>
  <si>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</si>
  <si>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</si>
  <si>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</si>
  <si>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</si>
  <si>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</si>
  <si>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</si>
  <si>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</si>
  <si>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</si>
  <si>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</si>
  <si>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</si>
  <si>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</si>
  <si>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</si>
  <si>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</si>
  <si>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</si>
  <si>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</si>
  <si>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</si>
  <si>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</si>
  <si>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</si>
  <si>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</si>
  <si>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</si>
  <si>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</si>
  <si>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</si>
  <si>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</si>
  <si>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</si>
  <si>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</si>
  <si>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</si>
  <si>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</si>
  <si>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</si>
  <si>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</si>
  <si>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</si>
  <si>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</si>
  <si>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</si>
  <si>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</si>
  <si>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</si>
  <si>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</si>
  <si>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</si>
  <si>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</si>
  <si>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</si>
  <si>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</si>
  <si>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</si>
  <si>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</si>
  <si>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</si>
  <si>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</si>
  <si>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</si>
  <si>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</si>
  <si>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</si>
  <si>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</si>
  <si>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</si>
  <si>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</si>
  <si>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</si>
  <si>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</si>
  <si>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</si>
  <si>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</si>
  <si>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</si>
  <si>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</si>
  <si>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</si>
  <si>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</si>
  <si>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</si>
  <si>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</si>
  <si>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</si>
  <si>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</si>
  <si>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</si>
  <si>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</si>
  <si>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</si>
  <si>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</si>
  <si>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</si>
  <si>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</si>
  <si>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</si>
  <si>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</si>
  <si>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</si>
  <si>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</si>
  <si>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</si>
  <si>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</si>
  <si>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</si>
  <si>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</si>
  <si>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</si>
  <si>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</si>
  <si>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</si>
  <si>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</si>
  <si>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</si>
  <si>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</si>
  <si>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</si>
  <si>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</si>
  <si>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</si>
  <si>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</si>
  <si>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</si>
  <si>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</si>
  <si>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</si>
  <si>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</si>
  <si>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</si>
  <si>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</si>
  <si>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</si>
  <si>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</si>
  <si>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</si>
  <si>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</si>
  <si>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</si>
  <si>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</si>
  <si>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</si>
  <si>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</si>
  <si>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</si>
  <si>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</si>
  <si>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</si>
  <si>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</si>
  <si>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</si>
  <si>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</si>
  <si>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</si>
  <si>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</si>
  <si>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</si>
  <si>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</si>
  <si>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</si>
  <si>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</si>
  <si>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</si>
  <si>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</si>
  <si>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</si>
  <si>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</si>
  <si>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</si>
  <si>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</si>
  <si>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</si>
  <si>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</si>
  <si>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</si>
  <si>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</si>
  <si>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</si>
  <si>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</si>
  <si>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</si>
  <si>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</si>
  <si>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</si>
  <si>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</si>
  <si>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</si>
  <si>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</si>
  <si>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</si>
  <si>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</si>
  <si>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</si>
  <si>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</si>
  <si>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</si>
  <si>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</si>
  <si>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</si>
  <si>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</si>
  <si>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</si>
  <si>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</si>
  <si>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</si>
  <si>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</si>
  <si>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</si>
  <si>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</si>
  <si>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</si>
  <si>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</si>
  <si>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</si>
  <si>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</si>
  <si>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</si>
  <si>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</si>
  <si>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</si>
  <si>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</si>
  <si>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</si>
  <si>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</si>
  <si>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</si>
  <si>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</si>
  <si>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</si>
  <si>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</si>
  <si>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</si>
  <si>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</si>
  <si>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</si>
  <si>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</si>
  <si>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</si>
  <si>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</si>
  <si>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</si>
  <si>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</si>
  <si>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</si>
  <si>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</si>
  <si>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</si>
  <si>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</si>
  <si>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</si>
  <si>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</si>
  <si>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</si>
  <si>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</si>
  <si>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</si>
  <si>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</si>
  <si>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</si>
  <si>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</si>
  <si>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</si>
  <si>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</si>
  <si>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</si>
  <si>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</si>
  <si>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</si>
  <si>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</si>
  <si>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</si>
  <si>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</si>
  <si>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</si>
  <si>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</si>
  <si>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</si>
  <si>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</si>
  <si>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</si>
  <si>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</si>
  <si>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</si>
  <si>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</si>
  <si>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</si>
  <si>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</si>
  <si>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</si>
  <si>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</si>
  <si>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</si>
  <si>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</si>
  <si>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</si>
  <si>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</si>
  <si>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</si>
  <si>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</si>
  <si>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</si>
  <si>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</si>
  <si>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</si>
  <si>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</si>
  <si>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</si>
  <si>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</si>
  <si>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</si>
  <si>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</si>
  <si>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</si>
  <si>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</si>
  <si>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</si>
  <si>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</si>
  <si>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</si>
  <si>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</si>
  <si>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</si>
  <si>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</si>
  <si>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</si>
  <si>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</si>
  <si>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</si>
  <si>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</si>
  <si>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</si>
  <si>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</si>
  <si>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</si>
  <si>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</si>
  <si>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</si>
  <si>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</si>
  <si>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</si>
  <si>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</si>
  <si>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</si>
  <si>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</si>
  <si>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</si>
  <si>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</si>
  <si>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</si>
  <si>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</si>
  <si>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</si>
  <si>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</si>
  <si>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</si>
  <si>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</si>
  <si>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</si>
  <si>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</si>
  <si>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</si>
  <si>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</si>
  <si>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</si>
  <si>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</si>
  <si>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</si>
  <si>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</si>
  <si>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</si>
  <si>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</si>
  <si>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</si>
  <si>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</si>
  <si>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</si>
  <si>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</si>
  <si>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</si>
  <si>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</si>
  <si>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</si>
  <si>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</si>
  <si>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</si>
  <si>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</si>
  <si>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</si>
  <si>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</si>
  <si>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</si>
  <si>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</si>
  <si>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</si>
  <si>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</si>
  <si>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</si>
  <si>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</si>
  <si>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</si>
  <si>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</si>
  <si>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</si>
  <si>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</si>
  <si>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</si>
  <si>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</si>
  <si>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Putting NICE guidance into practice</t>
  </si>
  <si>
    <t>Resource impact template:</t>
  </si>
  <si>
    <t>Commissioner</t>
  </si>
  <si>
    <t>Provider</t>
  </si>
  <si>
    <t>Specialty area</t>
  </si>
  <si>
    <t>Disease area</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</si>
  <si>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</si>
  <si>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</si>
  <si>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</si>
  <si>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</si>
  <si>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</si>
  <si>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</si>
  <si>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</si>
  <si>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</si>
  <si>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</si>
  <si>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</si>
  <si>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</si>
  <si>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</si>
  <si>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</si>
  <si>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</si>
  <si>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</si>
  <si>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</si>
  <si>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</si>
  <si>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</si>
  <si>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</si>
  <si>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</si>
  <si>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</si>
  <si>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</si>
  <si>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</si>
  <si>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</si>
  <si>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</si>
  <si>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</si>
  <si>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</si>
  <si>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</si>
  <si>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</si>
  <si>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</si>
  <si>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</si>
  <si>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</si>
  <si>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</si>
  <si>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</si>
  <si>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</si>
  <si>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</si>
  <si>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</si>
  <si>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Eligible population calculation</t>
  </si>
  <si>
    <t>Future practice -
year 1</t>
  </si>
  <si>
    <t>Future practice -
year 2</t>
  </si>
  <si>
    <t>Future practice -
year 3</t>
  </si>
  <si>
    <t>Future practice -
year 4</t>
  </si>
  <si>
    <t>Future practice -
year 5</t>
  </si>
  <si>
    <t>-</t>
  </si>
  <si>
    <t>Eligible population adjusted for forecast disease rate change</t>
  </si>
  <si>
    <t>Interventions</t>
  </si>
  <si>
    <t>Treatment option A</t>
  </si>
  <si>
    <t>Treatment option B</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</si>
  <si>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</si>
  <si>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</si>
  <si>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</si>
  <si>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</si>
  <si>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</si>
  <si>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</si>
  <si>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</si>
  <si>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</si>
  <si>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</si>
  <si>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</si>
  <si>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</si>
  <si>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</si>
  <si>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</si>
  <si>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</si>
  <si>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</si>
  <si>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</si>
  <si>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</si>
  <si>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Treatment A</t>
  </si>
  <si>
    <t>Treatment B</t>
  </si>
  <si>
    <t>Treatment C</t>
  </si>
  <si>
    <t>Staff grade</t>
  </si>
  <si>
    <t>Hourly cost</t>
  </si>
  <si>
    <t>specialty appointments</t>
  </si>
  <si>
    <t>Number of first attendances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</si>
  <si>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</si>
  <si>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</si>
  <si>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</si>
  <si>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</si>
  <si>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</si>
  <si>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</si>
  <si>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</si>
  <si>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</si>
  <si>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</si>
  <si>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</si>
  <si>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</si>
  <si>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</si>
  <si>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</si>
  <si>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</si>
  <si>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</si>
  <si>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</si>
  <si>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</si>
  <si>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</si>
  <si>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</si>
  <si>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genonmic testing</t>
  </si>
  <si>
    <t>Genomic tests</t>
  </si>
  <si>
    <t>Band 8a Mid</t>
  </si>
  <si>
    <t>Notes</t>
  </si>
  <si>
    <t>Appointments with specialist assumed to be &lt;add text assumption&gt;</t>
  </si>
  <si>
    <t>Preparation time before and post administration based on consensus of expert clinical opinions.  Band 7 nurse assumed, amend where necessary</t>
  </si>
  <si>
    <t>Duration of administrations as per SmPC available through the European Medicines Compendium</t>
  </si>
  <si>
    <t>Number of patients per clinic based on feedback from an acute hospital trust providing outpatient oncology services</t>
  </si>
  <si>
    <t>Number of MRI scans as per company submission</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</si>
  <si>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</si>
  <si>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</si>
  <si>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</si>
  <si>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</si>
  <si>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</si>
  <si>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Rates of adverse events and costs, based on company XYZ model. Grade 3 adverse events.</t>
  </si>
  <si>
    <t>Adverse events rates driven by inputs in blue cells on unit costs worksheet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</si>
  <si>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</si>
  <si>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</si>
  <si>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 xml:space="preserve">For pharmacy support, enter an estimate of total person-hours required per patient for supporting the use of the drug.  Select an estimate of the average grade of staff required for the entirity of the various types of support required. </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</si>
  <si>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</si>
  <si>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</si>
  <si>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</si>
  <si>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</si>
  <si>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</si>
  <si>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</si>
  <si>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</si>
  <si>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</si>
  <si>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</si>
  <si>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</si>
  <si>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</si>
  <si>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</si>
  <si>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</si>
  <si>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</si>
  <si>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</si>
  <si>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</si>
  <si>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</si>
  <si>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</si>
  <si>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</si>
  <si>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</si>
  <si>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</si>
  <si>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</si>
  <si>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</si>
  <si>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Number of cycles</t>
  </si>
  <si>
    <t>VAT rate</t>
  </si>
  <si>
    <t>Annual cost</t>
  </si>
  <si>
    <t>Treatment option</t>
  </si>
  <si>
    <t>HRG code</t>
  </si>
  <si>
    <t>HRG description</t>
  </si>
  <si>
    <t>No. times per cycle</t>
  </si>
  <si>
    <t>Tariff</t>
  </si>
  <si>
    <t>Appointments with specialist</t>
  </si>
  <si>
    <t xml:space="preserve">National  </t>
  </si>
  <si>
    <t>First attendance</t>
  </si>
  <si>
    <t xml:space="preserve">prices </t>
  </si>
  <si>
    <t>Follow up attendance</t>
  </si>
  <si>
    <t>are</t>
  </si>
  <si>
    <t>used</t>
  </si>
  <si>
    <t>on the</t>
  </si>
  <si>
    <t>left.</t>
  </si>
  <si>
    <t>Appointments with x specialist</t>
  </si>
  <si>
    <t>Local</t>
  </si>
  <si>
    <t>prices</t>
  </si>
  <si>
    <t>all options</t>
  </si>
  <si>
    <t xml:space="preserve">can be </t>
  </si>
  <si>
    <t xml:space="preserve">used as </t>
  </si>
  <si>
    <t xml:space="preserve">as an </t>
  </si>
  <si>
    <t>alternative.</t>
  </si>
  <si>
    <t>MRI imaging</t>
  </si>
  <si>
    <t>Eligible population and uptake</t>
  </si>
  <si>
    <t>Future practice -year 3</t>
  </si>
  <si>
    <t>Future practice - year 4</t>
  </si>
  <si>
    <t>Future practice - year 5</t>
  </si>
  <si>
    <t>Eligible population</t>
  </si>
  <si>
    <t>&lt;new treatment option name&gt;</t>
  </si>
  <si>
    <t>People choosing &lt;new treatment option name&gt;</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</si>
  <si>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</si>
  <si>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</si>
  <si>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</si>
  <si>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</si>
  <si>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</si>
  <si>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</si>
  <si>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</si>
  <si>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</si>
  <si>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</si>
  <si>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</si>
  <si>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</si>
  <si>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</si>
  <si>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</si>
  <si>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</si>
  <si>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</si>
  <si>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</si>
  <si>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</si>
  <si>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</si>
  <si>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</si>
  <si>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</si>
  <si>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</si>
  <si>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Treatment option A &lt;name&gt;</t>
  </si>
  <si>
    <t>Treatment option B &lt;name&gt;</t>
  </si>
  <si>
    <t>Treatment option C &lt;name&gt;</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</si>
  <si>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</si>
  <si>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</si>
  <si>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</si>
  <si>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</si>
  <si>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</si>
  <si>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</si>
  <si>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</si>
  <si>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</si>
  <si>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</si>
  <si>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</si>
  <si>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</si>
  <si>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</si>
  <si>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</si>
  <si>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</si>
  <si>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</si>
  <si>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</si>
  <si>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</si>
  <si>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</si>
  <si>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</si>
  <si>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</si>
  <si>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</si>
  <si>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</si>
  <si>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</si>
  <si>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</si>
  <si>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</si>
  <si>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</si>
  <si>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</si>
  <si>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</si>
  <si>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</si>
  <si>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</si>
  <si>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</si>
  <si>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</si>
  <si>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</si>
  <si>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</si>
  <si>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</si>
  <si>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</si>
  <si>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</si>
  <si>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</si>
  <si>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</si>
  <si>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</si>
  <si>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</si>
  <si>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</si>
  <si>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</si>
  <si>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</si>
  <si>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</si>
  <si>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</si>
  <si>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</si>
  <si>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</si>
  <si>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</si>
  <si>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</si>
  <si>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</si>
  <si>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</si>
  <si>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</si>
  <si>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</si>
  <si>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</si>
  <si>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</si>
  <si>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</si>
  <si>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</si>
  <si>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</si>
  <si>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</si>
  <si>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</si>
  <si>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</si>
  <si>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</si>
  <si>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</si>
  <si>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</si>
  <si>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</si>
  <si>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</si>
  <si>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</si>
  <si>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</si>
  <si>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</si>
  <si>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</si>
  <si>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</si>
  <si>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</si>
  <si>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</si>
  <si>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</si>
  <si>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</si>
  <si>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</si>
  <si>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</si>
  <si>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</si>
  <si>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</si>
  <si>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</si>
  <si>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</si>
  <si>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</si>
  <si>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</si>
  <si>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</si>
  <si>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</si>
  <si>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</si>
  <si>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</si>
  <si>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</si>
  <si>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</si>
  <si>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</si>
  <si>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</si>
  <si>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</si>
  <si>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</si>
  <si>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</si>
  <si>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</si>
  <si>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</si>
  <si>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</si>
  <si>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</si>
  <si>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</si>
  <si>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</si>
  <si>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</si>
  <si>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</si>
  <si>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</si>
  <si>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</si>
  <si>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</si>
  <si>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</si>
  <si>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</si>
  <si>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</si>
  <si>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</si>
  <si>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</si>
  <si>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</si>
  <si>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</si>
  <si>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</si>
  <si>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</si>
  <si>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</si>
  <si>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</si>
  <si>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</si>
  <si>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</si>
  <si>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</si>
  <si>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</si>
  <si>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</si>
  <si>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</si>
  <si>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</si>
  <si>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</si>
  <si>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</si>
  <si>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</si>
  <si>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</si>
  <si>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</si>
  <si>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</si>
  <si>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</si>
  <si>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</si>
  <si>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</si>
  <si>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</si>
  <si>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</si>
  <si>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</si>
  <si>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</si>
  <si>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</si>
  <si>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</si>
  <si>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</si>
  <si>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</si>
  <si>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</si>
  <si>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</si>
  <si>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</si>
  <si>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</si>
  <si>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</si>
  <si>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</si>
  <si>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</si>
  <si>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</si>
  <si>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</si>
  <si>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</si>
  <si>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</si>
  <si>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</si>
  <si>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</si>
  <si>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</si>
  <si>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</si>
  <si>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</si>
  <si>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</si>
  <si>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</si>
  <si>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</si>
  <si>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</si>
  <si>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</si>
  <si>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</si>
  <si>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</si>
  <si>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</si>
  <si>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</si>
  <si>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</si>
  <si>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</si>
  <si>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</si>
  <si>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</si>
  <si>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</si>
  <si>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</si>
  <si>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</si>
  <si>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</si>
  <si>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</si>
  <si>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</si>
  <si>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</si>
  <si>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</si>
  <si>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</si>
  <si>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</si>
  <si>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</si>
  <si>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</si>
  <si>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</si>
  <si>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</si>
  <si>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</si>
  <si>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</si>
  <si>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</si>
  <si>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</si>
  <si>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</si>
  <si>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</si>
  <si>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</si>
  <si>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</si>
  <si>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</si>
  <si>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</si>
  <si>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</si>
  <si>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</si>
  <si>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</si>
  <si>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</si>
  <si>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</si>
  <si>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</si>
  <si>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</si>
  <si>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</si>
  <si>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</si>
  <si>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</si>
  <si>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</si>
  <si>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</si>
  <si>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</si>
  <si>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</si>
  <si>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</si>
  <si>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</si>
  <si>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</si>
  <si>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</si>
  <si>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</si>
  <si>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</si>
  <si>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</si>
  <si>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</si>
  <si>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</si>
  <si>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</si>
  <si>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</si>
  <si>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</si>
  <si>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</si>
  <si>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</si>
  <si>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</si>
  <si>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</si>
  <si>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</si>
  <si>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</si>
  <si>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</si>
  <si>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</si>
  <si>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</si>
  <si>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</si>
  <si>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</si>
  <si>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</si>
  <si>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</si>
  <si>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</si>
  <si>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</si>
  <si>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</si>
  <si>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</si>
  <si>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</si>
  <si>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</si>
  <si>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</si>
  <si>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</si>
  <si>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</si>
  <si>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</si>
  <si>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</si>
  <si>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</si>
  <si>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</si>
  <si>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</si>
  <si>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</si>
  <si>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</si>
  <si>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</si>
  <si>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</si>
  <si>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</si>
  <si>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</si>
  <si>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</si>
  <si>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</si>
  <si>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</si>
  <si>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</si>
  <si>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</si>
  <si>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</si>
  <si>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</si>
  <si>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</si>
  <si>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</si>
  <si>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</si>
  <si>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</si>
  <si>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</si>
  <si>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</si>
  <si>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</si>
  <si>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</si>
  <si>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</si>
  <si>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</si>
  <si>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</si>
  <si>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</si>
  <si>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</si>
  <si>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</si>
  <si>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</si>
  <si>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</si>
  <si>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</si>
  <si>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</si>
  <si>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</si>
  <si>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</si>
  <si>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</si>
  <si>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</si>
  <si>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</si>
  <si>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</si>
  <si>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</si>
  <si>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</si>
  <si>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</si>
  <si>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</si>
  <si>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</si>
  <si>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</si>
  <si>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</si>
  <si>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</si>
  <si>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</si>
  <si>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</si>
  <si>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</si>
  <si>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</si>
  <si>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</si>
  <si>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</si>
  <si>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</si>
  <si>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</si>
  <si>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</si>
  <si>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</si>
  <si>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</si>
  <si>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</si>
  <si>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</si>
  <si>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</si>
  <si>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</si>
  <si>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</si>
  <si>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</si>
  <si>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</si>
  <si>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</si>
  <si>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</si>
  <si>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</si>
  <si>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</si>
  <si>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</si>
  <si>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</si>
  <si>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</si>
  <si>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</si>
  <si>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</si>
  <si>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</si>
  <si>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</si>
  <si>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</si>
  <si>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</si>
  <si>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</si>
  <si>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</si>
  <si>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</si>
  <si>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</si>
  <si>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</si>
  <si>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</si>
  <si>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</si>
  <si>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</si>
  <si>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</si>
  <si>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</si>
  <si>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</si>
  <si>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</si>
  <si>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</si>
  <si>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</si>
  <si>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</si>
  <si>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</si>
  <si>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</si>
  <si>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</si>
  <si>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</si>
  <si>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</si>
  <si>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</si>
  <si>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</si>
  <si>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</si>
  <si>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</si>
  <si>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</si>
  <si>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</si>
  <si>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</si>
  <si>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</si>
  <si>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</si>
  <si>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</si>
  <si>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</si>
  <si>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</si>
  <si>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</si>
  <si>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</si>
  <si>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</si>
  <si>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</si>
  <si>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</si>
  <si>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</si>
  <si>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</si>
  <si>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</si>
  <si>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</si>
  <si>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</si>
  <si>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</si>
  <si>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</si>
  <si>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</si>
  <si>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</si>
  <si>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</si>
  <si>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</si>
  <si>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</si>
  <si>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</si>
  <si>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</si>
  <si>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</si>
  <si>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</si>
  <si>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</si>
  <si>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</si>
  <si>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</si>
  <si>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</si>
  <si>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</si>
  <si>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</si>
  <si>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</si>
  <si>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</si>
  <si>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</si>
  <si>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</si>
  <si>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</si>
  <si>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</si>
  <si>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</si>
  <si>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</si>
  <si>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</si>
  <si>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</si>
  <si>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</si>
  <si>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</si>
  <si>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</si>
  <si>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</si>
  <si>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</si>
  <si>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</si>
  <si>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</si>
  <si>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</si>
  <si>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</si>
  <si>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</si>
  <si>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</si>
  <si>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</si>
  <si>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</si>
  <si>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</si>
  <si>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</si>
  <si>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</si>
  <si>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</si>
  <si>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</si>
  <si>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</si>
  <si>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</si>
  <si>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</si>
  <si>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</si>
  <si>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</si>
  <si>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</si>
  <si>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</si>
  <si>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</si>
  <si>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</si>
  <si>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</si>
  <si>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</si>
  <si>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</si>
  <si>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</si>
  <si>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</si>
  <si>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</si>
  <si>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</si>
  <si>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</si>
  <si>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</si>
  <si>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</si>
  <si>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</si>
  <si>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</si>
  <si>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</si>
  <si>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</si>
  <si>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</si>
  <si>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</si>
  <si>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</si>
  <si>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</si>
  <si>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</si>
  <si>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</si>
  <si>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</si>
  <si>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</si>
  <si>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</si>
  <si>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</si>
  <si>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</si>
  <si>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</si>
  <si>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</si>
  <si>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</si>
  <si>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</si>
  <si>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</si>
  <si>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</si>
  <si>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</si>
  <si>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</si>
  <si>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</si>
  <si>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</si>
  <si>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</si>
  <si>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</si>
  <si>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</si>
  <si>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</si>
  <si>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</si>
  <si>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</si>
  <si>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</si>
  <si>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</si>
  <si>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</si>
  <si>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</si>
  <si>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</si>
  <si>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</si>
  <si>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</si>
  <si>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</si>
  <si>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</si>
  <si>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</si>
  <si>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</si>
  <si>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</si>
  <si>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</si>
  <si>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</si>
  <si>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</si>
  <si>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</si>
  <si>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</si>
  <si>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</si>
  <si>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</si>
  <si>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</si>
  <si>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</si>
  <si>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</si>
  <si>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</si>
  <si>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</si>
  <si>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</si>
  <si>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</si>
  <si>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</si>
  <si>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</si>
  <si>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</si>
  <si>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</si>
  <si>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</si>
  <si>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</si>
  <si>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</si>
  <si>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</si>
  <si>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</si>
  <si>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</si>
  <si>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</si>
  <si>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</si>
  <si>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</si>
  <si>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</si>
  <si>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</si>
  <si>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</si>
  <si>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</si>
  <si>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</si>
  <si>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</si>
  <si>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</si>
  <si>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</si>
  <si>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</si>
  <si>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</si>
  <si>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</si>
  <si>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</si>
  <si>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</si>
  <si>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</si>
  <si>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</si>
  <si>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</si>
  <si>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</si>
  <si>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</si>
  <si>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</si>
  <si>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</si>
  <si>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</si>
  <si>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</si>
  <si>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</si>
  <si>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</si>
  <si>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</si>
  <si>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</si>
  <si>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</si>
  <si>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</si>
  <si>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</si>
  <si>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</si>
  <si>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</si>
  <si>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</si>
  <si>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</si>
  <si>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</si>
  <si>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</si>
  <si>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</si>
  <si>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</si>
  <si>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</si>
  <si>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</si>
  <si>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</si>
  <si>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</si>
  <si>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</si>
  <si>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</si>
  <si>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</si>
  <si>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</si>
  <si>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</si>
  <si>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</si>
  <si>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</si>
  <si>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</si>
  <si>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</si>
  <si>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</si>
  <si>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</si>
  <si>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</si>
  <si>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</si>
  <si>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</si>
  <si>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</si>
  <si>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</si>
  <si>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</si>
  <si>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</si>
  <si>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</si>
  <si>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</si>
  <si>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</si>
  <si>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</si>
  <si>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</si>
  <si>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</si>
  <si>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</si>
  <si>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</si>
  <si>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</si>
  <si>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</si>
  <si>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</si>
  <si>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</si>
  <si>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</si>
  <si>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</si>
  <si>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</si>
  <si>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</si>
  <si>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</si>
  <si>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</si>
  <si>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</si>
  <si>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</si>
  <si>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</si>
  <si>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</si>
  <si>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</si>
  <si>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</si>
  <si>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</si>
  <si>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</si>
  <si>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</si>
  <si>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</si>
  <si>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</si>
  <si>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</si>
  <si>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</si>
  <si>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</si>
  <si>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</si>
  <si>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</si>
  <si>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</si>
  <si>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</si>
  <si>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</si>
  <si>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</si>
  <si>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</si>
  <si>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</si>
  <si>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</si>
  <si>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</si>
  <si>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</si>
  <si>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</si>
  <si>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</si>
  <si>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</si>
  <si>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</si>
  <si>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</si>
  <si>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</si>
  <si>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</si>
  <si>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</si>
  <si>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</si>
  <si>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</si>
  <si>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</si>
  <si>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</si>
  <si>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</si>
  <si>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</si>
  <si>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</si>
  <si>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</si>
  <si>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</si>
  <si>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</si>
  <si>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</si>
  <si>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</si>
  <si>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</si>
  <si>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</si>
  <si>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</si>
  <si>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</si>
  <si>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</si>
  <si>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</si>
  <si>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</si>
  <si>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</si>
  <si>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</si>
  <si>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</si>
  <si>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</si>
  <si>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</si>
  <si>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</si>
  <si>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</si>
  <si>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</si>
  <si>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</si>
  <si>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</si>
  <si>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</si>
  <si>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</si>
  <si>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</si>
  <si>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</si>
  <si>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</si>
  <si>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</si>
  <si>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</si>
  <si>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</si>
  <si>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</si>
  <si>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</si>
  <si>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</si>
  <si>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</si>
  <si>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</si>
  <si>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</si>
  <si>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</si>
  <si>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</si>
  <si>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</si>
  <si>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</si>
  <si>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</si>
  <si>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</si>
  <si>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</si>
  <si>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</si>
  <si>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</si>
  <si>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</si>
  <si>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</si>
  <si>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</si>
  <si>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</si>
  <si>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</si>
  <si>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</si>
  <si>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</si>
  <si>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</si>
  <si>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</si>
  <si>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</si>
  <si>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</si>
  <si>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</si>
  <si>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</si>
  <si>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</si>
  <si>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</si>
  <si>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</si>
  <si>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</si>
  <si>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</si>
  <si>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</si>
  <si>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</si>
  <si>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</si>
  <si>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</si>
  <si>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</si>
  <si>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</si>
  <si>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</si>
  <si>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</si>
  <si>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</si>
  <si>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</si>
  <si>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</si>
  <si>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</si>
  <si>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</si>
  <si>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</si>
  <si>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</si>
  <si>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</si>
  <si>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</si>
  <si>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</si>
  <si>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</si>
  <si>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</si>
  <si>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</si>
  <si>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</si>
  <si>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</si>
  <si>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</si>
  <si>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</si>
  <si>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</si>
  <si>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</si>
  <si>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</si>
  <si>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</si>
  <si>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</si>
  <si>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</si>
  <si>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</si>
  <si>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</si>
  <si>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</si>
  <si>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</si>
  <si>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</si>
  <si>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</si>
  <si>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</si>
  <si>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</si>
  <si>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</si>
  <si>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</si>
  <si>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</si>
  <si>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</si>
  <si>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</si>
  <si>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</si>
  <si>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</si>
  <si>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</si>
  <si>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</si>
  <si>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</si>
  <si>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</si>
  <si>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</si>
  <si>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</si>
  <si>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</si>
  <si>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</si>
  <si>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</si>
  <si>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</si>
  <si>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</si>
  <si>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</si>
  <si>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</si>
  <si>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</si>
  <si>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</si>
  <si>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</si>
  <si>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</si>
  <si>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</si>
  <si>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</si>
  <si>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</si>
  <si>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</si>
  <si>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</si>
  <si>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</si>
  <si>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</si>
  <si>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</si>
  <si>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</si>
  <si>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</si>
  <si>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</si>
  <si>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</si>
  <si>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</si>
  <si>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</si>
  <si>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</si>
  <si>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</si>
  <si>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</si>
  <si>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</si>
  <si>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</si>
  <si>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</si>
  <si>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</si>
  <si>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</si>
  <si>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</si>
  <si>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</si>
  <si>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</si>
  <si>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</si>
  <si>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</si>
  <si>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</si>
  <si>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</si>
  <si>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</si>
  <si>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</si>
  <si>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</si>
  <si>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</si>
  <si>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</si>
  <si>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</si>
  <si>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</si>
  <si>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</si>
  <si>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</si>
  <si>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</si>
  <si>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</si>
  <si>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</si>
  <si>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</si>
  <si>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</si>
  <si>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</si>
  <si>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</si>
  <si>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</si>
  <si>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</si>
  <si>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</si>
  <si>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</si>
  <si>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</si>
  <si>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</si>
  <si>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</si>
  <si>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</si>
  <si>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</si>
  <si>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</si>
  <si>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</si>
  <si>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</si>
  <si>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</si>
  <si>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</si>
  <si>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</si>
  <si>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</si>
  <si>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</si>
  <si>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</si>
  <si>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</si>
  <si>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</si>
  <si>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</si>
  <si>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</si>
  <si>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</si>
  <si>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</si>
  <si>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</si>
  <si>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</si>
  <si>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</si>
  <si>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</si>
  <si>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</si>
  <si>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</si>
  <si>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</si>
  <si>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</si>
  <si>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</si>
  <si>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</si>
  <si>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</si>
  <si>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</si>
  <si>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</si>
  <si>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</si>
  <si>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</si>
  <si>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</si>
  <si>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</si>
  <si>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</si>
  <si>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</si>
  <si>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</si>
  <si>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</si>
  <si>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</si>
  <si>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</si>
  <si>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</si>
  <si>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</si>
  <si>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</si>
  <si>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</si>
  <si>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</si>
  <si>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</si>
  <si>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</si>
  <si>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</si>
  <si>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</si>
  <si>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</si>
  <si>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</si>
  <si>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</si>
  <si>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</si>
  <si>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</si>
  <si>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</si>
  <si>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</si>
  <si>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</si>
  <si>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</si>
  <si>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</si>
  <si>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</si>
  <si>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</si>
  <si>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</si>
  <si>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</si>
  <si>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</si>
  <si>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</si>
  <si>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</si>
  <si>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</si>
  <si>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</si>
  <si>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</si>
  <si>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</si>
  <si>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</si>
  <si>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</si>
  <si>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</si>
  <si>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</si>
  <si>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</si>
  <si>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</si>
  <si>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</si>
  <si>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</si>
  <si>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</si>
  <si>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</si>
  <si>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</si>
  <si>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</si>
  <si>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</si>
  <si>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</si>
  <si>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</si>
  <si>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</si>
  <si>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</si>
  <si>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</si>
  <si>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</si>
  <si>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</si>
  <si>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</si>
  <si>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</si>
  <si>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</si>
  <si>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</si>
  <si>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</si>
  <si>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</si>
  <si>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</si>
  <si>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</si>
  <si>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</si>
  <si>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</si>
  <si>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</si>
  <si>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</si>
  <si>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</si>
  <si>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</si>
  <si>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</si>
  <si>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</si>
  <si>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</si>
  <si>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</si>
  <si>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</si>
  <si>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</si>
  <si>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</si>
  <si>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</si>
  <si>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</si>
  <si>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</si>
  <si>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</si>
  <si>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</si>
  <si>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</si>
  <si>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</si>
  <si>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</si>
  <si>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</si>
  <si>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</si>
  <si>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</si>
  <si>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</si>
  <si>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</si>
  <si>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</si>
  <si>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</si>
  <si>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</si>
  <si>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</si>
  <si>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</si>
  <si>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</si>
  <si>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</si>
  <si>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</si>
  <si>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</si>
  <si>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</si>
  <si>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</si>
  <si>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</si>
  <si>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</si>
  <si>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</si>
  <si>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</si>
  <si>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</si>
  <si>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</si>
  <si>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</si>
  <si>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</si>
  <si>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</si>
  <si>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</si>
  <si>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</si>
  <si>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</si>
  <si>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</si>
  <si>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</si>
  <si>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</si>
  <si>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</si>
  <si>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</si>
  <si>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</si>
  <si>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</si>
  <si>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</si>
  <si>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</si>
  <si>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</si>
  <si>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</si>
  <si>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</si>
  <si>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</si>
  <si>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</si>
  <si>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</si>
  <si>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</si>
  <si>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</si>
  <si>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</si>
  <si>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</si>
  <si>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</si>
  <si>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</si>
  <si>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</si>
  <si>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</si>
  <si>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</si>
  <si>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</si>
  <si>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</si>
  <si>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</si>
  <si>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</si>
  <si>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</si>
  <si>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</si>
  <si>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</si>
  <si>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</si>
  <si>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</si>
  <si>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</si>
  <si>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</si>
  <si>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</si>
  <si>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</si>
  <si>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</si>
  <si>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</si>
  <si>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</si>
  <si>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</si>
  <si>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</si>
  <si>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</si>
  <si>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</si>
  <si>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</si>
  <si>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</si>
  <si>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</si>
  <si>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</si>
  <si>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</si>
  <si>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</si>
  <si>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</si>
  <si>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</si>
  <si>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</si>
  <si>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</si>
  <si>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</si>
  <si>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</si>
  <si>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</si>
  <si>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</si>
  <si>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</si>
  <si>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</si>
  <si>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</si>
  <si>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</si>
  <si>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</si>
  <si>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</si>
  <si>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</si>
  <si>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</si>
  <si>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</si>
  <si>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</si>
  <si>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</si>
  <si>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</si>
  <si>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</si>
  <si>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</si>
  <si>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</si>
  <si>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</si>
  <si>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</si>
  <si>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</si>
  <si>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</si>
  <si>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</si>
  <si>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</si>
  <si>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</si>
  <si>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</si>
  <si>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</si>
  <si>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</si>
  <si>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</si>
  <si>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</si>
  <si>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</si>
  <si>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</si>
  <si>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</si>
  <si>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</si>
  <si>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</si>
  <si>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</si>
  <si>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</si>
  <si>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</si>
  <si>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</si>
  <si>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</si>
  <si>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</si>
  <si>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</si>
  <si>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</si>
  <si>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</si>
  <si>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</si>
  <si>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</si>
  <si>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</si>
  <si>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</si>
  <si>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</si>
  <si>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</si>
  <si>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</si>
  <si>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</si>
  <si>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</si>
  <si>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</si>
  <si>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</si>
  <si>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</si>
  <si>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</si>
  <si>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</si>
  <si>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</si>
  <si>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</si>
  <si>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</si>
  <si>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</si>
  <si>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</si>
  <si>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</si>
  <si>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</si>
  <si>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</si>
  <si>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</si>
  <si>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</si>
  <si>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</si>
  <si>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</si>
  <si>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</si>
  <si>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</si>
  <si>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</si>
  <si>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</si>
  <si>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</si>
  <si>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</si>
  <si>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</si>
  <si>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</si>
  <si>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</si>
  <si>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</si>
  <si>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</si>
  <si>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</si>
  <si>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</si>
  <si>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</si>
  <si>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</si>
  <si>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</si>
  <si>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</si>
  <si>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</si>
  <si>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</si>
  <si>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</si>
  <si>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</si>
  <si>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</si>
  <si>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</si>
  <si>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</si>
  <si>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</si>
  <si>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</si>
  <si>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</si>
  <si>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</si>
  <si>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</si>
  <si>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</si>
  <si>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</si>
  <si>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</si>
  <si>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</si>
  <si>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</si>
  <si>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</si>
  <si>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</si>
  <si>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</si>
  <si>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</si>
  <si>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</si>
  <si>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</si>
  <si>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</si>
  <si>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</si>
  <si>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</si>
  <si>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</si>
  <si>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</si>
  <si>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</si>
  <si>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</si>
  <si>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</si>
  <si>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</si>
  <si>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</si>
  <si>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</si>
  <si>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</si>
  <si>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</si>
  <si>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</si>
  <si>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</si>
  <si>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</si>
  <si>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</si>
  <si>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</si>
  <si>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</si>
  <si>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</si>
  <si>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</si>
  <si>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</si>
  <si>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</si>
  <si>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</si>
  <si>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</si>
  <si>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</si>
  <si>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</si>
  <si>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</si>
  <si>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</si>
  <si>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</si>
  <si>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</si>
  <si>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</si>
  <si>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</si>
  <si>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</si>
  <si>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</si>
  <si>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</si>
  <si>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</si>
  <si>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</si>
  <si>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</si>
  <si>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</si>
  <si>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</si>
  <si>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</si>
  <si>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</si>
  <si>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</si>
  <si>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</si>
  <si>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</si>
  <si>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</si>
  <si>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</si>
  <si>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</si>
  <si>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</si>
  <si>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</si>
  <si>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</si>
  <si>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</si>
  <si>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</si>
  <si>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</si>
  <si>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</si>
  <si>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</si>
  <si>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</si>
  <si>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</si>
  <si>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</si>
  <si>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</si>
  <si>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</si>
  <si>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</si>
  <si>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</si>
  <si>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</si>
  <si>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</si>
  <si>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</si>
  <si>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</si>
  <si>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</si>
  <si>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</si>
  <si>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</si>
  <si>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</si>
  <si>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</si>
  <si>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</si>
  <si>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</si>
  <si>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</si>
  <si>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</si>
  <si>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</si>
  <si>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</si>
  <si>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</si>
  <si>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</si>
  <si>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</si>
  <si>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</si>
  <si>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</si>
  <si>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</si>
  <si>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</si>
  <si>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</si>
  <si>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</si>
  <si>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</si>
  <si>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</si>
  <si>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</si>
  <si>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</si>
  <si>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</si>
  <si>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</si>
  <si>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</si>
  <si>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</si>
  <si>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</si>
  <si>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</si>
  <si>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</si>
  <si>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</si>
  <si>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</si>
  <si>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</si>
  <si>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</si>
  <si>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</si>
  <si>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</si>
  <si>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</si>
  <si>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</si>
  <si>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</si>
  <si>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</si>
  <si>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</si>
  <si>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</si>
  <si>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</si>
  <si>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</si>
  <si>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</si>
  <si>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</si>
  <si>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</si>
  <si>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</si>
  <si>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</si>
  <si>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</si>
  <si>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</si>
  <si>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</si>
  <si>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</si>
  <si>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</si>
  <si>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</si>
  <si>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</si>
  <si>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</si>
  <si>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</si>
  <si>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</si>
  <si>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</si>
  <si>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</si>
  <si>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</si>
  <si>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</si>
  <si>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</si>
  <si>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</si>
  <si>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</si>
  <si>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</si>
  <si>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</si>
  <si>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</si>
  <si>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</si>
  <si>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</si>
  <si>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</si>
  <si>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</si>
  <si>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</si>
  <si>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</si>
  <si>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</si>
  <si>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</si>
  <si>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</si>
  <si>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</si>
  <si>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</si>
  <si>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</si>
  <si>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</si>
  <si>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</si>
  <si>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</si>
  <si>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</si>
  <si>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</si>
  <si>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</si>
  <si>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</si>
  <si>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</si>
  <si>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</si>
  <si>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</si>
  <si>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</si>
  <si>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</si>
  <si>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</si>
  <si>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</si>
  <si>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</si>
  <si>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</si>
  <si>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</si>
  <si>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</si>
  <si>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</si>
  <si>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</si>
  <si>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</si>
  <si>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</si>
  <si>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</si>
  <si>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</si>
  <si>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</si>
  <si>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</si>
  <si>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</si>
  <si>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</si>
  <si>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</si>
  <si>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</si>
  <si>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</si>
  <si>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</si>
  <si>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</si>
  <si>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</si>
  <si>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</si>
  <si>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</si>
  <si>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</si>
  <si>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</si>
  <si>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</si>
  <si>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</si>
  <si>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</si>
  <si>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</si>
  <si>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</si>
  <si>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</si>
  <si>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</si>
  <si>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</si>
  <si>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</si>
  <si>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</si>
  <si>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</si>
  <si>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</si>
  <si>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</si>
  <si>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</si>
  <si>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</si>
  <si>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</si>
  <si>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</si>
  <si>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</si>
  <si>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</si>
  <si>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</si>
  <si>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</si>
  <si>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</si>
  <si>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</si>
  <si>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</si>
  <si>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</si>
  <si>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</si>
  <si>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</si>
  <si>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</si>
  <si>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</si>
  <si>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</si>
  <si>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</si>
  <si>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</si>
  <si>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</si>
  <si>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</si>
  <si>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</si>
  <si>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</si>
  <si>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</si>
  <si>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</si>
  <si>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</si>
  <si>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</si>
  <si>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</si>
  <si>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</si>
  <si>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</si>
  <si>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</si>
  <si>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</si>
  <si>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</si>
  <si>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</si>
  <si>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</si>
  <si>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</si>
  <si>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</si>
  <si>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</si>
  <si>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</si>
  <si>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</si>
  <si>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</si>
  <si>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</si>
  <si>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</si>
  <si>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</si>
  <si>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</si>
  <si>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</si>
  <si>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</si>
  <si>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</si>
  <si>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</si>
  <si>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</si>
  <si>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</si>
  <si>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</si>
  <si>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</si>
  <si>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</si>
  <si>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</si>
  <si>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</si>
  <si>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</si>
  <si>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</si>
  <si>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</si>
  <si>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</si>
  <si>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</si>
  <si>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</si>
  <si>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</si>
  <si>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</si>
  <si>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</si>
  <si>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</si>
  <si>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</si>
  <si>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</si>
  <si>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</si>
  <si>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</si>
  <si>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</si>
  <si>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</si>
  <si>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</si>
  <si>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</si>
  <si>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</si>
  <si>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</si>
  <si>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</si>
  <si>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</si>
  <si>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</si>
  <si>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</si>
  <si>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</si>
  <si>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</si>
  <si>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</si>
  <si>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</si>
  <si>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</si>
  <si>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</si>
  <si>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</si>
  <si>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</si>
  <si>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</si>
  <si>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</si>
  <si>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</si>
  <si>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</si>
  <si>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</si>
  <si>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</si>
  <si>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</si>
  <si>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</si>
  <si>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</si>
  <si>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</si>
  <si>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</si>
  <si>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</si>
  <si>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</si>
  <si>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Treatment D</t>
  </si>
  <si>
    <t>Treatment E</t>
  </si>
  <si>
    <t>Treatment option D &lt;name&gt;</t>
  </si>
  <si>
    <t>Treatment option E &lt;name&gt;</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</si>
  <si>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</si>
  <si>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</si>
  <si>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</si>
  <si>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</si>
  <si>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</si>
  <si>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</si>
  <si>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</si>
  <si>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</si>
  <si>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</si>
  <si>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</si>
  <si>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</si>
  <si>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</si>
  <si>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</si>
  <si>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</si>
  <si>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</si>
  <si>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</si>
  <si>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</si>
  <si>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Treatment option F</t>
  </si>
  <si>
    <t>Treatment option G</t>
  </si>
  <si>
    <t>Treatment F</t>
  </si>
  <si>
    <t>Treatment G</t>
  </si>
  <si>
    <t>Based on 2025/26 NHS Payment Scheme</t>
  </si>
  <si>
    <t>Treatment option F &lt;name&gt;</t>
  </si>
  <si>
    <t>Treatment option G &lt;name&gt;</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</si>
  <si>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</si>
  <si>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</si>
  <si>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</si>
  <si>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</si>
  <si>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</si>
  <si>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</si>
  <si>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</si>
  <si>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number of events</t>
  </si>
  <si>
    <t>per patient per year</t>
  </si>
  <si>
    <t>Nursing - administration hours</t>
  </si>
  <si>
    <t>GP Top</t>
  </si>
  <si>
    <t>License costs</t>
  </si>
  <si>
    <t>License cost per user</t>
  </si>
  <si>
    <t>Pumping Marvellous Cardiac Rehab Platform.</t>
  </si>
  <si>
    <t>Activate Your Heart</t>
  </si>
  <si>
    <t>D REACH-HF</t>
  </si>
  <si>
    <t>Digital Heart Manual</t>
  </si>
  <si>
    <t>Gro Health HeartBuddy</t>
  </si>
  <si>
    <t>KiActiv</t>
  </si>
  <si>
    <t>myHeart</t>
  </si>
  <si>
    <t>Per patient licence cost calculated using the average number of patients attending cardiac rehabilitation in England per NHS Trust, provided by NACR data. There were 53,419 patients offered CR in 2024 and 209 services resulting in a mean number of patients per service of 256</t>
  </si>
  <si>
    <t>No treatment</t>
  </si>
  <si>
    <t>327</t>
  </si>
  <si>
    <t>Cardiac Rehabilitation Service</t>
  </si>
  <si>
    <t>WF01A</t>
  </si>
  <si>
    <t>Non-Admitted Face-to-Face Attendance, Follow-up</t>
  </si>
  <si>
    <t>WF01B</t>
  </si>
  <si>
    <t>Non-Admitted Face-to-Face Attendance, First</t>
  </si>
  <si>
    <t>WF01C</t>
  </si>
  <si>
    <t>Non-Admitted Non-Face-to-Face Attendance, Follow-up</t>
  </si>
  <si>
    <t>WF01D</t>
  </si>
  <si>
    <t>Non-Admitted Non-Face-to-Face Attendance, First</t>
  </si>
  <si>
    <t>Service Code</t>
  </si>
  <si>
    <t>Service Description</t>
  </si>
  <si>
    <t>Currency Code</t>
  </si>
  <si>
    <t>Currency Description</t>
  </si>
  <si>
    <t>Number of attendances</t>
  </si>
  <si>
    <t>Cost</t>
  </si>
  <si>
    <t>Weighted average cost first attendance</t>
  </si>
  <si>
    <t xml:space="preserve">Weighted average cost follow-up </t>
  </si>
  <si>
    <t>Current practice eligibility criteria</t>
  </si>
  <si>
    <t>Future practice</t>
  </si>
  <si>
    <t>NACR 2024, Table 2 number of people in England eligible for CR</t>
  </si>
  <si>
    <t>Conventional cardiac rehabilitation services</t>
  </si>
  <si>
    <t>Number</t>
  </si>
  <si>
    <t>Subtotal</t>
  </si>
  <si>
    <t>Consultant Led Non-Admitted Face-to-Face Attendance, First</t>
  </si>
  <si>
    <t>Consultant Led Non-Admitted Non-Face-to-Face Attendance, First</t>
  </si>
  <si>
    <t>Non Consultant Led Non-Admitted Face-to-Face Attendance, First</t>
  </si>
  <si>
    <t>Non Consultant Led Non-Admitted Non-Face-to-Face Attendance, First</t>
  </si>
  <si>
    <t>Consultant Led Non-Admitted Face-to-Face Attendance, Follow-up</t>
  </si>
  <si>
    <t>Consultant Led Non-Admitted Non-Face-to-Face Attendance, Follow-up</t>
  </si>
  <si>
    <t>Non Consultant Led Non-Admitted Face-to-Face Attendance, Follow-up</t>
  </si>
  <si>
    <t>Non Consultant Led Non-Admitted Non-Face-to-Face Attendance, Follow-up</t>
  </si>
  <si>
    <t>Currency code</t>
  </si>
  <si>
    <t>Conventional CR weighting</t>
  </si>
  <si>
    <t>Digital CR weighting</t>
  </si>
  <si>
    <t>Conventional CR weighted unit cost</t>
  </si>
  <si>
    <t>Digital CR weighted unit cost</t>
  </si>
  <si>
    <t>Digital CR license costs</t>
  </si>
  <si>
    <t>CR completion rate (%)</t>
  </si>
  <si>
    <t>Average number of completed CR attendances</t>
  </si>
  <si>
    <t>Average number of incomplete CR attendances</t>
  </si>
  <si>
    <t>Current practice Eligible population</t>
  </si>
  <si>
    <t>Conventional cardiac rehabilitation service</t>
  </si>
  <si>
    <t>Future practice CR sessions</t>
  </si>
  <si>
    <t>Current practice CR sessions</t>
  </si>
  <si>
    <t>Technology weighting (%)</t>
  </si>
  <si>
    <t>SUMMARY IMPACT</t>
  </si>
  <si>
    <t>Future practice   £'000</t>
  </si>
  <si>
    <t>Change to Current Practice £'000</t>
  </si>
  <si>
    <t>Total cost</t>
  </si>
  <si>
    <t>Current practice £'000</t>
  </si>
  <si>
    <t xml:space="preserve">Conventional cardiac rehabilitation </t>
  </si>
  <si>
    <t>Cardiac rehabilitation attendances</t>
  </si>
  <si>
    <t>Assumed equivalent weighting of sessions between conventional and digital cardiac rehabilitation services, this can be amended via local input</t>
  </si>
  <si>
    <t>Summary (from all inputs and calculations below)</t>
  </si>
  <si>
    <t>Digital cardiac rehab licenses</t>
  </si>
  <si>
    <t>Conventional cardiac rehabilitation sessions</t>
  </si>
  <si>
    <t>Digital cardiac rehabilitation sessions</t>
  </si>
  <si>
    <t>Unit costs and weighting calculated based on cardiac rehabilitation service NCC and can be amended to reflect local practice</t>
  </si>
  <si>
    <t xml:space="preserve">Digital platforms to support cardiac </t>
  </si>
  <si>
    <t>rehabilitation: early value assessment</t>
  </si>
  <si>
    <t>Cardiology</t>
  </si>
  <si>
    <t>Cardiac rehabilitation</t>
  </si>
  <si>
    <t xml:space="preserve">Integrated Care Boards </t>
  </si>
  <si>
    <t xml:space="preserve">Current practice  </t>
  </si>
  <si>
    <t>People aged 18 years old and over</t>
  </si>
  <si>
    <t>People eligible to access cardiac rehabilitation (CR) services</t>
  </si>
  <si>
    <t>Incomplete CR assumes half of appointments and full licensing costs.</t>
  </si>
  <si>
    <t>Change in number of licenses required</t>
  </si>
  <si>
    <t>Total</t>
  </si>
  <si>
    <t>Digital platforms to support cardiac rehabilitation: early value assessment</t>
  </si>
  <si>
    <t>Primary care and NHS Hospital trusts</t>
  </si>
  <si>
    <t>Technology weighting assumed equal due to lack of data please amend to reflect local practice</t>
  </si>
  <si>
    <t>Cardiac rehabilitation completion rate as per NACR 2024, assumed equivalent between conventional and digital CR. This can be amended locally.</t>
  </si>
  <si>
    <t>Market Share and attendances</t>
  </si>
  <si>
    <t>NACR 2024, Table 2 number of people in England eligible for CR (ACS without revascularisation and HF) please amend locally for number of people eligible for cardiac rehab</t>
  </si>
  <si>
    <t>Change in practice</t>
  </si>
  <si>
    <t>Average number of clinic appointments</t>
  </si>
  <si>
    <t xml:space="preserve">Change in CR sessions </t>
  </si>
  <si>
    <t>Cardiac rehabilitation sessions</t>
  </si>
  <si>
    <t>Clinic appointments</t>
  </si>
  <si>
    <t xml:space="preserve">Current practice CR sessions </t>
  </si>
  <si>
    <t xml:space="preserve">Future practice CR sessions </t>
  </si>
  <si>
    <t>Clinic attendances</t>
  </si>
  <si>
    <t xml:space="preserve">Current practice clinic sessions </t>
  </si>
  <si>
    <t xml:space="preserve">Future practice clinic sessions </t>
  </si>
  <si>
    <t xml:space="preserve">Change in clinic sessions </t>
  </si>
  <si>
    <t>In 2024, 35,351 people accessed CR for ACS w/o vascularisation and HF</t>
  </si>
  <si>
    <t>Current practice clinic sessions</t>
  </si>
  <si>
    <t>Future practice clinic sessions</t>
  </si>
  <si>
    <t>Clinic sessions</t>
  </si>
  <si>
    <t>Tables calculate average unit cost for clinic sessions and cardiac rehabilitation sessions please amend to match local practice</t>
  </si>
  <si>
    <t xml:space="preserve">Future practice  </t>
  </si>
  <si>
    <t>Future practice Eligible population</t>
  </si>
  <si>
    <t>Disease rate % change per year</t>
  </si>
  <si>
    <t>Population % growth (3 years)</t>
  </si>
  <si>
    <t>Average number of clinic appointments for incomplete CR</t>
  </si>
  <si>
    <t>No cardiac rehabilitation</t>
  </si>
  <si>
    <t>Cost per attendee</t>
  </si>
  <si>
    <t>Average number of attendees per session</t>
  </si>
  <si>
    <t xml:space="preserve">Digital app only cardiac rehabilitation </t>
  </si>
  <si>
    <t>Hybrid digital cardiac rehabilitation service</t>
  </si>
  <si>
    <t>Tables below calculate average weighted cost of 1 to 1 clinic sessions and cardiac rehab sessions and are weighted according to NCC recorded appointments. Assumes initial and final clinic are consultant led Please amend for local practice as this will likely vary between practices.</t>
  </si>
  <si>
    <t>Clinic appointments assumed the same between digital technology options</t>
  </si>
  <si>
    <t>Future market share estimates for local input based on anticipated implementation</t>
  </si>
  <si>
    <t>Average number of attendees can be amended to reflect local practice, use of 3 attendees is based on clinical expert opinion for a high risk patient and utilised for a prudent estimate</t>
  </si>
  <si>
    <t>Number of cardiac rehabilitation attendances for local input for digital technologies</t>
  </si>
  <si>
    <t>Digital app only CR assumes people do not access in person traditional group or live online CR sessions only attending initial and final clinic assessment  appointments</t>
  </si>
  <si>
    <t>Hybrid digital CR service assumes people access both traditional CR groups in person or live online and app is provided as an additional resource user input on sessions required</t>
  </si>
  <si>
    <t>HTE35</t>
  </si>
  <si>
    <t>Published: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</si>
</sst>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7" formatCode="&quot;£&quot;#,##0.00;\-&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1"/>
      <color theme="0"/>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2"/>
      <name val="Calibri"/>
      <family val="2"/>
      <scheme val="minor"/>
    </font>
    <font>
      <sz val="12"/>
      <name val="Calibri"/>
      <family val="2"/>
      <scheme val="minor"/>
    </font>
    <font>
      <b/>
      <sz val="11"/>
      <color rgb="FF000000"/>
      <name val="Aptos Narrow"/>
      <family val="2"/>
    </font>
    <font>
      <sz val="11"/>
      <color rgb="FF000000"/>
      <name val="Calibri"/>
      <family val="2"/>
      <scheme val="minor"/>
    </font>
    <font>
      <b/>
      <sz val="11"/>
      <color rgb="FF000000"/>
      <name val="Calibri"/>
      <family val="2"/>
      <scheme val="minor"/>
    </font>
    <font>
      <sz val="11"/>
      <color rgb="FFFFFFFF"/>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
      <patternFill patternType="solid">
        <fgColor theme="0"/>
        <bgColor rgb="FF000000"/>
      </patternFill>
    </fill>
    <fill>
      <patternFill patternType="solid">
        <fgColor rgb="FFD9D9D9"/>
        <bgColor rgb="FF000000"/>
      </patternFill>
    </fill>
    <fill>
      <patternFill patternType="solid">
        <fgColor rgb="FF18646E"/>
        <bgColor rgb="FF000000"/>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style="thin">
        <color rgb="FF000000"/>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bottom style="thin">
        <color rgb="FF000000"/>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7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39" fillId="0" borderId="0" xfId="82" applyFont="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4"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69"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0" fontId="28" fillId="0" borderId="0" xfId="72" applyBorder="1" applyAlignment="1" applyProtection="1"/>
    <xf numFmtId="164" fontId="46" fillId="0" borderId="11" xfId="0" applyNumberFormat="1" applyFont="1" applyBorder="1"/>
    <xf numFmtId="0" fontId="0" fillId="41" borderId="12" xfId="0" applyFill="1" applyBorder="1"/>
    <xf numFmtId="165" fontId="46" fillId="0" borderId="11" xfId="0" applyNumberFormat="1" applyFont="1" applyBorder="1"/>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0" fontId="0" fillId="39" borderId="36" xfId="0" applyFill="1" applyBorder="1" applyProtection="1">
      <protection locked="0"/>
    </xf>
    <xf numFmtId="0" fontId="0" fillId="39" borderId="31" xfId="0" applyFill="1" applyBorder="1" applyProtection="1">
      <protection locked="0"/>
    </xf>
    <xf numFmtId="0" fontId="0" fillId="39" borderId="33"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8" fillId="24" borderId="12" xfId="82" applyFont="1" applyFill="1" applyBorder="1" applyAlignment="1">
      <alignment horizontal="center" wrapText="1"/>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5" xfId="0" applyNumberFormat="1" applyBorder="1"/>
    <xf numFmtId="9" fontId="27" fillId="0" borderId="35"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9" fillId="24" borderId="40" xfId="0" applyFont="1" applyFill="1" applyBorder="1" applyAlignment="1">
      <alignment horizontal="center" vertical="center"/>
    </xf>
    <xf numFmtId="0" fontId="40" fillId="24" borderId="39" xfId="0" applyFont="1" applyFill="1" applyBorder="1" applyAlignment="1">
      <alignment vertical="center"/>
    </xf>
    <xf numFmtId="168" fontId="46" fillId="0" borderId="23" xfId="57" applyNumberFormat="1" applyFont="1" applyFill="1" applyBorder="1" applyProtection="1"/>
    <xf numFmtId="0" fontId="70" fillId="0" borderId="0" xfId="0" applyFont="1" applyAlignment="1">
      <alignment vertical="center"/>
    </xf>
    <xf numFmtId="168" fontId="46" fillId="0" borderId="27" xfId="57" applyNumberFormat="1" applyFont="1" applyFill="1" applyBorder="1" applyProtection="1"/>
    <xf numFmtId="168"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8"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32" fillId="48" borderId="0" xfId="0" applyFont="1" applyFill="1" applyAlignment="1">
      <alignment horizontal="left"/>
    </xf>
    <xf numFmtId="0" fontId="46" fillId="24" borderId="19" xfId="82" applyFont="1" applyFill="1" applyBorder="1" applyAlignment="1">
      <alignment horizontal="center"/>
    </xf>
    <xf numFmtId="0" fontId="53" fillId="0" borderId="0" xfId="72" applyFont="1" applyFill="1" applyBorder="1" applyAlignment="1" applyProtection="1">
      <alignment horizontal="left"/>
    </xf>
    <xf numFmtId="0" fontId="73"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6" fillId="0" borderId="18" xfId="0" applyFont="1" applyBorder="1"/>
    <xf numFmtId="0" fontId="46" fillId="24" borderId="15" xfId="82" applyFont="1" applyFill="1" applyBorder="1" applyAlignment="1">
      <alignment horizontal="center"/>
    </xf>
    <xf numFmtId="169" fontId="27" fillId="0" borderId="11" xfId="93" applyNumberFormat="1" applyFont="1" applyFill="1" applyBorder="1"/>
    <xf numFmtId="0" fontId="0" fillId="0" borderId="46" xfId="0" applyBorder="1"/>
    <xf numFmtId="170"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69"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0" borderId="0" xfId="0" applyNumberFormat="1" applyFont="1" applyFill="1"/>
    <xf numFmtId="0" fontId="71"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0" fontId="0" fillId="0" borderId="0" xfId="0" quotePrefix="1"/>
    <xf numFmtId="3" fontId="44" fillId="28" borderId="17" xfId="0"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2"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applyAlignment="1">
      <alignment horizontal="right"/>
    </xf>
    <xf numFmtId="0" fontId="0" fillId="0" borderId="47" xfId="0" applyBorder="1"/>
    <xf numFmtId="0" fontId="28" fillId="0" borderId="18" xfId="72" applyBorder="1" applyAlignment="1" applyProtection="1"/>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0" fillId="39" borderId="48" xfId="0" applyFill="1" applyBorder="1" applyProtection="1">
      <protection locked="0"/>
    </xf>
    <xf numFmtId="0" fontId="0" fillId="39" borderId="49" xfId="0" applyFill="1" applyBorder="1" applyProtection="1">
      <protection locked="0"/>
    </xf>
    <xf numFmtId="0" fontId="0" fillId="39" borderId="50" xfId="0" applyFill="1" applyBorder="1" applyProtection="1">
      <protection locked="0"/>
    </xf>
    <xf numFmtId="0" fontId="0" fillId="39" borderId="51" xfId="0" applyFill="1" applyBorder="1" applyProtection="1">
      <protection locked="0"/>
    </xf>
    <xf numFmtId="0" fontId="0" fillId="39" borderId="52"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74" fillId="24" borderId="12" xfId="82" applyFont="1" applyFill="1" applyBorder="1"/>
    <xf numFmtId="0" fontId="7" fillId="24" borderId="20" xfId="82" applyFont="1" applyFill="1" applyBorder="1"/>
    <xf numFmtId="0" fontId="74" fillId="24" borderId="12" xfId="82" applyFont="1" applyFill="1" applyBorder="1" applyAlignment="1">
      <alignment horizontal="center"/>
    </xf>
    <xf numFmtId="0" fontId="6" fillId="24" borderId="17" xfId="82" applyFont="1" applyFill="1" applyBorder="1"/>
    <xf numFmtId="0" fontId="0" fillId="24" borderId="47" xfId="0" applyFill="1" applyBorder="1"/>
    <xf numFmtId="0" fontId="0" fillId="24" borderId="46" xfId="0" applyFill="1" applyBorder="1"/>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9" fontId="0" fillId="0" borderId="47" xfId="0" applyNumberFormat="1" applyBorder="1" applyAlignment="1">
      <alignment horizontal="right"/>
    </xf>
    <xf numFmtId="0" fontId="39" fillId="0" borderId="46" xfId="82" applyFont="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0" fontId="29" fillId="29" borderId="11" xfId="92" applyNumberFormat="1" applyFont="1" applyFill="1" applyBorder="1"/>
    <xf numFmtId="170" fontId="29" fillId="47" borderId="11" xfId="92" applyNumberFormat="1" applyFont="1" applyFill="1" applyBorder="1"/>
    <xf numFmtId="0" fontId="44" fillId="24" borderId="53"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4" xfId="0" applyFont="1" applyFill="1" applyBorder="1" applyAlignment="1">
      <alignment horizontal="center" wrapText="1"/>
    </xf>
    <xf numFmtId="0" fontId="44" fillId="24" borderId="55" xfId="0" applyFont="1" applyFill="1" applyBorder="1" applyAlignment="1">
      <alignment horizontal="center" wrapText="1"/>
    </xf>
    <xf numFmtId="0" fontId="0" fillId="24" borderId="38" xfId="0" applyFill="1" applyBorder="1"/>
    <xf numFmtId="0" fontId="44" fillId="24" borderId="37" xfId="0" applyFont="1" applyFill="1" applyBorder="1"/>
    <xf numFmtId="165" fontId="0" fillId="0" borderId="56" xfId="56" applyNumberFormat="1" applyFont="1" applyBorder="1"/>
    <xf numFmtId="0" fontId="0" fillId="0" borderId="11" xfId="82" applyFont="1" applyBorder="1"/>
    <xf numFmtId="0" fontId="27" fillId="0" borderId="11" xfId="82" applyFont="1" applyBorder="1"/>
    <xf numFmtId="0" fontId="44" fillId="24" borderId="57" xfId="0" applyFont="1" applyFill="1" applyBorder="1"/>
    <xf numFmtId="0" fontId="0" fillId="24" borderId="58" xfId="0" applyFill="1" applyBorder="1"/>
    <xf numFmtId="0" fontId="0" fillId="24" borderId="59" xfId="0" applyFill="1" applyBorder="1"/>
    <xf numFmtId="0" fontId="44" fillId="0" borderId="0" xfId="0" applyFont="1" applyAlignment="1">
      <alignment wrapText="1"/>
    </xf>
    <xf numFmtId="10" fontId="27" fillId="0" borderId="0" xfId="92" applyNumberFormat="1" applyFont="1" applyFill="1" applyBorder="1"/>
    <xf numFmtId="0" fontId="0" fillId="0" borderId="56" xfId="0" applyBorder="1"/>
    <xf numFmtId="9" fontId="0" fillId="0" borderId="0" xfId="0" applyNumberFormat="1" applyAlignment="1">
      <alignment horizontal="right"/>
    </xf>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2" fontId="44" fillId="24" borderId="20" xfId="0" applyNumberFormat="1" applyFont="1" applyFill="1" applyBorder="1" applyAlignment="1">
      <alignment horizontal="center"/>
    </xf>
    <xf numFmtId="165" fontId="46" fillId="51" borderId="19" xfId="82" applyNumberFormat="1" applyFont="1" applyFill="1" applyBorder="1"/>
    <xf numFmtId="165" fontId="46" fillId="51" borderId="11" xfId="82" applyNumberFormat="1" applyFont="1" applyFill="1" applyBorder="1"/>
    <xf numFmtId="165" fontId="46" fillId="51" borderId="28" xfId="82" applyNumberFormat="1" applyFont="1" applyFill="1" applyBorder="1"/>
    <xf numFmtId="168" fontId="46" fillId="39" borderId="35" xfId="57" applyNumberFormat="1" applyFont="1" applyFill="1" applyBorder="1" applyAlignment="1" applyProtection="1">
      <alignment horizontal="right"/>
      <protection locked="0"/>
    </xf>
    <xf numFmtId="168" fontId="46" fillId="39" borderId="35" xfId="57" applyNumberFormat="1" applyFont="1" applyFill="1" applyBorder="1" applyProtection="1">
      <protection locked="0"/>
    </xf>
    <xf numFmtId="10" fontId="46" fillId="39" borderId="35" xfId="92" applyNumberFormat="1" applyFont="1" applyFill="1" applyBorder="1" applyProtection="1">
      <protection locked="0"/>
    </xf>
    <xf numFmtId="10" fontId="46" fillId="39" borderId="26" xfId="92" applyNumberFormat="1" applyFont="1" applyFill="1" applyBorder="1" applyProtection="1">
      <protection locked="0"/>
    </xf>
    <xf numFmtId="166" fontId="6" fillId="25" borderId="0" xfId="56" applyNumberFormat="1" applyFont="1" applyFill="1" applyBorder="1" applyAlignment="1">
      <alignment horizontal="center"/>
    </xf>
    <xf numFmtId="166" fontId="6" fillId="25" borderId="0" xfId="56" applyNumberFormat="1" applyFont="1" applyFill="1" applyBorder="1"/>
    <xf numFmtId="0" fontId="6" fillId="25" borderId="20" xfId="82" applyFont="1" applyFill="1" applyBorder="1"/>
    <xf numFmtId="0" fontId="0" fillId="25" borderId="0" xfId="0" applyFill="1"/>
    <xf numFmtId="0" fontId="41" fillId="25" borderId="0" xfId="0" applyFont="1" applyFill="1"/>
    <xf numFmtId="0" fontId="75" fillId="25" borderId="0" xfId="82" applyFont="1" applyFill="1"/>
    <xf numFmtId="0" fontId="44" fillId="25" borderId="0" xfId="0" applyFont="1" applyFill="1"/>
    <xf numFmtId="0" fontId="76" fillId="25" borderId="0" xfId="82" applyFont="1" applyFill="1"/>
    <xf numFmtId="0" fontId="48" fillId="25" borderId="0" xfId="82" applyFont="1" applyFill="1" applyProtection="1">
      <protection locked="0"/>
    </xf>
    <xf numFmtId="0" fontId="6" fillId="25" borderId="0" xfId="82" applyFont="1" applyFill="1"/>
    <xf numFmtId="0" fontId="46" fillId="25" borderId="0" xfId="82" applyFont="1" applyFill="1"/>
    <xf numFmtId="0" fontId="48" fillId="25" borderId="0" xfId="82" applyFont="1" applyFill="1"/>
    <xf numFmtId="0" fontId="48" fillId="25" borderId="0" xfId="82" applyFont="1" applyFill="1" applyAlignment="1">
      <alignment horizontal="center"/>
    </xf>
    <xf numFmtId="0" fontId="48" fillId="25" borderId="0" xfId="82" applyFont="1" applyFill="1" applyAlignment="1">
      <alignment horizontal="center" wrapText="1"/>
    </xf>
    <xf numFmtId="0" fontId="46" fillId="25" borderId="0" xfId="82" applyFont="1" applyFill="1" applyProtection="1">
      <protection locked="0"/>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0" fontId="46" fillId="25" borderId="0" xfId="82" applyFont="1" applyFill="1" applyAlignment="1" applyProtection="1">
      <alignment horizontal="right"/>
      <protection locked="0"/>
    </xf>
    <xf numFmtId="3" fontId="46" fillId="25" borderId="0" xfId="82" applyNumberFormat="1" applyFont="1" applyFill="1" applyProtection="1">
      <protection locked="0"/>
    </xf>
    <xf numFmtId="164" fontId="46" fillId="25" borderId="0" xfId="82" applyNumberFormat="1" applyFont="1" applyFill="1" applyProtection="1">
      <protection locked="0"/>
    </xf>
    <xf numFmtId="9" fontId="46" fillId="25" borderId="0" xfId="82" applyNumberFormat="1" applyFont="1" applyFill="1" applyProtection="1">
      <protection locked="0"/>
    </xf>
    <xf numFmtId="165" fontId="46" fillId="25" borderId="0" xfId="82" applyNumberFormat="1" applyFont="1" applyFill="1" applyProtection="1">
      <protection locked="0"/>
    </xf>
    <xf numFmtId="2" fontId="46" fillId="25" borderId="0" xfId="82" applyNumberFormat="1" applyFont="1" applyFill="1" applyProtection="1">
      <protection locked="0"/>
    </xf>
    <xf numFmtId="165" fontId="48" fillId="25" borderId="0" xfId="82" applyNumberFormat="1" applyFont="1" applyFill="1"/>
    <xf numFmtId="0" fontId="6" fillId="25" borderId="0" xfId="82" applyFont="1" applyFill="1" applyAlignment="1">
      <alignment horizontal="left"/>
    </xf>
    <xf numFmtId="0" fontId="6" fillId="25" borderId="0" xfId="82" applyFont="1" applyFill="1" applyAlignment="1">
      <alignment horizontal="right"/>
    </xf>
    <xf numFmtId="0" fontId="6" fillId="25" borderId="0" xfId="82" applyFont="1" applyFill="1" applyAlignment="1">
      <alignment horizontal="center"/>
    </xf>
    <xf numFmtId="0" fontId="48" fillId="25" borderId="0" xfId="82" applyFont="1" applyFill="1" applyAlignment="1">
      <alignment horizontal="left"/>
    </xf>
    <xf numFmtId="166" fontId="46" fillId="25" borderId="0" xfId="56" applyNumberFormat="1" applyFont="1" applyFill="1" applyBorder="1" applyAlignment="1" applyProtection="1">
      <alignment horizontal="left"/>
      <protection locked="0"/>
    </xf>
    <xf numFmtId="0" fontId="46" fillId="25" borderId="0" xfId="82" applyFont="1" applyFill="1" applyAlignment="1" applyProtection="1">
      <alignment horizontal="left"/>
      <protection locked="0"/>
    </xf>
    <xf numFmtId="0" fontId="6" fillId="25" borderId="0" xfId="82" applyFont="1" applyFill="1" applyAlignment="1" applyProtection="1">
      <alignment horizontal="right"/>
      <protection locked="0"/>
    </xf>
    <xf numFmtId="166" fontId="6" fillId="25" borderId="0" xfId="56" applyNumberFormat="1" applyFont="1" applyFill="1" applyBorder="1" applyProtection="1">
      <protection locked="0"/>
    </xf>
    <xf numFmtId="0" fontId="6" fillId="25" borderId="0" xfId="82" applyFont="1" applyFill="1" applyProtection="1">
      <protection locked="0"/>
    </xf>
    <xf numFmtId="0" fontId="55" fillId="25" borderId="0" xfId="82" applyFont="1" applyFill="1" applyAlignment="1" applyProtection="1">
      <alignment horizontal="right"/>
      <protection locked="0"/>
    </xf>
    <xf numFmtId="0" fontId="55" fillId="25" borderId="0" xfId="82" applyFont="1" applyFill="1" applyProtection="1">
      <protection locked="0"/>
    </xf>
    <xf numFmtId="0" fontId="72" fillId="25" borderId="0" xfId="82" applyFont="1" applyFill="1"/>
    <xf numFmtId="0" fontId="53" fillId="25" borderId="0" xfId="72" applyFont="1" applyFill="1" applyBorder="1" applyAlignment="1" applyProtection="1">
      <alignment vertical="top"/>
    </xf>
    <xf numFmtId="0" fontId="53" fillId="25" borderId="0" xfId="72" applyFont="1" applyFill="1" applyBorder="1" applyAlignment="1" applyProtection="1"/>
    <xf numFmtId="0" fontId="28" fillId="25" borderId="0" xfId="72" applyFill="1" applyBorder="1" applyAlignment="1" applyProtection="1">
      <alignment vertical="top"/>
    </xf>
    <xf numFmtId="0" fontId="77" fillId="0" borderId="0" xfId="82" applyFont="1"/>
    <xf numFmtId="0" fontId="78" fillId="0" borderId="0" xfId="82" applyFont="1"/>
    <xf numFmtId="0" fontId="78" fillId="25" borderId="0" xfId="82" applyFont="1" applyFill="1"/>
    <xf numFmtId="0" fontId="78" fillId="39" borderId="11" xfId="82" applyFont="1" applyFill="1" applyBorder="1" applyProtection="1">
      <protection locked="0"/>
    </xf>
    <xf numFmtId="164" fontId="78" fillId="39" borderId="11" xfId="82" applyNumberFormat="1" applyFont="1" applyFill="1" applyBorder="1" applyProtection="1">
      <protection locked="0"/>
    </xf>
    <xf numFmtId="9" fontId="78" fillId="39" borderId="11" xfId="92" applyFont="1" applyFill="1" applyBorder="1" applyProtection="1">
      <protection locked="0"/>
    </xf>
    <xf numFmtId="165" fontId="78" fillId="39" borderId="11" xfId="82" applyNumberFormat="1" applyFont="1" applyFill="1" applyBorder="1" applyProtection="1">
      <protection locked="0"/>
    </xf>
    <xf numFmtId="0" fontId="78" fillId="39" borderId="11" xfId="82" applyFont="1" applyFill="1" applyBorder="1" applyAlignment="1" applyProtection="1">
      <alignment wrapText="1"/>
      <protection locked="0"/>
    </xf>
    <xf numFmtId="0" fontId="77" fillId="24" borderId="11" xfId="82" applyFont="1" applyFill="1" applyBorder="1" applyAlignment="1">
      <alignment horizontal="center"/>
    </xf>
    <xf numFmtId="0" fontId="46" fillId="25" borderId="0" xfId="72" applyFont="1" applyFill="1" applyBorder="1" applyAlignment="1" applyProtection="1">
      <alignment wrapText="1"/>
    </xf>
    <xf numFmtId="0" fontId="46" fillId="25" borderId="0" xfId="72" applyFont="1" applyFill="1" applyBorder="1" applyAlignment="1" applyProtection="1">
      <alignment horizontal="left" vertical="top" wrapText="1"/>
    </xf>
    <xf numFmtId="3" fontId="0" fillId="39" borderId="11" xfId="0" applyNumberFormat="1" applyFill="1" applyBorder="1"/>
    <xf numFmtId="7" fontId="0" fillId="39" borderId="11" xfId="0" applyNumberFormat="1" applyFill="1" applyBorder="1"/>
    <xf numFmtId="0" fontId="79" fillId="24" borderId="11" xfId="0" applyFont="1" applyFill="1" applyBorder="1"/>
    <xf numFmtId="0" fontId="0" fillId="25" borderId="11" xfId="0" applyFill="1" applyBorder="1"/>
    <xf numFmtId="166" fontId="48" fillId="25" borderId="0" xfId="56" applyNumberFormat="1" applyFont="1" applyFill="1" applyBorder="1" applyAlignment="1" applyProtection="1">
      <alignment horizontal="right"/>
      <protection locked="0"/>
    </xf>
    <xf numFmtId="7" fontId="48" fillId="39" borderId="11" xfId="82" applyNumberFormat="1" applyFont="1" applyFill="1" applyBorder="1" applyAlignment="1" applyProtection="1">
      <alignment horizontal="right"/>
      <protection locked="0"/>
    </xf>
    <xf numFmtId="3" fontId="44" fillId="25" borderId="0" xfId="0" applyNumberFormat="1" applyFont="1" applyFill="1"/>
    <xf numFmtId="0" fontId="0" fillId="24" borderId="32" xfId="0" applyFill="1" applyBorder="1" applyAlignment="1">
      <alignment horizontal="center"/>
    </xf>
    <xf numFmtId="9" fontId="0" fillId="0" borderId="12" xfId="0" applyNumberFormat="1" applyBorder="1" applyAlignment="1">
      <alignment horizontal="right"/>
    </xf>
    <xf numFmtId="0" fontId="0" fillId="25" borderId="0" xfId="0" applyFill="1" applyAlignment="1">
      <alignment horizontal="center"/>
    </xf>
    <xf numFmtId="9" fontId="0" fillId="25" borderId="0" xfId="0" applyNumberFormat="1" applyFill="1" applyAlignment="1" applyProtection="1">
      <alignment horizontal="right"/>
      <protection locked="0"/>
    </xf>
    <xf numFmtId="9" fontId="0" fillId="25" borderId="0" xfId="0" applyNumberFormat="1" applyFill="1" applyAlignment="1">
      <alignment horizontal="right"/>
    </xf>
    <xf numFmtId="3" fontId="0" fillId="25" borderId="0" xfId="0" applyNumberFormat="1" applyFill="1" applyAlignment="1">
      <alignment horizontal="right"/>
    </xf>
    <xf numFmtId="0" fontId="44" fillId="24" borderId="11" xfId="0" applyFont="1" applyFill="1" applyBorder="1"/>
    <xf numFmtId="0" fontId="77" fillId="24" borderId="11" xfId="82" applyFont="1" applyFill="1" applyBorder="1" applyAlignment="1">
      <alignment horizontal="center" wrapText="1"/>
    </xf>
    <xf numFmtId="164" fontId="44" fillId="24" borderId="11" xfId="0" applyNumberFormat="1" applyFont="1" applyFill="1" applyBorder="1" applyAlignment="1">
      <alignment horizontal="center"/>
    </xf>
    <xf numFmtId="166" fontId="44" fillId="24" borderId="11" xfId="56" applyNumberFormat="1" applyFont="1" applyFill="1" applyBorder="1"/>
    <xf numFmtId="164" fontId="44" fillId="24" borderId="11" xfId="0" applyNumberFormat="1" applyFont="1" applyFill="1" applyBorder="1"/>
    <xf numFmtId="164" fontId="44" fillId="24" borderId="11" xfId="0" applyNumberFormat="1" applyFont="1" applyFill="1" applyBorder="1" applyAlignment="1">
      <alignment horizontal="center" wrapText="1"/>
    </xf>
    <xf numFmtId="10" fontId="44" fillId="24" borderId="11" xfId="0" applyNumberFormat="1" applyFont="1" applyFill="1" applyBorder="1"/>
    <xf numFmtId="166" fontId="36" fillId="52" borderId="11" xfId="56" applyNumberFormat="1" applyFont="1" applyFill="1" applyBorder="1" applyAlignment="1" applyProtection="1">
      <alignment horizontal="right" vertical="center"/>
      <protection locked="0"/>
    </xf>
    <xf numFmtId="10" fontId="0" fillId="39" borderId="11" xfId="0" applyNumberFormat="1" applyFill="1" applyBorder="1" applyAlignment="1" applyProtection="1">
      <alignment horizontal="right"/>
      <protection locked="0"/>
    </xf>
    <xf numFmtId="0" fontId="77" fillId="24" borderId="11" xfId="82" applyFont="1" applyFill="1" applyBorder="1" applyAlignment="1">
      <alignment horizontal="left"/>
    </xf>
    <xf numFmtId="0" fontId="0" fillId="25" borderId="0" xfId="0" applyFill="1" applyAlignment="1">
      <alignment horizontal="center" wrapText="1"/>
    </xf>
    <xf numFmtId="10" fontId="0" fillId="25" borderId="0" xfId="0" applyNumberFormat="1" applyFill="1"/>
    <xf numFmtId="0" fontId="44" fillId="0" borderId="10" xfId="0" applyFont="1" applyBorder="1"/>
    <xf numFmtId="3" fontId="0" fillId="0" borderId="10" xfId="0" applyNumberFormat="1" applyBorder="1"/>
    <xf numFmtId="0" fontId="80" fillId="0" borderId="0" xfId="0" applyFont="1"/>
    <xf numFmtId="0" fontId="80" fillId="0" borderId="40" xfId="0" applyFont="1" applyBorder="1"/>
    <xf numFmtId="0" fontId="81" fillId="0" borderId="61" xfId="0" applyFont="1" applyBorder="1" applyAlignment="1">
      <alignment wrapText="1"/>
    </xf>
    <xf numFmtId="0" fontId="80" fillId="0" borderId="61" xfId="0" applyFont="1" applyBorder="1"/>
    <xf numFmtId="0" fontId="81" fillId="0" borderId="0" xfId="0" applyFont="1"/>
    <xf numFmtId="0" fontId="81" fillId="0" borderId="61" xfId="0" applyFont="1" applyBorder="1"/>
    <xf numFmtId="0" fontId="80" fillId="0" borderId="39" xfId="0" applyFont="1" applyBorder="1"/>
    <xf numFmtId="0" fontId="80" fillId="0" borderId="62" xfId="0" applyFont="1" applyBorder="1"/>
    <xf numFmtId="0" fontId="80" fillId="0" borderId="63" xfId="0" applyFont="1" applyBorder="1"/>
    <xf numFmtId="0" fontId="81" fillId="0" borderId="0" xfId="0" applyFont="1" applyAlignment="1">
      <alignment wrapText="1"/>
    </xf>
    <xf numFmtId="0" fontId="80" fillId="53" borderId="11" xfId="0" applyFont="1" applyFill="1" applyBorder="1" applyAlignment="1">
      <alignment horizontal="center" wrapText="1"/>
    </xf>
    <xf numFmtId="0" fontId="82" fillId="54" borderId="11" xfId="0" applyFont="1" applyFill="1" applyBorder="1" applyAlignment="1">
      <alignment horizontal="center" wrapText="1"/>
    </xf>
    <xf numFmtId="0" fontId="80" fillId="0" borderId="12" xfId="0" applyFont="1" applyBorder="1" applyAlignment="1">
      <alignment wrapText="1"/>
    </xf>
    <xf numFmtId="0" fontId="80" fillId="0" borderId="20" xfId="0" applyFont="1" applyBorder="1"/>
    <xf numFmtId="0" fontId="80" fillId="0" borderId="11" xfId="0" applyFont="1" applyBorder="1"/>
    <xf numFmtId="0" fontId="81" fillId="0" borderId="12" xfId="0" applyFont="1" applyBorder="1" applyAlignment="1">
      <alignment wrapText="1"/>
    </xf>
    <xf numFmtId="0" fontId="80" fillId="0" borderId="29" xfId="0" applyFont="1" applyBorder="1"/>
    <xf numFmtId="0" fontId="80" fillId="0" borderId="65" xfId="0" applyFont="1" applyBorder="1"/>
    <xf numFmtId="0" fontId="81" fillId="53" borderId="11" xfId="0" applyFont="1" applyFill="1" applyBorder="1"/>
    <xf numFmtId="6" fontId="81" fillId="24" borderId="11" xfId="0" applyNumberFormat="1" applyFont="1" applyFill="1" applyBorder="1"/>
    <xf numFmtId="9" fontId="48" fillId="24" borderId="11" xfId="82" applyNumberFormat="1" applyFont="1" applyFill="1" applyBorder="1" applyAlignment="1">
      <alignment horizontal="right"/>
    </xf>
    <xf numFmtId="166" fontId="0" fillId="39" borderId="11" xfId="56" applyNumberFormat="1" applyFont="1" applyFill="1" applyBorder="1" applyAlignment="1" applyProtection="1">
      <alignment horizontal="right"/>
      <protection locked="0"/>
    </xf>
    <xf numFmtId="166" fontId="80" fillId="0" borderId="11" xfId="56" applyNumberFormat="1" applyFont="1" applyBorder="1"/>
    <xf numFmtId="166" fontId="77" fillId="24" borderId="11" xfId="56" applyNumberFormat="1" applyFont="1" applyFill="1" applyBorder="1" applyAlignment="1">
      <alignment horizontal="center" wrapText="1"/>
    </xf>
    <xf numFmtId="166" fontId="0" fillId="0" borderId="11" xfId="56" applyNumberFormat="1" applyFont="1" applyBorder="1"/>
    <xf numFmtId="0" fontId="80" fillId="24" borderId="11" xfId="0" applyFont="1" applyFill="1" applyBorder="1"/>
    <xf numFmtId="164" fontId="46" fillId="25" borderId="11" xfId="82" applyNumberFormat="1" applyFont="1" applyFill="1" applyBorder="1"/>
    <xf numFmtId="165" fontId="77" fillId="25" borderId="0" xfId="82" applyNumberFormat="1" applyFont="1" applyFill="1" applyProtection="1">
      <protection locked="0"/>
    </xf>
    <xf numFmtId="0" fontId="44" fillId="0" borderId="18" xfId="0" applyFont="1" applyBorder="1"/>
    <xf numFmtId="165" fontId="77" fillId="24" borderId="11" xfId="82" applyNumberFormat="1" applyFont="1" applyFill="1" applyBorder="1" applyProtection="1">
      <protection locked="0"/>
    </xf>
    <xf numFmtId="0" fontId="46" fillId="25" borderId="0" xfId="72" applyFont="1" applyFill="1" applyBorder="1" applyAlignment="1" applyProtection="1">
      <alignment horizontal="left" vertical="top"/>
    </xf>
    <xf numFmtId="3" fontId="0" fillId="39" borderId="11" xfId="0" applyNumberFormat="1" applyFill="1" applyBorder="1" applyProtection="1">
      <protection locked="0"/>
    </xf>
    <xf numFmtId="0" fontId="0" fillId="24" borderId="60" xfId="0" applyFill="1" applyBorder="1" applyAlignment="1">
      <alignment horizontal="center" wrapText="1"/>
    </xf>
    <xf numFmtId="0" fontId="0" fillId="0" borderId="11" xfId="0" applyBorder="1" applyAlignment="1">
      <alignment horizontal="center" wrapText="1"/>
    </xf>
    <xf numFmtId="3" fontId="44" fillId="0" borderId="11" xfId="0" applyNumberFormat="1" applyFont="1" applyBorder="1" applyAlignment="1">
      <alignment horizontal="right"/>
    </xf>
    <xf numFmtId="166" fontId="44" fillId="0" borderId="11" xfId="56" applyNumberFormat="1" applyFont="1" applyFill="1" applyBorder="1" applyAlignment="1" applyProtection="1">
      <alignment horizontal="right"/>
      <protection locked="0"/>
    </xf>
    <xf numFmtId="9" fontId="0" fillId="39" borderId="60" xfId="0" applyNumberFormat="1" applyFill="1" applyBorder="1" applyAlignment="1" applyProtection="1">
      <alignment horizontal="right"/>
      <protection locked="0"/>
    </xf>
    <xf numFmtId="166" fontId="81" fillId="0" borderId="0" xfId="56" applyNumberFormat="1" applyFont="1" applyBorder="1"/>
    <xf numFmtId="165" fontId="44" fillId="25" borderId="0" xfId="0" applyNumberFormat="1" applyFont="1" applyFill="1"/>
    <xf numFmtId="6" fontId="81" fillId="25" borderId="0" xfId="0" applyNumberFormat="1" applyFont="1" applyFill="1"/>
    <xf numFmtId="166" fontId="0" fillId="24" borderId="11" xfId="56" applyNumberFormat="1" applyFont="1" applyFill="1" applyBorder="1" applyAlignment="1" applyProtection="1">
      <alignment horizontal="right"/>
      <protection locked="0"/>
    </xf>
    <xf numFmtId="3" fontId="0" fillId="24" borderId="11" xfId="0" applyNumberFormat="1" applyFill="1" applyBorder="1"/>
    <xf numFmtId="0" fontId="28" fillId="25" borderId="20" xfId="72" applyFill="1" applyBorder="1" applyAlignment="1" applyProtection="1"/>
    <xf numFmtId="166" fontId="81" fillId="24" borderId="11" xfId="56" applyNumberFormat="1" applyFont="1" applyFill="1" applyBorder="1"/>
    <xf numFmtId="0" fontId="44" fillId="25" borderId="0" xfId="0" applyFont="1" applyFill="1" applyAlignment="1">
      <alignment horizontal="left"/>
    </xf>
    <xf numFmtId="166" fontId="81" fillId="25" borderId="0" xfId="56" applyNumberFormat="1" applyFont="1" applyFill="1" applyBorder="1"/>
    <xf numFmtId="0" fontId="0" fillId="25" borderId="0" xfId="0" applyFill="1" applyAlignment="1">
      <alignment horizontal="left"/>
    </xf>
    <xf numFmtId="9" fontId="0" fillId="39" borderId="11" xfId="0" applyNumberFormat="1" applyFill="1" applyBorder="1" applyAlignment="1" applyProtection="1">
      <alignment horizontal="right"/>
      <protection locked="0"/>
    </xf>
    <xf numFmtId="0" fontId="54" fillId="25" borderId="0" xfId="0" applyFont="1" applyFill="1" applyAlignment="1">
      <alignment horizontal="left"/>
    </xf>
    <xf numFmtId="0" fontId="58" fillId="25" borderId="14" xfId="0" applyFont="1" applyFill="1" applyBorder="1" applyAlignment="1">
      <alignment vertical="center"/>
    </xf>
    <xf numFmtId="10" fontId="0" fillId="39" borderId="11" xfId="0" applyNumberFormat="1" applyFill="1" applyBorder="1" applyProtection="1">
      <protection locked="0"/>
    </xf>
    <xf numFmtId="10" fontId="0" fillId="24" borderId="11" xfId="0" applyNumberFormat="1" applyFill="1" applyBorder="1" applyProtection="1">
      <protection locked="0"/>
    </xf>
    <xf numFmtId="0" fontId="0" fillId="24" borderId="11" xfId="0" applyFill="1" applyBorder="1" applyProtection="1">
      <protection locked="0"/>
    </xf>
    <xf numFmtId="3" fontId="0" fillId="39" borderId="31" xfId="0" applyNumberFormat="1" applyFill="1" applyBorder="1" applyAlignment="1" applyProtection="1">
      <alignment horizontal="right"/>
      <protection locked="0"/>
    </xf>
    <xf numFmtId="3" fontId="0" fillId="39" borderId="66" xfId="0" applyNumberFormat="1" applyFill="1" applyBorder="1" applyAlignment="1" applyProtection="1">
      <alignment horizontal="right"/>
      <protection locked="0"/>
    </xf>
    <xf numFmtId="166" fontId="80" fillId="39" borderId="11" xfId="56" applyNumberFormat="1" applyFont="1" applyFill="1" applyBorder="1" applyProtection="1">
      <protection locked="0"/>
    </xf>
    <xf numFmtId="164" fontId="46" fillId="39" borderId="11" xfId="8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6" fillId="25" borderId="0" xfId="72" applyFont="1" applyFill="1" applyBorder="1" applyAlignment="1" applyProtection="1">
      <alignment horizontal="left" wrapText="1"/>
    </xf>
    <xf numFmtId="0" fontId="80" fillId="0" borderId="0" xfId="0" applyFont="1" applyAlignment="1">
      <alignment horizontal="left" vertical="top" wrapText="1"/>
    </xf>
    <xf numFmtId="0" fontId="80" fillId="0" borderId="64" xfId="0" applyFont="1" applyBorder="1"/>
    <xf numFmtId="0" fontId="80" fillId="0" borderId="29" xfId="0" applyFont="1" applyBorder="1"/>
    <xf numFmtId="0" fontId="46" fillId="25" borderId="0" xfId="72" applyFont="1" applyFill="1" applyBorder="1" applyAlignment="1" applyProtection="1">
      <alignment horizontal="left" vertical="top"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4.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ardiacrehabilitation.org.uk/site/docs/NACR%20Quality%20and%20Outcomes%20Report%202024%20Final.pdf" TargetMode="External"/><Relationship Id="rId5" Type="http://schemas.openxmlformats.org/officeDocument/2006/relationships/hyperlink" Target="https://www.cardiacrehabilitation.org.uk/site/docs/NACR%20Quality%20and%20Outcomes%20Report%202024%20Final.pdf"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medicines.org.uk/emc"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03" zoomScale="75" zoomScaleNormal="75" workbookViewId="0">
      <selection activeCell="L1794" sqref="L1794"/>
    </sheetView>
  </sheetViews>
  <sheetFormatPr defaultColWidth="9.179687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54296875" style="9" customWidth="1"/>
    <col min="15" max="15" width="14.1796875" style="9" customWidth="1"/>
    <col min="16" max="16" width="10.81640625" style="9" customWidth="1"/>
    <col min="17" max="17" width="15.1796875" style="10" customWidth="1"/>
    <col min="18" max="18" width="20.1796875" style="10" customWidth="1"/>
    <col min="19" max="42" width="10.81640625" style="10" customWidth="1"/>
    <col min="43" max="50" width="10.81640625" style="11" customWidth="1"/>
    <col min="51" max="105" width="10.81640625" style="1" customWidth="1"/>
    <col min="106" max="106" width="11.453125" style="1" customWidth="1"/>
    <col min="107" max="193" width="10.81640625" style="9" customWidth="1"/>
    <col min="194" max="194" width="10.453125" style="9" customWidth="1"/>
    <col min="195" max="16384" width="9.1796875" style="9"/>
  </cols>
  <sheetData>
    <row r="1" spans="2:106" x14ac:dyDescent="0.3">
      <c r="C1" s="553" t="s">
        <v>0</v>
      </c>
    </row>
    <row r="2" spans="2:106" x14ac:dyDescent="0.3">
      <c r="B2" s="8" t="s">
        <v>1</v>
      </c>
    </row>
    <row r="3" spans="2:106" x14ac:dyDescent="0.3">
      <c r="B3" s="83" t="s">
        <v>2</v>
      </c>
      <c r="C3" s="639"/>
      <c r="D3" s="640"/>
      <c r="E3" s="640"/>
      <c r="F3" s="640"/>
      <c r="G3" s="641"/>
    </row>
    <row r="4" spans="2:106" x14ac:dyDescent="0.3">
      <c r="B4" s="84"/>
      <c r="C4" s="85"/>
      <c r="D4" s="6"/>
      <c r="E4" s="6"/>
      <c r="F4" s="6"/>
      <c r="G4" s="86"/>
      <c r="L4" s="8" t="s">
        <v>3</v>
      </c>
      <c r="M4" s="8" t="s">
        <v>3</v>
      </c>
      <c r="N4" s="8" t="s">
        <v>4</v>
      </c>
      <c r="O4" s="8" t="s">
        <v>4</v>
      </c>
      <c r="P4" s="8" t="s">
        <v>5</v>
      </c>
      <c r="R4" s="155" t="s">
        <v>6</v>
      </c>
      <c r="S4" s="155" t="s">
        <v>7</v>
      </c>
      <c r="T4" s="155" t="s">
        <v>8</v>
      </c>
      <c r="V4" s="155" t="s">
        <v>9</v>
      </c>
    </row>
    <row r="5" spans="2:106" ht="28" x14ac:dyDescent="0.3">
      <c r="B5" s="87" t="s">
        <v>10</v>
      </c>
      <c r="C5" s="85"/>
      <c r="D5" s="6"/>
      <c r="E5" s="6"/>
      <c r="F5" s="6"/>
      <c r="G5" s="86"/>
      <c r="L5" s="14" t="s">
        <v>11</v>
      </c>
      <c r="M5" s="14" t="s">
        <v>12</v>
      </c>
      <c r="N5" s="14" t="s">
        <v>13</v>
      </c>
      <c r="O5" s="14" t="s">
        <v>14</v>
      </c>
      <c r="P5" s="17"/>
      <c r="Q5" s="15"/>
      <c r="R5" s="14" t="s">
        <v>14</v>
      </c>
      <c r="S5" s="125" t="s">
        <v>15</v>
      </c>
      <c r="V5" s="126">
        <v>4</v>
      </c>
    </row>
    <row r="6" spans="2:106" x14ac:dyDescent="0.3">
      <c r="B6" s="87" t="s">
        <v>16</v>
      </c>
      <c r="C6" s="85"/>
      <c r="D6" s="6"/>
      <c r="E6" s="6"/>
      <c r="F6" s="6"/>
      <c r="G6" s="86"/>
      <c r="J6" s="121"/>
      <c r="L6" s="19" t="s">
        <v>17</v>
      </c>
      <c r="M6" s="19" t="s">
        <v>18</v>
      </c>
      <c r="N6" s="19" t="str">
        <f>'Resource impact'!$D$11</f>
        <v>National</v>
      </c>
      <c r="O6" s="19" t="str">
        <f>IFERROR(VLOOKUP('Resource impact'!$D$11, $L$5:$M$14, 2, FALSE), "-")</f>
        <v>NATIONAL</v>
      </c>
      <c r="P6" s="14" t="b">
        <f>ISTEXT('Resource impact'!$D$12)</f>
        <v>1</v>
      </c>
      <c r="R6" s="171" t="s">
        <v>19</v>
      </c>
      <c r="S6" s="125" t="s">
        <v>20</v>
      </c>
      <c r="V6" s="126">
        <v>5</v>
      </c>
    </row>
    <row r="7" spans="2:106" x14ac:dyDescent="0.3">
      <c r="B7" s="84"/>
      <c r="C7" s="85"/>
      <c r="D7" s="6"/>
      <c r="E7" s="6"/>
      <c r="F7" s="6"/>
      <c r="G7" s="86"/>
      <c r="L7" s="19" t="s">
        <v>21</v>
      </c>
      <c r="M7" s="19" t="s">
        <v>22</v>
      </c>
      <c r="N7" s="19" t="str">
        <f>'Resource impact'!$D$11</f>
        <v>National</v>
      </c>
      <c r="O7" s="19" t="str">
        <f>IFERROR(VLOOKUP('Resource impact'!$D$11, $L$5:$M$14, 2, FALSE), "-")</f>
        <v>NATIONAL</v>
      </c>
      <c r="P7" s="14" t="b">
        <f>ISTEXT('Resource impact'!$D$12)</f>
        <v>1</v>
      </c>
      <c r="R7" s="171" t="s">
        <v>23</v>
      </c>
      <c r="S7" s="348"/>
      <c r="V7" s="126">
        <v>6</v>
      </c>
    </row>
    <row r="8" spans="2:106" ht="19.75" customHeight="1" x14ac:dyDescent="0.3">
      <c r="B8" s="88" t="s">
        <v>24</v>
      </c>
      <c r="C8" s="89"/>
      <c r="D8" s="90"/>
      <c r="E8" s="90"/>
      <c r="F8" s="90"/>
      <c r="G8" s="91"/>
      <c r="L8" s="19" t="s">
        <v>25</v>
      </c>
      <c r="M8" s="19" t="s">
        <v>26</v>
      </c>
      <c r="N8" s="19" t="str">
        <f>'Resource impact'!$D$11</f>
        <v>National</v>
      </c>
      <c r="O8" s="19" t="str">
        <f>IFERROR(VLOOKUP('Resource impact'!$D$11, $L$5:$M$14, 2, FALSE), "-")</f>
        <v>NATIONAL</v>
      </c>
      <c r="P8" s="14" t="b">
        <f>ISTEXT('Resource impact'!$D$12)</f>
        <v>1</v>
      </c>
      <c r="V8" s="126">
        <v>7</v>
      </c>
    </row>
    <row r="9" spans="2:106" ht="19.75" customHeight="1" x14ac:dyDescent="0.35">
      <c r="B9" s="12"/>
      <c r="L9" s="19" t="s">
        <v>27</v>
      </c>
      <c r="M9" s="19" t="s">
        <v>28</v>
      </c>
      <c r="N9" s="19" t="str">
        <f>'Resource impact'!$D$11</f>
        <v>National</v>
      </c>
      <c r="O9" s="19" t="str">
        <f>IFERROR(VLOOKUP('Resource impact'!$D$11, $L$5:$M$14, 2, FALSE), "-")</f>
        <v>NATIONAL</v>
      </c>
      <c r="P9" s="14" t="b">
        <f>ISTEXT('Resource impact'!$D$12)</f>
        <v>1</v>
      </c>
      <c r="V9" s="126" t="s">
        <v>29</v>
      </c>
    </row>
    <row r="10" spans="2:106" ht="14.5" x14ac:dyDescent="0.35">
      <c r="B10" s="12"/>
      <c r="K10" s="22"/>
      <c r="L10" s="19" t="s">
        <v>30</v>
      </c>
      <c r="M10" s="19" t="s">
        <v>31</v>
      </c>
      <c r="N10" s="19" t="str">
        <f>'Resource impact'!$D$11</f>
        <v>National</v>
      </c>
      <c r="O10" s="19" t="str">
        <f>IFERROR(VLOOKUP('Resource impact'!$D$11, $L$5:$M$14, 2, FALSE), "-")</f>
        <v>NATIONAL</v>
      </c>
      <c r="P10" s="14" t="b">
        <f>ISTEXT('Resource impact'!$D$12)</f>
        <v>1</v>
      </c>
      <c r="V10" s="126" t="s">
        <v>32</v>
      </c>
    </row>
    <row r="11" spans="2:106" x14ac:dyDescent="0.3">
      <c r="B11" s="8" t="s">
        <v>33</v>
      </c>
      <c r="C11" s="22"/>
      <c r="D11" s="22"/>
      <c r="E11" s="22"/>
      <c r="K11" s="22"/>
      <c r="L11" s="100" t="s">
        <v>34</v>
      </c>
      <c r="M11" s="19" t="s">
        <v>35</v>
      </c>
      <c r="N11" s="19" t="str">
        <f>'Resource impact'!$D$11</f>
        <v>National</v>
      </c>
      <c r="O11" s="19" t="str">
        <f>IFERROR(VLOOKUP('Resource impact'!$D$11, $L$5:$M$14, 2, FALSE), "-")</f>
        <v>NATIONAL</v>
      </c>
      <c r="P11" s="14" t="b">
        <f>ISTEXT('Resource impact'!$D$12)</f>
        <v>1</v>
      </c>
      <c r="V11" s="126" t="s">
        <v>36</v>
      </c>
    </row>
    <row r="12" spans="2:106" ht="43.5" customHeight="1" x14ac:dyDescent="0.3">
      <c r="B12" s="13"/>
      <c r="D12" s="177" t="s">
        <v>37</v>
      </c>
      <c r="E12" s="177" t="s">
        <v>37</v>
      </c>
      <c r="L12" s="19" t="s">
        <v>38</v>
      </c>
      <c r="M12" s="19" t="s">
        <v>39</v>
      </c>
      <c r="N12" s="19" t="str">
        <f>'Resource impact'!$D$11</f>
        <v>National</v>
      </c>
      <c r="O12" s="19" t="str">
        <f>IFERROR(VLOOKUP('Resource impact'!$D$11, $L$5:$M$14, 2, FALSE), "-")</f>
        <v>NATIONAL</v>
      </c>
      <c r="P12" s="14" t="b">
        <f>ISTEXT('Resource impact'!$D$12)</f>
        <v>1</v>
      </c>
      <c r="V12" s="126" t="s">
        <v>40</v>
      </c>
    </row>
    <row r="13" spans="2:106" s="17" customFormat="1" ht="46" customHeight="1" x14ac:dyDescent="0.3">
      <c r="B13" s="178" t="s">
        <v>41</v>
      </c>
      <c r="C13" s="178" t="s">
        <v>42</v>
      </c>
      <c r="D13" s="24" t="s">
        <v>43</v>
      </c>
      <c r="E13" s="24" t="s">
        <v>44</v>
      </c>
      <c r="F13" s="178" t="s">
        <v>45</v>
      </c>
      <c r="G13" s="9"/>
      <c r="H13" s="9"/>
      <c r="I13" s="9"/>
      <c r="K13" s="9"/>
      <c r="L13" s="19" t="s">
        <v>46</v>
      </c>
      <c r="M13" s="19" t="s">
        <v>47</v>
      </c>
      <c r="N13" s="19" t="str">
        <f>'Resource impact'!$D$11</f>
        <v>National</v>
      </c>
      <c r="O13" s="19" t="str">
        <f>IFERROR(VLOOKUP('Resource impact'!$D$11, $L$5:$M$14, 2, FALSE), "-")</f>
        <v>NATIONAL</v>
      </c>
      <c r="P13" s="14" t="b">
        <f>ISTEXT('Resource impact'!$D$12)</f>
        <v>1</v>
      </c>
      <c r="Q13" s="10"/>
      <c r="R13" s="10"/>
      <c r="S13" s="10"/>
      <c r="T13" s="10"/>
      <c r="U13" s="10"/>
      <c r="V13" s="354">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79" t="str">
        <f>IF((OR('Resource impact'!D11="&lt;select&gt;",'Resource impact'!D11="")), "-", 'Resource impact'!D12)</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815</v>
      </c>
      <c r="M14" s="19" t="s">
        <v>48</v>
      </c>
      <c r="N14" s="19" t="str">
        <f>'Resource impact'!$D$11</f>
        <v>National</v>
      </c>
      <c r="O14" s="19" t="str">
        <f>IFERROR(VLOOKUP('Resource impact'!$D$11, $L$5:$M$14, 2, FALSE), "-")</f>
        <v>NATIONAL</v>
      </c>
      <c r="P14" s="14" t="b">
        <f>ISTEXT('Resource impact'!$D$12)</f>
        <v>1</v>
      </c>
      <c r="V14" s="126" t="s">
        <v>49</v>
      </c>
    </row>
    <row r="15" spans="2:106" x14ac:dyDescent="0.3">
      <c r="B15" s="179"/>
      <c r="C15" s="18"/>
      <c r="D15" s="82"/>
      <c r="E15" s="82"/>
      <c r="F15" s="18"/>
      <c r="L15" s="19"/>
      <c r="M15" s="19"/>
      <c r="N15" s="19"/>
      <c r="O15" s="19"/>
      <c r="P15" s="19"/>
      <c r="V15" s="126" t="s">
        <v>50</v>
      </c>
    </row>
    <row r="16" spans="2:106" x14ac:dyDescent="0.3">
      <c r="B16" s="180" t="s">
        <v>51</v>
      </c>
      <c r="C16" s="181">
        <f>IF(C15&gt;0,C14,C15)</f>
        <v>0</v>
      </c>
      <c r="D16" s="181">
        <f>IF(D15&gt;0,D14,D15)</f>
        <v>0</v>
      </c>
      <c r="E16" s="181">
        <f>IF(E15&gt;0,E14,E15)</f>
        <v>0</v>
      </c>
      <c r="F16" s="181">
        <f>SUM(F15)</f>
        <v>0</v>
      </c>
      <c r="L16" s="20"/>
      <c r="M16" s="20"/>
      <c r="P16" s="346">
        <f>COUNTIF(P6:P14, TRUE)</f>
        <v>9</v>
      </c>
    </row>
    <row r="17" spans="1:194" x14ac:dyDescent="0.3">
      <c r="Q17" s="21"/>
      <c r="R17" s="21"/>
    </row>
    <row r="18" spans="1:194" ht="45.65" customHeight="1" x14ac:dyDescent="0.3">
      <c r="B18" s="81"/>
      <c r="C18" s="130"/>
      <c r="D18" s="24" t="s">
        <v>37</v>
      </c>
      <c r="E18" s="24" t="s">
        <v>37</v>
      </c>
      <c r="F18" s="81"/>
      <c r="I18" s="81"/>
      <c r="J18" s="81"/>
      <c r="K18" s="22"/>
      <c r="N18" s="22"/>
    </row>
    <row r="19" spans="1:194" ht="23.25" customHeight="1" x14ac:dyDescent="0.3">
      <c r="D19" s="182">
        <v>2</v>
      </c>
      <c r="E19" s="182">
        <v>3</v>
      </c>
      <c r="F19" s="182">
        <v>4</v>
      </c>
      <c r="G19" s="182">
        <v>5</v>
      </c>
      <c r="H19" s="182">
        <v>6</v>
      </c>
      <c r="K19" s="22"/>
    </row>
    <row r="20" spans="1:194" s="1" customFormat="1" ht="48" customHeight="1" x14ac:dyDescent="0.3">
      <c r="A20" s="112" t="s">
        <v>13</v>
      </c>
      <c r="B20" s="111" t="s">
        <v>52</v>
      </c>
      <c r="C20" s="111" t="s">
        <v>53</v>
      </c>
      <c r="D20" s="73" t="s">
        <v>54</v>
      </c>
      <c r="E20" s="73" t="s">
        <v>54</v>
      </c>
      <c r="F20" s="73" t="s">
        <v>55</v>
      </c>
      <c r="G20" s="73" t="s">
        <v>55</v>
      </c>
      <c r="H20" s="73" t="s">
        <v>55</v>
      </c>
      <c r="I20" s="111" t="s">
        <v>54</v>
      </c>
      <c r="J20" s="111" t="s">
        <v>54</v>
      </c>
      <c r="K20" s="111" t="s">
        <v>56</v>
      </c>
      <c r="L20" s="111" t="s">
        <v>56</v>
      </c>
      <c r="M20" s="113" t="s">
        <v>57</v>
      </c>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2"/>
      <c r="AR20" s="642"/>
      <c r="AS20" s="642"/>
      <c r="AT20" s="642"/>
      <c r="AU20" s="642"/>
      <c r="AV20" s="642"/>
      <c r="AW20" s="642"/>
      <c r="AX20" s="642"/>
      <c r="AY20" s="642"/>
      <c r="AZ20" s="642"/>
      <c r="BA20" s="642"/>
      <c r="BB20" s="642"/>
      <c r="BC20" s="642"/>
      <c r="BD20" s="642"/>
      <c r="BE20" s="642"/>
      <c r="BF20" s="642"/>
      <c r="BG20" s="642"/>
      <c r="BH20" s="642"/>
      <c r="BI20" s="642"/>
      <c r="BJ20" s="642"/>
      <c r="BK20" s="642"/>
      <c r="BL20" s="642"/>
      <c r="BM20" s="642"/>
      <c r="BN20" s="642"/>
      <c r="BO20" s="642"/>
      <c r="BP20" s="642"/>
      <c r="BQ20" s="642"/>
      <c r="BR20" s="642"/>
      <c r="BS20" s="642"/>
      <c r="BT20" s="642"/>
      <c r="BU20" s="642"/>
      <c r="BV20" s="642"/>
      <c r="BW20" s="642"/>
      <c r="BX20" s="642"/>
      <c r="BY20" s="642"/>
      <c r="BZ20" s="642"/>
      <c r="CA20" s="642"/>
      <c r="CB20" s="642"/>
      <c r="CC20" s="642"/>
      <c r="CD20" s="642"/>
      <c r="CE20" s="642"/>
      <c r="CF20" s="642"/>
      <c r="CG20" s="642"/>
      <c r="CH20" s="642"/>
      <c r="CI20" s="642"/>
      <c r="CJ20" s="642"/>
      <c r="CK20" s="642"/>
      <c r="CL20" s="642"/>
      <c r="CM20" s="642"/>
      <c r="CN20" s="642"/>
      <c r="CO20" s="642"/>
      <c r="CP20" s="642"/>
      <c r="CQ20" s="642"/>
      <c r="CR20" s="642"/>
      <c r="CS20" s="642"/>
      <c r="CT20" s="642"/>
      <c r="CU20" s="642"/>
      <c r="CV20" s="642"/>
      <c r="CW20" s="642"/>
      <c r="CX20" s="642"/>
      <c r="CY20" s="643"/>
      <c r="CZ20" s="644" t="s">
        <v>58</v>
      </c>
      <c r="DA20" s="644"/>
      <c r="DB20" s="644"/>
      <c r="DC20" s="644"/>
      <c r="DD20" s="644"/>
      <c r="DE20" s="644"/>
      <c r="DF20" s="644"/>
      <c r="DG20" s="644"/>
      <c r="DH20" s="644"/>
      <c r="DI20" s="644"/>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44"/>
      <c r="FF20" s="644"/>
      <c r="FG20" s="644"/>
      <c r="FH20" s="644"/>
      <c r="FI20" s="644"/>
      <c r="FJ20" s="644"/>
      <c r="FK20" s="644"/>
      <c r="FL20" s="644"/>
      <c r="FM20" s="644"/>
      <c r="FN20" s="644"/>
      <c r="FO20" s="644"/>
      <c r="FP20" s="644"/>
      <c r="FQ20" s="644"/>
      <c r="FR20" s="644"/>
      <c r="FS20" s="644"/>
      <c r="FT20" s="644"/>
      <c r="FU20" s="644"/>
      <c r="FV20" s="644"/>
      <c r="FW20" s="644"/>
      <c r="FX20" s="644"/>
      <c r="FY20" s="644"/>
      <c r="FZ20" s="644"/>
      <c r="GA20" s="644"/>
      <c r="GB20" s="644"/>
      <c r="GC20" s="644"/>
      <c r="GD20" s="644"/>
      <c r="GE20" s="644"/>
      <c r="GF20" s="644"/>
      <c r="GG20" s="644"/>
      <c r="GH20" s="644"/>
      <c r="GI20" s="644"/>
      <c r="GJ20" s="644"/>
      <c r="GK20" s="644"/>
      <c r="GL20" s="645"/>
    </row>
    <row r="21" spans="1:194" s="7" customFormat="1" ht="28" x14ac:dyDescent="0.3">
      <c r="A21" s="112"/>
      <c r="B21" s="111"/>
      <c r="C21" s="111"/>
      <c r="D21" s="23" t="s">
        <v>43</v>
      </c>
      <c r="E21" s="24" t="s">
        <v>44</v>
      </c>
      <c r="F21" s="73" t="s">
        <v>59</v>
      </c>
      <c r="G21" s="72" t="s">
        <v>57</v>
      </c>
      <c r="H21" s="72" t="s">
        <v>58</v>
      </c>
      <c r="I21" s="73" t="s">
        <v>57</v>
      </c>
      <c r="J21" s="72" t="s">
        <v>58</v>
      </c>
      <c r="K21" s="73" t="s">
        <v>57</v>
      </c>
      <c r="L21" s="25" t="s">
        <v>58</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60</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60</v>
      </c>
    </row>
    <row r="22" spans="1:194" s="1" customFormat="1" x14ac:dyDescent="0.3">
      <c r="A22" s="28"/>
      <c r="B22" s="67"/>
      <c r="C22" s="646"/>
      <c r="D22" s="647"/>
      <c r="E22" s="647"/>
      <c r="F22" s="648"/>
      <c r="G22" s="648"/>
      <c r="H22" s="647"/>
      <c r="I22" s="647"/>
      <c r="J22" s="647"/>
      <c r="K22" s="648"/>
      <c r="L22" s="647"/>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c r="CL22" s="648"/>
      <c r="CM22" s="648"/>
      <c r="CN22" s="648"/>
      <c r="CO22" s="648"/>
      <c r="CP22" s="648"/>
      <c r="CQ22" s="648"/>
      <c r="CR22" s="648"/>
      <c r="CS22" s="648"/>
      <c r="CT22" s="648"/>
      <c r="CU22" s="648"/>
      <c r="CV22" s="648"/>
      <c r="CW22" s="648"/>
      <c r="CX22" s="648"/>
      <c r="CY22" s="647"/>
      <c r="CZ22" s="648"/>
      <c r="DA22" s="648"/>
      <c r="DB22" s="648"/>
      <c r="DC22" s="648"/>
      <c r="DD22" s="648"/>
      <c r="DE22" s="648"/>
      <c r="DF22" s="648"/>
      <c r="DG22" s="648"/>
      <c r="DH22" s="648"/>
      <c r="DI22" s="648"/>
      <c r="DJ22" s="648"/>
      <c r="DK22" s="648"/>
      <c r="DL22" s="648"/>
      <c r="DM22" s="648"/>
      <c r="DN22" s="648"/>
      <c r="DO22" s="648"/>
      <c r="DP22" s="648"/>
      <c r="DQ22" s="648"/>
      <c r="DR22" s="648"/>
      <c r="DS22" s="648"/>
      <c r="DT22" s="648"/>
      <c r="DU22" s="648"/>
      <c r="DV22" s="648"/>
      <c r="DW22" s="648"/>
      <c r="DX22" s="648"/>
      <c r="DY22" s="648"/>
      <c r="DZ22" s="648"/>
      <c r="EA22" s="648"/>
      <c r="EB22" s="648"/>
      <c r="EC22" s="648"/>
      <c r="ED22" s="648"/>
      <c r="EE22" s="648"/>
      <c r="EF22" s="648"/>
      <c r="EG22" s="648"/>
      <c r="EH22" s="648"/>
      <c r="EI22" s="648"/>
      <c r="EJ22" s="648"/>
      <c r="EK22" s="648"/>
      <c r="EL22" s="648"/>
      <c r="EM22" s="648"/>
      <c r="EN22" s="648"/>
      <c r="EO22" s="648"/>
      <c r="EP22" s="648"/>
      <c r="EQ22" s="648"/>
      <c r="ER22" s="648"/>
      <c r="ES22" s="648"/>
      <c r="ET22" s="648"/>
      <c r="EU22" s="648"/>
      <c r="EV22" s="648"/>
      <c r="EW22" s="648"/>
      <c r="EX22" s="648"/>
      <c r="EY22" s="648"/>
      <c r="EZ22" s="648"/>
      <c r="FA22" s="648"/>
      <c r="FB22" s="648"/>
      <c r="FC22" s="648"/>
      <c r="FD22" s="648"/>
      <c r="FE22" s="648"/>
      <c r="FF22" s="648"/>
      <c r="FG22" s="648"/>
      <c r="FH22" s="648"/>
      <c r="FI22" s="648"/>
      <c r="FJ22" s="648"/>
      <c r="FK22" s="648"/>
      <c r="FL22" s="648"/>
      <c r="FM22" s="648"/>
      <c r="FN22" s="648"/>
      <c r="FO22" s="648"/>
      <c r="FP22" s="648"/>
      <c r="FQ22" s="648"/>
      <c r="FR22" s="648"/>
      <c r="FS22" s="648"/>
      <c r="FT22" s="648"/>
      <c r="FU22" s="648"/>
      <c r="FV22" s="648"/>
      <c r="FW22" s="648"/>
      <c r="FX22" s="648"/>
      <c r="FY22" s="648"/>
      <c r="FZ22" s="648"/>
      <c r="GA22" s="648"/>
      <c r="GB22" s="648"/>
      <c r="GC22" s="648"/>
      <c r="GD22" s="648"/>
      <c r="GE22" s="648"/>
      <c r="GF22" s="648"/>
      <c r="GG22" s="648"/>
      <c r="GH22" s="648"/>
      <c r="GI22" s="648"/>
      <c r="GJ22" s="648"/>
      <c r="GK22" s="648"/>
      <c r="GL22" s="647"/>
    </row>
    <row r="23" spans="1:194" s="65" customFormat="1" ht="21.75" customHeight="1" x14ac:dyDescent="0.3">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3">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x14ac:dyDescent="0.3">
      <c r="A25" s="69" t="s">
        <v>21</v>
      </c>
      <c r="B25" s="460" t="s">
        <v>61</v>
      </c>
      <c r="C25" s="649" t="s">
        <v>62</v>
      </c>
      <c r="D25" s="650">
        <f t="shared" ref="D25:E27" si="3">I25</f>
        <v>22137472</v>
      </c>
      <c r="E25" s="650">
        <f t="shared" si="3"/>
        <v>23554205</v>
      </c>
      <c r="F25" s="651">
        <f>G25+H25</f>
        <v>57690323</v>
      </c>
      <c r="G25" s="651">
        <f>SUM(M25:CY25)</f>
        <v>28283074</v>
      </c>
      <c r="H25" s="652">
        <f>SUM(CZ25:GL25)</f>
        <v>29407249</v>
      </c>
      <c r="I25" s="652">
        <f>SUM(AE25:CY25)</f>
        <v>22137472</v>
      </c>
      <c r="J25" s="652">
        <f>SUM(DR25:GL25)</f>
        <v>23554205</v>
      </c>
      <c r="K25" s="653">
        <f>SUM(M25:AD25)</f>
        <v>6145602</v>
      </c>
      <c r="L25" s="650">
        <f>SUM(CZ25:DQ25)</f>
        <v>5853044</v>
      </c>
      <c r="M25" s="651">
        <v>293933</v>
      </c>
      <c r="N25" s="651">
        <v>312995</v>
      </c>
      <c r="O25" s="651">
        <v>311501</v>
      </c>
      <c r="P25" s="651">
        <v>322067</v>
      </c>
      <c r="Q25" s="651">
        <v>328129</v>
      </c>
      <c r="R25" s="651">
        <v>331735</v>
      </c>
      <c r="S25" s="651">
        <v>339328</v>
      </c>
      <c r="T25" s="651">
        <v>348942</v>
      </c>
      <c r="U25" s="651">
        <v>345591</v>
      </c>
      <c r="V25" s="651">
        <v>347329</v>
      </c>
      <c r="W25" s="651">
        <v>356650</v>
      </c>
      <c r="X25" s="651">
        <v>365469</v>
      </c>
      <c r="Y25" s="651">
        <v>366063</v>
      </c>
      <c r="Z25" s="651">
        <v>360895</v>
      </c>
      <c r="AA25" s="651">
        <v>358117</v>
      </c>
      <c r="AB25" s="651">
        <v>361691</v>
      </c>
      <c r="AC25" s="651">
        <v>349931</v>
      </c>
      <c r="AD25" s="651">
        <v>345236</v>
      </c>
      <c r="AE25" s="651">
        <v>346661</v>
      </c>
      <c r="AF25" s="651">
        <v>349313</v>
      </c>
      <c r="AG25" s="651">
        <v>347749</v>
      </c>
      <c r="AH25" s="651">
        <v>345536</v>
      </c>
      <c r="AI25" s="651">
        <v>345643</v>
      </c>
      <c r="AJ25" s="651">
        <v>355934</v>
      </c>
      <c r="AK25" s="651">
        <v>368759</v>
      </c>
      <c r="AL25" s="651">
        <v>370911</v>
      </c>
      <c r="AM25" s="651">
        <v>376733</v>
      </c>
      <c r="AN25" s="651">
        <v>370426</v>
      </c>
      <c r="AO25" s="651">
        <v>373327</v>
      </c>
      <c r="AP25" s="651">
        <v>380776</v>
      </c>
      <c r="AQ25" s="651">
        <v>380078</v>
      </c>
      <c r="AR25" s="651">
        <v>390686</v>
      </c>
      <c r="AS25" s="651">
        <v>395074</v>
      </c>
      <c r="AT25" s="651">
        <v>392740</v>
      </c>
      <c r="AU25" s="651">
        <v>389629</v>
      </c>
      <c r="AV25" s="651">
        <v>392507</v>
      </c>
      <c r="AW25" s="651">
        <v>383002</v>
      </c>
      <c r="AX25" s="651">
        <v>382093</v>
      </c>
      <c r="AY25" s="651">
        <v>380825</v>
      </c>
      <c r="AZ25" s="651">
        <v>368755</v>
      </c>
      <c r="BA25" s="651">
        <v>368886</v>
      </c>
      <c r="BB25" s="651">
        <v>368552</v>
      </c>
      <c r="BC25" s="651">
        <v>371001</v>
      </c>
      <c r="BD25" s="651">
        <v>373542</v>
      </c>
      <c r="BE25" s="651">
        <v>358913</v>
      </c>
      <c r="BF25" s="651">
        <v>335009</v>
      </c>
      <c r="BG25" s="651">
        <v>329186</v>
      </c>
      <c r="BH25" s="651">
        <v>336077</v>
      </c>
      <c r="BI25" s="651">
        <v>342724</v>
      </c>
      <c r="BJ25" s="651">
        <v>346555</v>
      </c>
      <c r="BK25" s="651">
        <v>359694</v>
      </c>
      <c r="BL25" s="651">
        <v>372431</v>
      </c>
      <c r="BM25" s="651">
        <v>383893</v>
      </c>
      <c r="BN25" s="651">
        <v>374199</v>
      </c>
      <c r="BO25" s="651">
        <v>382036</v>
      </c>
      <c r="BP25" s="651">
        <v>380548</v>
      </c>
      <c r="BQ25" s="651">
        <v>383158</v>
      </c>
      <c r="BR25" s="651">
        <v>379113</v>
      </c>
      <c r="BS25" s="651">
        <v>379303</v>
      </c>
      <c r="BT25" s="651">
        <v>373318</v>
      </c>
      <c r="BU25" s="651">
        <v>363989</v>
      </c>
      <c r="BV25" s="651">
        <v>354500</v>
      </c>
      <c r="BW25" s="651">
        <v>341604</v>
      </c>
      <c r="BX25" s="651">
        <v>326378</v>
      </c>
      <c r="BY25" s="651">
        <v>315915</v>
      </c>
      <c r="BZ25" s="651">
        <v>305908</v>
      </c>
      <c r="CA25" s="651">
        <v>290478</v>
      </c>
      <c r="CB25" s="651">
        <v>278154</v>
      </c>
      <c r="CC25" s="651">
        <v>264200</v>
      </c>
      <c r="CD25" s="651">
        <v>261871</v>
      </c>
      <c r="CE25" s="651">
        <v>255543</v>
      </c>
      <c r="CF25" s="651">
        <v>244170</v>
      </c>
      <c r="CG25" s="651">
        <v>243498</v>
      </c>
      <c r="CH25" s="651">
        <v>242922</v>
      </c>
      <c r="CI25" s="651">
        <v>246267</v>
      </c>
      <c r="CJ25" s="651">
        <v>255937</v>
      </c>
      <c r="CK25" s="651">
        <v>273876</v>
      </c>
      <c r="CL25" s="651">
        <v>203760</v>
      </c>
      <c r="CM25" s="651">
        <v>192397</v>
      </c>
      <c r="CN25" s="651">
        <v>186010</v>
      </c>
      <c r="CO25" s="651">
        <v>165062</v>
      </c>
      <c r="CP25" s="651">
        <v>140882</v>
      </c>
      <c r="CQ25" s="651">
        <v>119224</v>
      </c>
      <c r="CR25" s="651">
        <v>117844</v>
      </c>
      <c r="CS25" s="651">
        <v>110353</v>
      </c>
      <c r="CT25" s="651">
        <v>99978</v>
      </c>
      <c r="CU25" s="651">
        <v>87281</v>
      </c>
      <c r="CV25" s="651">
        <v>74936</v>
      </c>
      <c r="CW25" s="651">
        <v>63762</v>
      </c>
      <c r="CX25" s="651">
        <v>52022</v>
      </c>
      <c r="CY25" s="651">
        <v>173456</v>
      </c>
      <c r="CZ25" s="651">
        <v>279167</v>
      </c>
      <c r="DA25" s="651">
        <v>298988</v>
      </c>
      <c r="DB25" s="651">
        <v>297423</v>
      </c>
      <c r="DC25" s="651">
        <v>307905</v>
      </c>
      <c r="DD25" s="651">
        <v>312529</v>
      </c>
      <c r="DE25" s="651">
        <v>316813</v>
      </c>
      <c r="DF25" s="651">
        <v>324426</v>
      </c>
      <c r="DG25" s="651">
        <v>332617</v>
      </c>
      <c r="DH25" s="651">
        <v>330045</v>
      </c>
      <c r="DI25" s="651">
        <v>331941</v>
      </c>
      <c r="DJ25" s="651">
        <v>339519</v>
      </c>
      <c r="DK25" s="651">
        <v>348893</v>
      </c>
      <c r="DL25" s="651">
        <v>348165</v>
      </c>
      <c r="DM25" s="651">
        <v>343885</v>
      </c>
      <c r="DN25" s="651">
        <v>341284</v>
      </c>
      <c r="DO25" s="651">
        <v>344315</v>
      </c>
      <c r="DP25" s="651">
        <v>330622</v>
      </c>
      <c r="DQ25" s="651">
        <v>324507</v>
      </c>
      <c r="DR25" s="651">
        <v>324547</v>
      </c>
      <c r="DS25" s="651">
        <v>328240</v>
      </c>
      <c r="DT25" s="651">
        <v>325534</v>
      </c>
      <c r="DU25" s="651">
        <v>329081</v>
      </c>
      <c r="DV25" s="651">
        <v>331235</v>
      </c>
      <c r="DW25" s="651">
        <v>345013</v>
      </c>
      <c r="DX25" s="651">
        <v>361888</v>
      </c>
      <c r="DY25" s="651">
        <v>369890</v>
      </c>
      <c r="DZ25" s="651">
        <v>379188</v>
      </c>
      <c r="EA25" s="651">
        <v>375004</v>
      </c>
      <c r="EB25" s="651">
        <v>384557</v>
      </c>
      <c r="EC25" s="651">
        <v>397037</v>
      </c>
      <c r="ED25" s="651">
        <v>399178</v>
      </c>
      <c r="EE25" s="651">
        <v>412384</v>
      </c>
      <c r="EF25" s="651">
        <v>417512</v>
      </c>
      <c r="EG25" s="651">
        <v>419044</v>
      </c>
      <c r="EH25" s="651">
        <v>417098</v>
      </c>
      <c r="EI25" s="651">
        <v>422891</v>
      </c>
      <c r="EJ25" s="651">
        <v>413850</v>
      </c>
      <c r="EK25" s="651">
        <v>408208</v>
      </c>
      <c r="EL25" s="651">
        <v>405771</v>
      </c>
      <c r="EM25" s="651">
        <v>392998</v>
      </c>
      <c r="EN25" s="651">
        <v>392640</v>
      </c>
      <c r="EO25" s="651">
        <v>389013</v>
      </c>
      <c r="EP25" s="651">
        <v>392804</v>
      </c>
      <c r="EQ25" s="651">
        <v>392829</v>
      </c>
      <c r="ER25" s="651">
        <v>375222</v>
      </c>
      <c r="ES25" s="651">
        <v>347593</v>
      </c>
      <c r="ET25" s="651">
        <v>340244</v>
      </c>
      <c r="EU25" s="651">
        <v>346591</v>
      </c>
      <c r="EV25" s="651">
        <v>353283</v>
      </c>
      <c r="EW25" s="651">
        <v>357012</v>
      </c>
      <c r="EX25" s="651">
        <v>369968</v>
      </c>
      <c r="EY25" s="651">
        <v>383711</v>
      </c>
      <c r="EZ25" s="651">
        <v>398952</v>
      </c>
      <c r="FA25" s="651">
        <v>388155</v>
      </c>
      <c r="FB25" s="651">
        <v>395977</v>
      </c>
      <c r="FC25" s="651">
        <v>394307</v>
      </c>
      <c r="FD25" s="651">
        <v>395319</v>
      </c>
      <c r="FE25" s="651">
        <v>395085</v>
      </c>
      <c r="FF25" s="651">
        <v>394913</v>
      </c>
      <c r="FG25" s="651">
        <v>388786</v>
      </c>
      <c r="FH25" s="651">
        <v>378799</v>
      </c>
      <c r="FI25" s="651">
        <v>369231</v>
      </c>
      <c r="FJ25" s="651">
        <v>353273</v>
      </c>
      <c r="FK25" s="651">
        <v>338179</v>
      </c>
      <c r="FL25" s="651">
        <v>328875</v>
      </c>
      <c r="FM25" s="651">
        <v>318729</v>
      </c>
      <c r="FN25" s="651">
        <v>305975</v>
      </c>
      <c r="FO25" s="651">
        <v>293096</v>
      </c>
      <c r="FP25" s="651">
        <v>282116</v>
      </c>
      <c r="FQ25" s="651">
        <v>282344</v>
      </c>
      <c r="FR25" s="651">
        <v>275725</v>
      </c>
      <c r="FS25" s="651">
        <v>267981</v>
      </c>
      <c r="FT25" s="651">
        <v>267569</v>
      </c>
      <c r="FU25" s="651">
        <v>271143</v>
      </c>
      <c r="FV25" s="651">
        <v>275176</v>
      </c>
      <c r="FW25" s="651">
        <v>289150</v>
      </c>
      <c r="FX25" s="651">
        <v>309463</v>
      </c>
      <c r="FY25" s="651">
        <v>234189</v>
      </c>
      <c r="FZ25" s="651">
        <v>223653</v>
      </c>
      <c r="GA25" s="651">
        <v>218690</v>
      </c>
      <c r="GB25" s="651">
        <v>198932</v>
      </c>
      <c r="GC25" s="651">
        <v>173919</v>
      </c>
      <c r="GD25" s="651">
        <v>151373</v>
      </c>
      <c r="GE25" s="651">
        <v>152822</v>
      </c>
      <c r="GF25" s="651">
        <v>146074</v>
      </c>
      <c r="GG25" s="651">
        <v>135895</v>
      </c>
      <c r="GH25" s="651">
        <v>122383</v>
      </c>
      <c r="GI25" s="651">
        <v>109600</v>
      </c>
      <c r="GJ25" s="651">
        <v>96854</v>
      </c>
      <c r="GK25" s="651">
        <v>82610</v>
      </c>
      <c r="GL25" s="651">
        <v>347835</v>
      </c>
    </row>
    <row r="26" spans="1:194" s="7" customFormat="1" x14ac:dyDescent="0.3">
      <c r="A26" s="30" t="s">
        <v>21</v>
      </c>
      <c r="B26" s="461" t="s">
        <v>63</v>
      </c>
      <c r="C26" s="31" t="s">
        <v>64</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x14ac:dyDescent="0.3">
      <c r="A27" s="36" t="s">
        <v>21</v>
      </c>
      <c r="B27" s="462" t="s">
        <v>65</v>
      </c>
      <c r="C27" s="37" t="s">
        <v>66</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3">
      <c r="A28" s="42"/>
      <c r="B28" s="463"/>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3">
      <c r="A29" s="74" t="s">
        <v>815</v>
      </c>
      <c r="B29" s="464" t="s">
        <v>816</v>
      </c>
      <c r="C29" s="67" t="str">
        <f t="shared" ref="C29:C43" si="4">CONCATENATE(A29," - ",B29)</f>
        <v>England – PCNs - 3 CENTRES PCN</v>
      </c>
      <c r="D29" s="654">
        <f>I29</f>
        <v>14772</v>
      </c>
      <c r="E29" s="654">
        <f>J29</f>
        <v>15689</v>
      </c>
      <c r="F29" s="655">
        <f>G29+H29</f>
        <v>39727</v>
      </c>
      <c r="G29" s="655">
        <f>SUM(M29:CY29)</f>
        <v>19549</v>
      </c>
      <c r="H29" s="656">
        <f>SUM(CZ29:GL29)</f>
        <v>20178</v>
      </c>
      <c r="I29" s="656">
        <f>SUM(AE29:CY29)</f>
        <v>14772</v>
      </c>
      <c r="J29" s="656">
        <f>SUM(DR29:GL29)</f>
        <v>15689</v>
      </c>
      <c r="K29" s="657">
        <f>SUM(M29:AD29)</f>
        <v>4777</v>
      </c>
      <c r="L29" s="654">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3">
      <c r="A30" s="78" t="s">
        <v>815</v>
      </c>
      <c r="B30" s="464" t="s">
        <v>817</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3">
      <c r="A31" s="78" t="s">
        <v>815</v>
      </c>
      <c r="B31" s="464" t="s">
        <v>818</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3">
      <c r="A32" s="78" t="s">
        <v>815</v>
      </c>
      <c r="B32" s="464" t="s">
        <v>819</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3">
      <c r="A33" s="78" t="s">
        <v>815</v>
      </c>
      <c r="B33" s="464" t="s">
        <v>820</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3">
      <c r="A34" s="78" t="s">
        <v>815</v>
      </c>
      <c r="B34" s="464" t="s">
        <v>821</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3">
      <c r="A35" s="78" t="s">
        <v>815</v>
      </c>
      <c r="B35" s="464" t="s">
        <v>822</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3">
      <c r="A36" s="78" t="s">
        <v>815</v>
      </c>
      <c r="B36" s="464" t="s">
        <v>823</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3">
      <c r="A37" s="78" t="s">
        <v>815</v>
      </c>
      <c r="B37" s="464" t="s">
        <v>824</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3">
      <c r="A38" s="78" t="s">
        <v>815</v>
      </c>
      <c r="B38" s="464" t="s">
        <v>825</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3">
      <c r="A39" s="78" t="s">
        <v>815</v>
      </c>
      <c r="B39" s="464" t="s">
        <v>826</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3">
      <c r="A40" s="78" t="s">
        <v>815</v>
      </c>
      <c r="B40" s="464" t="s">
        <v>827</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3">
      <c r="A41" s="78" t="s">
        <v>815</v>
      </c>
      <c r="B41" s="464" t="s">
        <v>828</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3">
      <c r="A42" s="78" t="s">
        <v>815</v>
      </c>
      <c r="B42" s="464" t="s">
        <v>829</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3">
      <c r="A43" s="78" t="s">
        <v>815</v>
      </c>
      <c r="B43" s="464" t="s">
        <v>830</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3">
      <c r="A44" s="78" t="s">
        <v>815</v>
      </c>
      <c r="B44" s="464" t="s">
        <v>831</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3">
      <c r="A45" s="78" t="s">
        <v>815</v>
      </c>
      <c r="B45" s="464" t="s">
        <v>832</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3">
      <c r="A46" s="78" t="s">
        <v>815</v>
      </c>
      <c r="B46" s="464" t="s">
        <v>833</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3">
      <c r="A47" s="78" t="s">
        <v>815</v>
      </c>
      <c r="B47" s="464" t="s">
        <v>834</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3">
      <c r="A48" s="78" t="s">
        <v>815</v>
      </c>
      <c r="B48" s="464" t="s">
        <v>835</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3">
      <c r="A49" s="78" t="s">
        <v>815</v>
      </c>
      <c r="B49" s="464" t="s">
        <v>836</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3">
      <c r="A50" s="78" t="s">
        <v>815</v>
      </c>
      <c r="B50" s="464" t="s">
        <v>837</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3">
      <c r="A51" s="78" t="s">
        <v>815</v>
      </c>
      <c r="B51" s="464" t="s">
        <v>838</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3">
      <c r="A52" s="78" t="s">
        <v>815</v>
      </c>
      <c r="B52" s="464" t="s">
        <v>839</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3">
      <c r="A53" s="78" t="s">
        <v>815</v>
      </c>
      <c r="B53" s="464" t="s">
        <v>840</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3">
      <c r="A54" s="78" t="s">
        <v>815</v>
      </c>
      <c r="B54" s="464" t="s">
        <v>841</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3">
      <c r="A55" s="78" t="s">
        <v>815</v>
      </c>
      <c r="B55" s="464" t="s">
        <v>842</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3">
      <c r="A56" s="78" t="s">
        <v>815</v>
      </c>
      <c r="B56" s="464" t="s">
        <v>843</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3">
      <c r="A57" s="78" t="s">
        <v>815</v>
      </c>
      <c r="B57" s="464" t="s">
        <v>844</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3">
      <c r="A58" s="78" t="s">
        <v>815</v>
      </c>
      <c r="B58" s="464" t="s">
        <v>845</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3">
      <c r="A59" s="78" t="s">
        <v>815</v>
      </c>
      <c r="B59" s="464" t="s">
        <v>846</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3">
      <c r="A60" s="78" t="s">
        <v>815</v>
      </c>
      <c r="B60" s="464" t="s">
        <v>847</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3">
      <c r="A61" s="78" t="s">
        <v>815</v>
      </c>
      <c r="B61" s="464" t="s">
        <v>848</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3">
      <c r="A62" s="78" t="s">
        <v>815</v>
      </c>
      <c r="B62" s="464" t="s">
        <v>849</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3">
      <c r="A63" s="78" t="s">
        <v>815</v>
      </c>
      <c r="B63" s="464" t="s">
        <v>850</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3">
      <c r="A64" s="78" t="s">
        <v>815</v>
      </c>
      <c r="B64" s="464" t="s">
        <v>851</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3">
      <c r="A65" s="78" t="s">
        <v>815</v>
      </c>
      <c r="B65" s="464" t="s">
        <v>852</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3">
      <c r="A66" s="78" t="s">
        <v>815</v>
      </c>
      <c r="B66" s="464" t="s">
        <v>853</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3">
      <c r="A67" s="78" t="s">
        <v>815</v>
      </c>
      <c r="B67" s="464" t="s">
        <v>854</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3">
      <c r="A68" s="78" t="s">
        <v>815</v>
      </c>
      <c r="B68" s="464" t="s">
        <v>855</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3">
      <c r="A69" s="78" t="s">
        <v>815</v>
      </c>
      <c r="B69" s="464" t="s">
        <v>856</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3">
      <c r="A70" s="78" t="s">
        <v>815</v>
      </c>
      <c r="B70" s="464" t="s">
        <v>857</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3">
      <c r="A71" s="78" t="s">
        <v>815</v>
      </c>
      <c r="B71" s="464" t="s">
        <v>858</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3">
      <c r="A72" s="78" t="s">
        <v>815</v>
      </c>
      <c r="B72" s="464" t="s">
        <v>859</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3">
      <c r="A73" s="78" t="s">
        <v>815</v>
      </c>
      <c r="B73" s="464" t="s">
        <v>860</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3">
      <c r="A74" s="78" t="s">
        <v>815</v>
      </c>
      <c r="B74" s="464" t="s">
        <v>861</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3">
      <c r="A75" s="78" t="s">
        <v>815</v>
      </c>
      <c r="B75" s="464" t="s">
        <v>862</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3">
      <c r="A76" s="78" t="s">
        <v>815</v>
      </c>
      <c r="B76" s="464" t="s">
        <v>863</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3">
      <c r="A77" s="78" t="s">
        <v>815</v>
      </c>
      <c r="B77" s="464" t="s">
        <v>864</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3">
      <c r="A78" s="78" t="s">
        <v>815</v>
      </c>
      <c r="B78" s="464" t="s">
        <v>865</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3">
      <c r="A79" s="78" t="s">
        <v>815</v>
      </c>
      <c r="B79" s="464" t="s">
        <v>866</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3">
      <c r="A80" s="78" t="s">
        <v>815</v>
      </c>
      <c r="B80" s="464" t="s">
        <v>867</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3">
      <c r="A81" s="78" t="s">
        <v>815</v>
      </c>
      <c r="B81" s="464" t="s">
        <v>868</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3">
      <c r="A82" s="78" t="s">
        <v>815</v>
      </c>
      <c r="B82" s="464" t="s">
        <v>869</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3">
      <c r="A83" s="78" t="s">
        <v>815</v>
      </c>
      <c r="B83" s="464" t="s">
        <v>870</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3">
      <c r="A84" s="78" t="s">
        <v>815</v>
      </c>
      <c r="B84" s="464" t="s">
        <v>871</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3">
      <c r="A85" s="78" t="s">
        <v>815</v>
      </c>
      <c r="B85" s="464" t="s">
        <v>872</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3">
      <c r="A86" s="78" t="s">
        <v>815</v>
      </c>
      <c r="B86" s="464" t="s">
        <v>873</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3">
      <c r="A87" s="78" t="s">
        <v>815</v>
      </c>
      <c r="B87" s="464" t="s">
        <v>874</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3">
      <c r="A88" s="78" t="s">
        <v>815</v>
      </c>
      <c r="B88" s="464" t="s">
        <v>875</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3">
      <c r="A89" s="78" t="s">
        <v>815</v>
      </c>
      <c r="B89" s="464" t="s">
        <v>876</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3">
      <c r="A90" s="78" t="s">
        <v>815</v>
      </c>
      <c r="B90" s="464" t="s">
        <v>877</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3">
      <c r="A91" s="78" t="s">
        <v>815</v>
      </c>
      <c r="B91" s="464" t="s">
        <v>878</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3">
      <c r="A92" s="78" t="s">
        <v>815</v>
      </c>
      <c r="B92" s="464" t="s">
        <v>879</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3">
      <c r="A93" s="78" t="s">
        <v>815</v>
      </c>
      <c r="B93" s="464" t="s">
        <v>880</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3">
      <c r="A94" s="78" t="s">
        <v>815</v>
      </c>
      <c r="B94" s="464" t="s">
        <v>881</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3">
      <c r="A95" s="78" t="s">
        <v>815</v>
      </c>
      <c r="B95" s="464" t="s">
        <v>882</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3">
      <c r="A96" s="78" t="s">
        <v>815</v>
      </c>
      <c r="B96" s="464" t="s">
        <v>883</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3">
      <c r="A97" s="78" t="s">
        <v>815</v>
      </c>
      <c r="B97" s="464" t="s">
        <v>884</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3">
      <c r="A98" s="78" t="s">
        <v>815</v>
      </c>
      <c r="B98" s="464" t="s">
        <v>885</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3">
      <c r="A99" s="78" t="s">
        <v>815</v>
      </c>
      <c r="B99" s="464" t="s">
        <v>886</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3">
      <c r="A100" s="78" t="s">
        <v>815</v>
      </c>
      <c r="B100" s="464" t="s">
        <v>887</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3">
      <c r="A101" s="78" t="s">
        <v>815</v>
      </c>
      <c r="B101" s="464" t="s">
        <v>888</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3">
      <c r="A102" s="78" t="s">
        <v>815</v>
      </c>
      <c r="B102" s="464" t="s">
        <v>889</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3">
      <c r="A103" s="78" t="s">
        <v>815</v>
      </c>
      <c r="B103" s="464" t="s">
        <v>890</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3">
      <c r="A104" s="78" t="s">
        <v>815</v>
      </c>
      <c r="B104" s="464" t="s">
        <v>891</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3">
      <c r="A105" s="78" t="s">
        <v>815</v>
      </c>
      <c r="B105" s="464" t="s">
        <v>892</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3">
      <c r="A106" s="78" t="s">
        <v>815</v>
      </c>
      <c r="B106" s="464" t="s">
        <v>893</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3">
      <c r="A107" s="78" t="s">
        <v>815</v>
      </c>
      <c r="B107" s="464" t="s">
        <v>894</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3">
      <c r="A108" s="78" t="s">
        <v>815</v>
      </c>
      <c r="B108" s="464" t="s">
        <v>895</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3">
      <c r="A109" s="78" t="s">
        <v>815</v>
      </c>
      <c r="B109" s="464" t="s">
        <v>896</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3">
      <c r="A110" s="78" t="s">
        <v>815</v>
      </c>
      <c r="B110" s="464" t="s">
        <v>897</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3">
      <c r="A111" s="78" t="s">
        <v>815</v>
      </c>
      <c r="B111" s="464" t="s">
        <v>898</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3">
      <c r="A112" s="78" t="s">
        <v>815</v>
      </c>
      <c r="B112" s="464" t="s">
        <v>899</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3">
      <c r="A113" s="78" t="s">
        <v>815</v>
      </c>
      <c r="B113" s="464" t="s">
        <v>900</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3">
      <c r="A114" s="78" t="s">
        <v>815</v>
      </c>
      <c r="B114" s="464" t="s">
        <v>901</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3">
      <c r="A115" s="78" t="s">
        <v>815</v>
      </c>
      <c r="B115" s="464" t="s">
        <v>902</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3">
      <c r="A116" s="78" t="s">
        <v>815</v>
      </c>
      <c r="B116" s="464" t="s">
        <v>903</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3">
      <c r="A117" s="78" t="s">
        <v>815</v>
      </c>
      <c r="B117" s="464" t="s">
        <v>904</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3">
      <c r="A118" s="78" t="s">
        <v>815</v>
      </c>
      <c r="B118" s="464" t="s">
        <v>905</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3">
      <c r="A119" s="78" t="s">
        <v>815</v>
      </c>
      <c r="B119" s="464" t="s">
        <v>906</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3">
      <c r="A120" s="78" t="s">
        <v>815</v>
      </c>
      <c r="B120" s="464" t="s">
        <v>907</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3">
      <c r="A121" s="78" t="s">
        <v>815</v>
      </c>
      <c r="B121" s="464" t="s">
        <v>908</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3">
      <c r="A122" s="78" t="s">
        <v>815</v>
      </c>
      <c r="B122" s="464" t="s">
        <v>909</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3">
      <c r="A123" s="78" t="s">
        <v>815</v>
      </c>
      <c r="B123" s="464" t="s">
        <v>910</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3">
      <c r="A124" s="78" t="s">
        <v>815</v>
      </c>
      <c r="B124" s="464" t="s">
        <v>911</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3">
      <c r="A125" s="78" t="s">
        <v>815</v>
      </c>
      <c r="B125" s="464" t="s">
        <v>912</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3">
      <c r="A126" s="78" t="s">
        <v>815</v>
      </c>
      <c r="B126" s="464" t="s">
        <v>913</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3">
      <c r="A127" s="78" t="s">
        <v>815</v>
      </c>
      <c r="B127" s="464" t="s">
        <v>914</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3">
      <c r="A128" s="78" t="s">
        <v>815</v>
      </c>
      <c r="B128" s="464" t="s">
        <v>915</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3">
      <c r="A129" s="78" t="s">
        <v>815</v>
      </c>
      <c r="B129" s="464" t="s">
        <v>916</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3">
      <c r="A130" s="78" t="s">
        <v>815</v>
      </c>
      <c r="B130" s="464" t="s">
        <v>917</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3">
      <c r="A131" s="78" t="s">
        <v>815</v>
      </c>
      <c r="B131" s="464" t="s">
        <v>918</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3">
      <c r="A132" s="78" t="s">
        <v>815</v>
      </c>
      <c r="B132" s="464" t="s">
        <v>919</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3">
      <c r="A133" s="78" t="s">
        <v>815</v>
      </c>
      <c r="B133" s="464" t="s">
        <v>920</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3">
      <c r="A134" s="78" t="s">
        <v>815</v>
      </c>
      <c r="B134" s="464" t="s">
        <v>921</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3">
      <c r="A135" s="78" t="s">
        <v>815</v>
      </c>
      <c r="B135" s="464" t="s">
        <v>922</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3">
      <c r="A136" s="78" t="s">
        <v>815</v>
      </c>
      <c r="B136" s="464" t="s">
        <v>923</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3">
      <c r="A137" s="78" t="s">
        <v>815</v>
      </c>
      <c r="B137" s="464" t="s">
        <v>924</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3">
      <c r="A138" s="78" t="s">
        <v>815</v>
      </c>
      <c r="B138" s="464" t="s">
        <v>925</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3">
      <c r="A139" s="78" t="s">
        <v>815</v>
      </c>
      <c r="B139" s="464" t="s">
        <v>926</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3">
      <c r="A140" s="78" t="s">
        <v>815</v>
      </c>
      <c r="B140" s="464" t="s">
        <v>927</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3">
      <c r="A141" s="78" t="s">
        <v>815</v>
      </c>
      <c r="B141" s="464" t="s">
        <v>928</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3">
      <c r="A142" s="78" t="s">
        <v>815</v>
      </c>
      <c r="B142" s="464" t="s">
        <v>929</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3">
      <c r="A143" s="78" t="s">
        <v>815</v>
      </c>
      <c r="B143" s="464" t="s">
        <v>930</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3">
      <c r="A144" s="78" t="s">
        <v>815</v>
      </c>
      <c r="B144" s="464" t="s">
        <v>931</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3">
      <c r="A145" s="78" t="s">
        <v>815</v>
      </c>
      <c r="B145" s="464" t="s">
        <v>932</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3">
      <c r="A146" s="78" t="s">
        <v>815</v>
      </c>
      <c r="B146" s="464" t="s">
        <v>933</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3">
      <c r="A147" s="78" t="s">
        <v>815</v>
      </c>
      <c r="B147" s="464" t="s">
        <v>934</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3">
      <c r="A148" s="78" t="s">
        <v>815</v>
      </c>
      <c r="B148" s="464" t="s">
        <v>935</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3">
      <c r="A149" s="78" t="s">
        <v>815</v>
      </c>
      <c r="B149" s="464" t="s">
        <v>936</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3">
      <c r="A150" s="78" t="s">
        <v>815</v>
      </c>
      <c r="B150" s="464" t="s">
        <v>937</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3">
      <c r="A151" s="78" t="s">
        <v>815</v>
      </c>
      <c r="B151" s="464" t="s">
        <v>938</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3">
      <c r="A152" s="78" t="s">
        <v>815</v>
      </c>
      <c r="B152" s="464" t="s">
        <v>939</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3">
      <c r="A153" s="78" t="s">
        <v>815</v>
      </c>
      <c r="B153" s="464" t="s">
        <v>940</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3">
      <c r="A154" s="78" t="s">
        <v>815</v>
      </c>
      <c r="B154" s="464" t="s">
        <v>941</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3">
      <c r="A155" s="78" t="s">
        <v>815</v>
      </c>
      <c r="B155" s="464" t="s">
        <v>942</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3">
      <c r="A156" s="78" t="s">
        <v>815</v>
      </c>
      <c r="B156" s="464" t="s">
        <v>943</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3">
      <c r="A157" s="78" t="s">
        <v>815</v>
      </c>
      <c r="B157" s="464" t="s">
        <v>944</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3">
      <c r="A158" s="78" t="s">
        <v>815</v>
      </c>
      <c r="B158" s="464" t="s">
        <v>945</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3">
      <c r="A159" s="78" t="s">
        <v>815</v>
      </c>
      <c r="B159" s="464" t="s">
        <v>946</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3">
      <c r="A160" s="78" t="s">
        <v>815</v>
      </c>
      <c r="B160" s="464" t="s">
        <v>947</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3">
      <c r="A161" s="78" t="s">
        <v>815</v>
      </c>
      <c r="B161" s="464" t="s">
        <v>948</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3">
      <c r="A162" s="78" t="s">
        <v>815</v>
      </c>
      <c r="B162" s="464" t="s">
        <v>949</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3">
      <c r="A163" s="78" t="s">
        <v>815</v>
      </c>
      <c r="B163" s="464" t="s">
        <v>950</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3">
      <c r="A164" s="78" t="s">
        <v>815</v>
      </c>
      <c r="B164" s="464" t="s">
        <v>951</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3">
      <c r="A165" s="78" t="s">
        <v>815</v>
      </c>
      <c r="B165" s="464" t="s">
        <v>952</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3">
      <c r="A166" s="78" t="s">
        <v>815</v>
      </c>
      <c r="B166" s="464" t="s">
        <v>953</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3">
      <c r="A167" s="78" t="s">
        <v>815</v>
      </c>
      <c r="B167" s="464" t="s">
        <v>954</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3">
      <c r="A168" s="78" t="s">
        <v>815</v>
      </c>
      <c r="B168" s="464" t="s">
        <v>955</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3">
      <c r="A169" s="78" t="s">
        <v>815</v>
      </c>
      <c r="B169" s="464" t="s">
        <v>956</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3">
      <c r="A170" s="78" t="s">
        <v>815</v>
      </c>
      <c r="B170" s="464" t="s">
        <v>957</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3">
      <c r="A171" s="78" t="s">
        <v>815</v>
      </c>
      <c r="B171" s="464" t="s">
        <v>958</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3">
      <c r="A172" s="78" t="s">
        <v>815</v>
      </c>
      <c r="B172" s="464" t="s">
        <v>959</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3">
      <c r="A173" s="78" t="s">
        <v>815</v>
      </c>
      <c r="B173" s="464" t="s">
        <v>960</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3">
      <c r="A174" s="78" t="s">
        <v>815</v>
      </c>
      <c r="B174" s="464" t="s">
        <v>961</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3">
      <c r="A175" s="78" t="s">
        <v>815</v>
      </c>
      <c r="B175" s="464" t="s">
        <v>962</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3">
      <c r="A176" s="78" t="s">
        <v>815</v>
      </c>
      <c r="B176" s="464" t="s">
        <v>963</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3">
      <c r="A177" s="78" t="s">
        <v>815</v>
      </c>
      <c r="B177" s="464" t="s">
        <v>964</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3">
      <c r="A178" s="78" t="s">
        <v>815</v>
      </c>
      <c r="B178" s="464" t="s">
        <v>965</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3">
      <c r="A179" s="78" t="s">
        <v>815</v>
      </c>
      <c r="B179" s="464" t="s">
        <v>966</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3">
      <c r="A180" s="78" t="s">
        <v>815</v>
      </c>
      <c r="B180" s="464" t="s">
        <v>967</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3">
      <c r="A181" s="78" t="s">
        <v>815</v>
      </c>
      <c r="B181" s="464" t="s">
        <v>968</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3">
      <c r="A182" s="78" t="s">
        <v>815</v>
      </c>
      <c r="B182" s="464" t="s">
        <v>969</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3">
      <c r="A183" s="78" t="s">
        <v>815</v>
      </c>
      <c r="B183" s="464" t="s">
        <v>970</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3">
      <c r="A184" s="78" t="s">
        <v>815</v>
      </c>
      <c r="B184" s="464" t="s">
        <v>971</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3">
      <c r="A185" s="78" t="s">
        <v>815</v>
      </c>
      <c r="B185" s="464" t="s">
        <v>972</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3">
      <c r="A186" s="78" t="s">
        <v>815</v>
      </c>
      <c r="B186" s="464" t="s">
        <v>973</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3">
      <c r="A187" s="78" t="s">
        <v>815</v>
      </c>
      <c r="B187" s="464" t="s">
        <v>974</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3">
      <c r="A188" s="78" t="s">
        <v>815</v>
      </c>
      <c r="B188" s="464" t="s">
        <v>975</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3">
      <c r="A189" s="78" t="s">
        <v>815</v>
      </c>
      <c r="B189" s="464" t="s">
        <v>976</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3">
      <c r="A190" s="78" t="s">
        <v>815</v>
      </c>
      <c r="B190" s="464" t="s">
        <v>977</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3">
      <c r="A191" s="78" t="s">
        <v>815</v>
      </c>
      <c r="B191" s="464" t="s">
        <v>978</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3">
      <c r="A192" s="78" t="s">
        <v>815</v>
      </c>
      <c r="B192" s="464" t="s">
        <v>979</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3">
      <c r="A193" s="78" t="s">
        <v>815</v>
      </c>
      <c r="B193" s="464" t="s">
        <v>980</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3">
      <c r="A194" s="78" t="s">
        <v>815</v>
      </c>
      <c r="B194" s="464" t="s">
        <v>981</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3">
      <c r="A195" s="78" t="s">
        <v>815</v>
      </c>
      <c r="B195" s="464" t="s">
        <v>982</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3">
      <c r="A196" s="78" t="s">
        <v>815</v>
      </c>
      <c r="B196" s="464" t="s">
        <v>983</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3">
      <c r="A197" s="78" t="s">
        <v>815</v>
      </c>
      <c r="B197" s="464" t="s">
        <v>984</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3">
      <c r="A198" s="78" t="s">
        <v>815</v>
      </c>
      <c r="B198" s="464" t="s">
        <v>985</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3">
      <c r="A199" s="78" t="s">
        <v>815</v>
      </c>
      <c r="B199" s="464" t="s">
        <v>986</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3">
      <c r="A200" s="78" t="s">
        <v>815</v>
      </c>
      <c r="B200" s="464" t="s">
        <v>987</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3">
      <c r="A201" s="78" t="s">
        <v>815</v>
      </c>
      <c r="B201" s="464" t="s">
        <v>988</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3">
      <c r="A202" s="78" t="s">
        <v>815</v>
      </c>
      <c r="B202" s="464" t="s">
        <v>989</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3">
      <c r="A203" s="78" t="s">
        <v>815</v>
      </c>
      <c r="B203" s="464" t="s">
        <v>990</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3">
      <c r="A204" s="78" t="s">
        <v>815</v>
      </c>
      <c r="B204" s="464" t="s">
        <v>991</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3">
      <c r="A205" s="78" t="s">
        <v>815</v>
      </c>
      <c r="B205" s="464" t="s">
        <v>992</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3">
      <c r="A206" s="78" t="s">
        <v>815</v>
      </c>
      <c r="B206" s="464" t="s">
        <v>993</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3">
      <c r="A207" s="78" t="s">
        <v>815</v>
      </c>
      <c r="B207" s="464" t="s">
        <v>994</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3">
      <c r="A208" s="78" t="s">
        <v>815</v>
      </c>
      <c r="B208" s="464" t="s">
        <v>995</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3">
      <c r="A209" s="78" t="s">
        <v>815</v>
      </c>
      <c r="B209" s="464" t="s">
        <v>996</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3">
      <c r="A210" s="78" t="s">
        <v>815</v>
      </c>
      <c r="B210" s="464" t="s">
        <v>997</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3">
      <c r="A211" s="78" t="s">
        <v>815</v>
      </c>
      <c r="B211" s="464" t="s">
        <v>998</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3">
      <c r="A212" s="78" t="s">
        <v>815</v>
      </c>
      <c r="B212" s="464" t="s">
        <v>999</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3">
      <c r="A213" s="78" t="s">
        <v>815</v>
      </c>
      <c r="B213" s="464" t="s">
        <v>1000</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3">
      <c r="A214" s="78" t="s">
        <v>815</v>
      </c>
      <c r="B214" s="464" t="s">
        <v>1001</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3">
      <c r="A215" s="78" t="s">
        <v>815</v>
      </c>
      <c r="B215" s="464" t="s">
        <v>1002</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3">
      <c r="A216" s="78" t="s">
        <v>815</v>
      </c>
      <c r="B216" s="464" t="s">
        <v>1003</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3">
      <c r="A217" s="78" t="s">
        <v>815</v>
      </c>
      <c r="B217" s="464" t="s">
        <v>1004</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3">
      <c r="A218" s="78" t="s">
        <v>815</v>
      </c>
      <c r="B218" s="464" t="s">
        <v>1005</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3">
      <c r="A219" s="78" t="s">
        <v>815</v>
      </c>
      <c r="B219" s="464" t="s">
        <v>1006</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3">
      <c r="A220" s="78" t="s">
        <v>815</v>
      </c>
      <c r="B220" s="464" t="s">
        <v>1007</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3">
      <c r="A221" s="78" t="s">
        <v>815</v>
      </c>
      <c r="B221" s="464" t="s">
        <v>1008</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3">
      <c r="A222" s="78" t="s">
        <v>815</v>
      </c>
      <c r="B222" s="464" t="s">
        <v>1009</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3">
      <c r="A223" s="78" t="s">
        <v>815</v>
      </c>
      <c r="B223" s="464" t="s">
        <v>1010</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3">
      <c r="A224" s="78" t="s">
        <v>815</v>
      </c>
      <c r="B224" s="464" t="s">
        <v>1011</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3">
      <c r="A225" s="78" t="s">
        <v>815</v>
      </c>
      <c r="B225" s="464" t="s">
        <v>1012</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3">
      <c r="A226" s="78" t="s">
        <v>815</v>
      </c>
      <c r="B226" s="464" t="s">
        <v>1013</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3">
      <c r="A227" s="78" t="s">
        <v>815</v>
      </c>
      <c r="B227" s="464" t="s">
        <v>1014</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3">
      <c r="A228" s="78" t="s">
        <v>815</v>
      </c>
      <c r="B228" s="464" t="s">
        <v>1015</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3">
      <c r="A229" s="78" t="s">
        <v>815</v>
      </c>
      <c r="B229" s="464" t="s">
        <v>1016</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3">
      <c r="A230" s="78" t="s">
        <v>815</v>
      </c>
      <c r="B230" s="464" t="s">
        <v>1017</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3">
      <c r="A231" s="78" t="s">
        <v>815</v>
      </c>
      <c r="B231" s="464" t="s">
        <v>1018</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3">
      <c r="A232" s="78" t="s">
        <v>815</v>
      </c>
      <c r="B232" s="464" t="s">
        <v>1019</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3">
      <c r="A233" s="78" t="s">
        <v>815</v>
      </c>
      <c r="B233" s="464" t="s">
        <v>1020</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3">
      <c r="A234" s="78" t="s">
        <v>815</v>
      </c>
      <c r="B234" s="464" t="s">
        <v>1021</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3">
      <c r="A235" s="78" t="s">
        <v>815</v>
      </c>
      <c r="B235" s="464" t="s">
        <v>1022</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3">
      <c r="A236" s="78" t="s">
        <v>815</v>
      </c>
      <c r="B236" s="464" t="s">
        <v>1023</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3">
      <c r="A237" s="78" t="s">
        <v>815</v>
      </c>
      <c r="B237" s="464" t="s">
        <v>1024</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3">
      <c r="A238" s="78" t="s">
        <v>815</v>
      </c>
      <c r="B238" s="464" t="s">
        <v>1025</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3">
      <c r="A239" s="78" t="s">
        <v>815</v>
      </c>
      <c r="B239" s="464" t="s">
        <v>1026</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3">
      <c r="A240" s="78" t="s">
        <v>815</v>
      </c>
      <c r="B240" s="464" t="s">
        <v>1027</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3">
      <c r="A241" s="78" t="s">
        <v>815</v>
      </c>
      <c r="B241" s="464" t="s">
        <v>1028</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3">
      <c r="A242" s="78" t="s">
        <v>815</v>
      </c>
      <c r="B242" s="464" t="s">
        <v>1029</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3">
      <c r="A243" s="78" t="s">
        <v>815</v>
      </c>
      <c r="B243" s="464" t="s">
        <v>1030</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3">
      <c r="A244" s="78" t="s">
        <v>815</v>
      </c>
      <c r="B244" s="464" t="s">
        <v>1031</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3">
      <c r="A245" s="78" t="s">
        <v>815</v>
      </c>
      <c r="B245" s="464" t="s">
        <v>1032</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3">
      <c r="A246" s="78" t="s">
        <v>815</v>
      </c>
      <c r="B246" s="464" t="s">
        <v>1033</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3">
      <c r="A247" s="78" t="s">
        <v>815</v>
      </c>
      <c r="B247" s="464" t="s">
        <v>1034</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3">
      <c r="A248" s="78" t="s">
        <v>815</v>
      </c>
      <c r="B248" s="464" t="s">
        <v>1035</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3">
      <c r="A249" s="78" t="s">
        <v>815</v>
      </c>
      <c r="B249" s="464" t="s">
        <v>1036</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3">
      <c r="A250" s="78" t="s">
        <v>815</v>
      </c>
      <c r="B250" s="464" t="s">
        <v>1037</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3">
      <c r="A251" s="78" t="s">
        <v>815</v>
      </c>
      <c r="B251" s="464" t="s">
        <v>1038</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3">
      <c r="A252" s="78" t="s">
        <v>815</v>
      </c>
      <c r="B252" s="464" t="s">
        <v>1039</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3">
      <c r="A253" s="78" t="s">
        <v>815</v>
      </c>
      <c r="B253" s="464" t="s">
        <v>1040</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3">
      <c r="A254" s="78" t="s">
        <v>815</v>
      </c>
      <c r="B254" s="464" t="s">
        <v>1041</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3">
      <c r="A255" s="78" t="s">
        <v>815</v>
      </c>
      <c r="B255" s="464" t="s">
        <v>1042</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3">
      <c r="A256" s="78" t="s">
        <v>815</v>
      </c>
      <c r="B256" s="464" t="s">
        <v>1043</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3">
      <c r="A257" s="78" t="s">
        <v>815</v>
      </c>
      <c r="B257" s="464" t="s">
        <v>1044</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3">
      <c r="A258" s="78" t="s">
        <v>815</v>
      </c>
      <c r="B258" s="464" t="s">
        <v>1045</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3">
      <c r="A259" s="78" t="s">
        <v>815</v>
      </c>
      <c r="B259" s="464" t="s">
        <v>1046</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3">
      <c r="A260" s="78" t="s">
        <v>815</v>
      </c>
      <c r="B260" s="464" t="s">
        <v>1047</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3">
      <c r="A261" s="78" t="s">
        <v>815</v>
      </c>
      <c r="B261" s="464" t="s">
        <v>1048</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3">
      <c r="A262" s="78" t="s">
        <v>815</v>
      </c>
      <c r="B262" s="464" t="s">
        <v>1049</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3">
      <c r="A263" s="78" t="s">
        <v>815</v>
      </c>
      <c r="B263" s="464" t="s">
        <v>1050</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3">
      <c r="A264" s="78" t="s">
        <v>815</v>
      </c>
      <c r="B264" s="464" t="s">
        <v>1051</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3">
      <c r="A265" s="78" t="s">
        <v>815</v>
      </c>
      <c r="B265" s="464" t="s">
        <v>1052</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3">
      <c r="A266" s="78" t="s">
        <v>815</v>
      </c>
      <c r="B266" s="464" t="s">
        <v>1053</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3">
      <c r="A267" s="78" t="s">
        <v>815</v>
      </c>
      <c r="B267" s="464" t="s">
        <v>1054</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3">
      <c r="A268" s="78" t="s">
        <v>815</v>
      </c>
      <c r="B268" s="464" t="s">
        <v>1055</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3">
      <c r="A269" s="78" t="s">
        <v>815</v>
      </c>
      <c r="B269" s="464" t="s">
        <v>1056</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3">
      <c r="A270" s="78" t="s">
        <v>815</v>
      </c>
      <c r="B270" s="464" t="s">
        <v>1057</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3">
      <c r="A271" s="78" t="s">
        <v>815</v>
      </c>
      <c r="B271" s="464" t="s">
        <v>1058</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3">
      <c r="A272" s="78" t="s">
        <v>815</v>
      </c>
      <c r="B272" s="464" t="s">
        <v>1059</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3">
      <c r="A273" s="78" t="s">
        <v>815</v>
      </c>
      <c r="B273" s="464" t="s">
        <v>1060</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3">
      <c r="A274" s="78" t="s">
        <v>815</v>
      </c>
      <c r="B274" s="464" t="s">
        <v>1061</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3">
      <c r="A275" s="78" t="s">
        <v>815</v>
      </c>
      <c r="B275" s="464" t="s">
        <v>1062</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3">
      <c r="A276" s="78" t="s">
        <v>815</v>
      </c>
      <c r="B276" s="464" t="s">
        <v>1063</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3">
      <c r="A277" s="78" t="s">
        <v>815</v>
      </c>
      <c r="B277" s="464" t="s">
        <v>1064</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3">
      <c r="A278" s="78" t="s">
        <v>815</v>
      </c>
      <c r="B278" s="464" t="s">
        <v>1065</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3">
      <c r="A279" s="78" t="s">
        <v>815</v>
      </c>
      <c r="B279" s="464" t="s">
        <v>1066</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3">
      <c r="A280" s="78" t="s">
        <v>815</v>
      </c>
      <c r="B280" s="464" t="s">
        <v>1067</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3">
      <c r="A281" s="78" t="s">
        <v>815</v>
      </c>
      <c r="B281" s="464" t="s">
        <v>1068</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3">
      <c r="A282" s="78" t="s">
        <v>815</v>
      </c>
      <c r="B282" s="464" t="s">
        <v>1069</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3">
      <c r="A283" s="78" t="s">
        <v>815</v>
      </c>
      <c r="B283" s="464" t="s">
        <v>1070</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3">
      <c r="A284" s="78" t="s">
        <v>815</v>
      </c>
      <c r="B284" s="464" t="s">
        <v>1071</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3">
      <c r="A285" s="78" t="s">
        <v>815</v>
      </c>
      <c r="B285" s="464" t="s">
        <v>1072</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3">
      <c r="A286" s="78" t="s">
        <v>815</v>
      </c>
      <c r="B286" s="464" t="s">
        <v>1073</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3">
      <c r="A287" s="78" t="s">
        <v>815</v>
      </c>
      <c r="B287" s="464" t="s">
        <v>1074</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3">
      <c r="A288" s="78" t="s">
        <v>815</v>
      </c>
      <c r="B288" s="464" t="s">
        <v>1075</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3">
      <c r="A289" s="78" t="s">
        <v>815</v>
      </c>
      <c r="B289" s="464" t="s">
        <v>1076</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3">
      <c r="A290" s="78" t="s">
        <v>815</v>
      </c>
      <c r="B290" s="464" t="s">
        <v>1077</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3">
      <c r="A291" s="78" t="s">
        <v>815</v>
      </c>
      <c r="B291" s="464" t="s">
        <v>1078</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3">
      <c r="A292" s="78" t="s">
        <v>815</v>
      </c>
      <c r="B292" s="464" t="s">
        <v>1079</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3">
      <c r="A293" s="78" t="s">
        <v>815</v>
      </c>
      <c r="B293" s="464" t="s">
        <v>1080</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3">
      <c r="A294" s="78" t="s">
        <v>815</v>
      </c>
      <c r="B294" s="464" t="s">
        <v>1081</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3">
      <c r="A295" s="78" t="s">
        <v>815</v>
      </c>
      <c r="B295" s="464" t="s">
        <v>1082</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3">
      <c r="A296" s="78" t="s">
        <v>815</v>
      </c>
      <c r="B296" s="464" t="s">
        <v>1083</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3">
      <c r="A297" s="78" t="s">
        <v>815</v>
      </c>
      <c r="B297" s="464" t="s">
        <v>1084</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3">
      <c r="A298" s="78" t="s">
        <v>815</v>
      </c>
      <c r="B298" s="464" t="s">
        <v>1085</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3">
      <c r="A299" s="78" t="s">
        <v>815</v>
      </c>
      <c r="B299" s="464" t="s">
        <v>1086</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3">
      <c r="A300" s="78" t="s">
        <v>815</v>
      </c>
      <c r="B300" s="464" t="s">
        <v>1087</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3">
      <c r="A301" s="78" t="s">
        <v>815</v>
      </c>
      <c r="B301" s="464" t="s">
        <v>1088</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3">
      <c r="A302" s="78" t="s">
        <v>815</v>
      </c>
      <c r="B302" s="464" t="s">
        <v>1089</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3">
      <c r="A303" s="78" t="s">
        <v>815</v>
      </c>
      <c r="B303" s="464" t="s">
        <v>1090</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3">
      <c r="A304" s="78" t="s">
        <v>815</v>
      </c>
      <c r="B304" s="464" t="s">
        <v>1091</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3">
      <c r="A305" s="78" t="s">
        <v>815</v>
      </c>
      <c r="B305" s="464" t="s">
        <v>1092</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3">
      <c r="A306" s="78" t="s">
        <v>815</v>
      </c>
      <c r="B306" s="464" t="s">
        <v>1093</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3">
      <c r="A307" s="78" t="s">
        <v>815</v>
      </c>
      <c r="B307" s="464" t="s">
        <v>1094</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3">
      <c r="A308" s="78" t="s">
        <v>815</v>
      </c>
      <c r="B308" s="464" t="s">
        <v>1095</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3">
      <c r="A309" s="78" t="s">
        <v>815</v>
      </c>
      <c r="B309" s="464" t="s">
        <v>1096</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3">
      <c r="A310" s="78" t="s">
        <v>815</v>
      </c>
      <c r="B310" s="464" t="s">
        <v>1097</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3">
      <c r="A311" s="78" t="s">
        <v>815</v>
      </c>
      <c r="B311" s="464" t="s">
        <v>1098</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3">
      <c r="A312" s="78" t="s">
        <v>815</v>
      </c>
      <c r="B312" s="464" t="s">
        <v>1099</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3">
      <c r="A313" s="78" t="s">
        <v>815</v>
      </c>
      <c r="B313" s="464" t="s">
        <v>1100</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3">
      <c r="A314" s="78" t="s">
        <v>815</v>
      </c>
      <c r="B314" s="464" t="s">
        <v>1101</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3">
      <c r="A315" s="78" t="s">
        <v>815</v>
      </c>
      <c r="B315" s="464" t="s">
        <v>1102</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3">
      <c r="A316" s="78" t="s">
        <v>815</v>
      </c>
      <c r="B316" s="464" t="s">
        <v>1103</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3">
      <c r="A317" s="78" t="s">
        <v>815</v>
      </c>
      <c r="B317" s="464" t="s">
        <v>1104</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3">
      <c r="A318" s="78" t="s">
        <v>815</v>
      </c>
      <c r="B318" s="464" t="s">
        <v>1105</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3">
      <c r="A319" s="78" t="s">
        <v>815</v>
      </c>
      <c r="B319" s="464" t="s">
        <v>1106</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3">
      <c r="A320" s="78" t="s">
        <v>815</v>
      </c>
      <c r="B320" s="464" t="s">
        <v>1107</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3">
      <c r="A321" s="78" t="s">
        <v>815</v>
      </c>
      <c r="B321" s="464" t="s">
        <v>1108</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3">
      <c r="A322" s="78" t="s">
        <v>815</v>
      </c>
      <c r="B322" s="464" t="s">
        <v>1109</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3">
      <c r="A323" s="78" t="s">
        <v>815</v>
      </c>
      <c r="B323" s="464" t="s">
        <v>1110</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3">
      <c r="A324" s="78" t="s">
        <v>815</v>
      </c>
      <c r="B324" s="464" t="s">
        <v>1111</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3">
      <c r="A325" s="78" t="s">
        <v>815</v>
      </c>
      <c r="B325" s="464" t="s">
        <v>1112</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3">
      <c r="A326" s="78" t="s">
        <v>815</v>
      </c>
      <c r="B326" s="464" t="s">
        <v>1113</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3">
      <c r="A327" s="78" t="s">
        <v>815</v>
      </c>
      <c r="B327" s="464" t="s">
        <v>1114</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3">
      <c r="A328" s="78" t="s">
        <v>815</v>
      </c>
      <c r="B328" s="464" t="s">
        <v>1115</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3">
      <c r="A329" s="78" t="s">
        <v>815</v>
      </c>
      <c r="B329" s="464" t="s">
        <v>1116</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3">
      <c r="A330" s="78" t="s">
        <v>815</v>
      </c>
      <c r="B330" s="464" t="s">
        <v>1117</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3">
      <c r="A331" s="78" t="s">
        <v>815</v>
      </c>
      <c r="B331" s="464" t="s">
        <v>1118</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3">
      <c r="A332" s="78" t="s">
        <v>815</v>
      </c>
      <c r="B332" s="464" t="s">
        <v>1119</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3">
      <c r="A333" s="78" t="s">
        <v>815</v>
      </c>
      <c r="B333" s="464" t="s">
        <v>1120</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3">
      <c r="A334" s="78" t="s">
        <v>815</v>
      </c>
      <c r="B334" s="464" t="s">
        <v>1121</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3">
      <c r="A335" s="78" t="s">
        <v>815</v>
      </c>
      <c r="B335" s="464" t="s">
        <v>1122</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3">
      <c r="A336" s="78" t="s">
        <v>815</v>
      </c>
      <c r="B336" s="464" t="s">
        <v>1123</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3">
      <c r="A337" s="78" t="s">
        <v>815</v>
      </c>
      <c r="B337" s="464" t="s">
        <v>1124</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3">
      <c r="A338" s="78" t="s">
        <v>815</v>
      </c>
      <c r="B338" s="464" t="s">
        <v>1125</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3">
      <c r="A339" s="78" t="s">
        <v>815</v>
      </c>
      <c r="B339" s="464" t="s">
        <v>1126</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3">
      <c r="A340" s="78" t="s">
        <v>815</v>
      </c>
      <c r="B340" s="464" t="s">
        <v>1127</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3">
      <c r="A341" s="78" t="s">
        <v>815</v>
      </c>
      <c r="B341" s="464" t="s">
        <v>1128</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3">
      <c r="A342" s="78" t="s">
        <v>815</v>
      </c>
      <c r="B342" s="464" t="s">
        <v>1129</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3">
      <c r="A343" s="78" t="s">
        <v>815</v>
      </c>
      <c r="B343" s="464" t="s">
        <v>1130</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3">
      <c r="A344" s="78" t="s">
        <v>815</v>
      </c>
      <c r="B344" s="464" t="s">
        <v>1131</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3">
      <c r="A345" s="78" t="s">
        <v>815</v>
      </c>
      <c r="B345" s="464" t="s">
        <v>1132</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3">
      <c r="A346" s="78" t="s">
        <v>815</v>
      </c>
      <c r="B346" s="464" t="s">
        <v>1133</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3">
      <c r="A347" s="78" t="s">
        <v>815</v>
      </c>
      <c r="B347" s="464" t="s">
        <v>1134</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3">
      <c r="A348" s="78" t="s">
        <v>815</v>
      </c>
      <c r="B348" s="464" t="s">
        <v>1135</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3">
      <c r="A349" s="78" t="s">
        <v>815</v>
      </c>
      <c r="B349" s="464" t="s">
        <v>1136</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3">
      <c r="A350" s="78" t="s">
        <v>815</v>
      </c>
      <c r="B350" s="464" t="s">
        <v>1137</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3">
      <c r="A351" s="78" t="s">
        <v>815</v>
      </c>
      <c r="B351" s="464" t="s">
        <v>1138</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3">
      <c r="A352" s="78" t="s">
        <v>815</v>
      </c>
      <c r="B352" s="464" t="s">
        <v>1139</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3">
      <c r="A353" s="78" t="s">
        <v>815</v>
      </c>
      <c r="B353" s="464" t="s">
        <v>1140</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3">
      <c r="A354" s="78" t="s">
        <v>815</v>
      </c>
      <c r="B354" s="464" t="s">
        <v>1141</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3">
      <c r="A355" s="78" t="s">
        <v>815</v>
      </c>
      <c r="B355" s="464" t="s">
        <v>1142</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3">
      <c r="A356" s="78" t="s">
        <v>815</v>
      </c>
      <c r="B356" s="464" t="s">
        <v>1143</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3">
      <c r="A357" s="78" t="s">
        <v>815</v>
      </c>
      <c r="B357" s="464" t="s">
        <v>1144</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3">
      <c r="A358" s="78" t="s">
        <v>815</v>
      </c>
      <c r="B358" s="464" t="s">
        <v>1145</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3">
      <c r="A359" s="78" t="s">
        <v>815</v>
      </c>
      <c r="B359" s="464" t="s">
        <v>1146</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3">
      <c r="A360" s="78" t="s">
        <v>815</v>
      </c>
      <c r="B360" s="464" t="s">
        <v>1147</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3">
      <c r="A361" s="78" t="s">
        <v>815</v>
      </c>
      <c r="B361" s="464" t="s">
        <v>1148</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3">
      <c r="A362" s="78" t="s">
        <v>815</v>
      </c>
      <c r="B362" s="464" t="s">
        <v>1149</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3">
      <c r="A363" s="78" t="s">
        <v>815</v>
      </c>
      <c r="B363" s="464" t="s">
        <v>1150</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3">
      <c r="A364" s="78" t="s">
        <v>815</v>
      </c>
      <c r="B364" s="464" t="s">
        <v>1151</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3">
      <c r="A365" s="78" t="s">
        <v>815</v>
      </c>
      <c r="B365" s="464" t="s">
        <v>1152</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3">
      <c r="A366" s="78" t="s">
        <v>815</v>
      </c>
      <c r="B366" s="464" t="s">
        <v>1153</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3">
      <c r="A367" s="78" t="s">
        <v>815</v>
      </c>
      <c r="B367" s="464" t="s">
        <v>1154</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3">
      <c r="A368" s="78" t="s">
        <v>815</v>
      </c>
      <c r="B368" s="464" t="s">
        <v>1155</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3">
      <c r="A369" s="78" t="s">
        <v>815</v>
      </c>
      <c r="B369" s="464" t="s">
        <v>1156</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3">
      <c r="A370" s="78" t="s">
        <v>815</v>
      </c>
      <c r="B370" s="464" t="s">
        <v>1157</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3">
      <c r="A371" s="78" t="s">
        <v>815</v>
      </c>
      <c r="B371" s="464" t="s">
        <v>1158</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3">
      <c r="A372" s="78" t="s">
        <v>815</v>
      </c>
      <c r="B372" s="464" t="s">
        <v>1159</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3">
      <c r="A373" s="78" t="s">
        <v>815</v>
      </c>
      <c r="B373" s="464" t="s">
        <v>1160</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3">
      <c r="A374" s="78" t="s">
        <v>815</v>
      </c>
      <c r="B374" s="464" t="s">
        <v>1161</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3">
      <c r="A375" s="78" t="s">
        <v>815</v>
      </c>
      <c r="B375" s="464" t="s">
        <v>1162</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3">
      <c r="A376" s="78" t="s">
        <v>815</v>
      </c>
      <c r="B376" s="464" t="s">
        <v>1163</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3">
      <c r="A377" s="78" t="s">
        <v>815</v>
      </c>
      <c r="B377" s="464" t="s">
        <v>1164</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3">
      <c r="A378" s="78" t="s">
        <v>815</v>
      </c>
      <c r="B378" s="464" t="s">
        <v>1165</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3">
      <c r="A379" s="78" t="s">
        <v>815</v>
      </c>
      <c r="B379" s="464" t="s">
        <v>1166</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3">
      <c r="A380" s="78" t="s">
        <v>815</v>
      </c>
      <c r="B380" s="464" t="s">
        <v>1167</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3">
      <c r="A381" s="78" t="s">
        <v>815</v>
      </c>
      <c r="B381" s="464" t="s">
        <v>1168</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3">
      <c r="A382" s="78" t="s">
        <v>815</v>
      </c>
      <c r="B382" s="464" t="s">
        <v>1169</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3">
      <c r="A383" s="78" t="s">
        <v>815</v>
      </c>
      <c r="B383" s="464" t="s">
        <v>1170</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3">
      <c r="A384" s="78" t="s">
        <v>815</v>
      </c>
      <c r="B384" s="464" t="s">
        <v>1171</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3">
      <c r="A385" s="78" t="s">
        <v>815</v>
      </c>
      <c r="B385" s="464" t="s">
        <v>1172</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3">
      <c r="A386" s="78" t="s">
        <v>815</v>
      </c>
      <c r="B386" s="464" t="s">
        <v>1173</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3">
      <c r="A387" s="78" t="s">
        <v>815</v>
      </c>
      <c r="B387" s="464" t="s">
        <v>1174</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3">
      <c r="A388" s="78" t="s">
        <v>815</v>
      </c>
      <c r="B388" s="464" t="s">
        <v>1175</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3">
      <c r="A389" s="78" t="s">
        <v>815</v>
      </c>
      <c r="B389" s="464" t="s">
        <v>1176</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3">
      <c r="A390" s="78" t="s">
        <v>815</v>
      </c>
      <c r="B390" s="464" t="s">
        <v>1177</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3">
      <c r="A391" s="78" t="s">
        <v>815</v>
      </c>
      <c r="B391" s="464" t="s">
        <v>1178</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3">
      <c r="A392" s="78" t="s">
        <v>815</v>
      </c>
      <c r="B392" s="464" t="s">
        <v>1179</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3">
      <c r="A393" s="78" t="s">
        <v>815</v>
      </c>
      <c r="B393" s="464" t="s">
        <v>1180</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3">
      <c r="A394" s="78" t="s">
        <v>815</v>
      </c>
      <c r="B394" s="464" t="s">
        <v>1181</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3">
      <c r="A395" s="78" t="s">
        <v>815</v>
      </c>
      <c r="B395" s="464" t="s">
        <v>1182</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3">
      <c r="A396" s="78" t="s">
        <v>815</v>
      </c>
      <c r="B396" s="464" t="s">
        <v>1183</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3">
      <c r="A397" s="78" t="s">
        <v>815</v>
      </c>
      <c r="B397" s="464" t="s">
        <v>1184</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3">
      <c r="A398" s="78" t="s">
        <v>815</v>
      </c>
      <c r="B398" s="464" t="s">
        <v>1185</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3">
      <c r="A399" s="78" t="s">
        <v>815</v>
      </c>
      <c r="B399" s="464" t="s">
        <v>1186</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3">
      <c r="A400" s="78" t="s">
        <v>815</v>
      </c>
      <c r="B400" s="464" t="s">
        <v>1187</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3">
      <c r="A401" s="78" t="s">
        <v>815</v>
      </c>
      <c r="B401" s="464" t="s">
        <v>1188</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3">
      <c r="A402" s="78" t="s">
        <v>815</v>
      </c>
      <c r="B402" s="464" t="s">
        <v>1189</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3">
      <c r="A403" s="78" t="s">
        <v>815</v>
      </c>
      <c r="B403" s="464" t="s">
        <v>1190</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3">
      <c r="A404" s="78" t="s">
        <v>815</v>
      </c>
      <c r="B404" s="464" t="s">
        <v>1191</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3">
      <c r="A405" s="78" t="s">
        <v>815</v>
      </c>
      <c r="B405" s="464" t="s">
        <v>1192</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3">
      <c r="A406" s="78" t="s">
        <v>815</v>
      </c>
      <c r="B406" s="464" t="s">
        <v>1193</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3">
      <c r="A407" s="78" t="s">
        <v>815</v>
      </c>
      <c r="B407" s="464" t="s">
        <v>1194</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3">
      <c r="A408" s="78" t="s">
        <v>815</v>
      </c>
      <c r="B408" s="464" t="s">
        <v>1195</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3">
      <c r="A409" s="78" t="s">
        <v>815</v>
      </c>
      <c r="B409" s="464" t="s">
        <v>1196</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3">
      <c r="A410" s="78" t="s">
        <v>815</v>
      </c>
      <c r="B410" s="464" t="s">
        <v>1197</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3">
      <c r="A411" s="78" t="s">
        <v>815</v>
      </c>
      <c r="B411" s="464" t="s">
        <v>1198</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3">
      <c r="A412" s="78" t="s">
        <v>815</v>
      </c>
      <c r="B412" s="464" t="s">
        <v>1199</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3">
      <c r="A413" s="78" t="s">
        <v>815</v>
      </c>
      <c r="B413" s="464" t="s">
        <v>1200</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3">
      <c r="A414" s="78" t="s">
        <v>815</v>
      </c>
      <c r="B414" s="464" t="s">
        <v>1201</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3">
      <c r="A415" s="78" t="s">
        <v>815</v>
      </c>
      <c r="B415" s="464" t="s">
        <v>1202</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3">
      <c r="A416" s="78" t="s">
        <v>815</v>
      </c>
      <c r="B416" s="464" t="s">
        <v>1203</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3">
      <c r="A417" s="78" t="s">
        <v>815</v>
      </c>
      <c r="B417" s="464" t="s">
        <v>1204</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3">
      <c r="A418" s="78" t="s">
        <v>815</v>
      </c>
      <c r="B418" s="464" t="s">
        <v>1205</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3">
      <c r="A419" s="78" t="s">
        <v>815</v>
      </c>
      <c r="B419" s="464" t="s">
        <v>1206</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3">
      <c r="A420" s="78" t="s">
        <v>815</v>
      </c>
      <c r="B420" s="464" t="s">
        <v>1207</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3">
      <c r="A421" s="78" t="s">
        <v>815</v>
      </c>
      <c r="B421" s="464" t="s">
        <v>1208</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3">
      <c r="A422" s="78" t="s">
        <v>815</v>
      </c>
      <c r="B422" s="464" t="s">
        <v>1209</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3">
      <c r="A423" s="78" t="s">
        <v>815</v>
      </c>
      <c r="B423" s="464" t="s">
        <v>1210</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3">
      <c r="A424" s="78" t="s">
        <v>815</v>
      </c>
      <c r="B424" s="464" t="s">
        <v>1211</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3">
      <c r="A425" s="78" t="s">
        <v>815</v>
      </c>
      <c r="B425" s="464" t="s">
        <v>1212</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3">
      <c r="A426" s="78" t="s">
        <v>815</v>
      </c>
      <c r="B426" s="464" t="s">
        <v>1213</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3">
      <c r="A427" s="78" t="s">
        <v>815</v>
      </c>
      <c r="B427" s="464" t="s">
        <v>1214</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3">
      <c r="A428" s="78" t="s">
        <v>815</v>
      </c>
      <c r="B428" s="464" t="s">
        <v>1215</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3">
      <c r="A429" s="78" t="s">
        <v>815</v>
      </c>
      <c r="B429" s="464" t="s">
        <v>1216</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3">
      <c r="A430" s="78" t="s">
        <v>815</v>
      </c>
      <c r="B430" s="464" t="s">
        <v>1217</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3">
      <c r="A431" s="78" t="s">
        <v>815</v>
      </c>
      <c r="B431" s="464" t="s">
        <v>1218</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3">
      <c r="A432" s="78" t="s">
        <v>815</v>
      </c>
      <c r="B432" s="464" t="s">
        <v>1219</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3">
      <c r="A433" s="78" t="s">
        <v>815</v>
      </c>
      <c r="B433" s="464" t="s">
        <v>1220</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3">
      <c r="A434" s="78" t="s">
        <v>815</v>
      </c>
      <c r="B434" s="464" t="s">
        <v>1221</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3">
      <c r="A435" s="78" t="s">
        <v>815</v>
      </c>
      <c r="B435" s="464" t="s">
        <v>1222</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3">
      <c r="A436" s="78" t="s">
        <v>815</v>
      </c>
      <c r="B436" s="464" t="s">
        <v>1223</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3">
      <c r="A437" s="78" t="s">
        <v>815</v>
      </c>
      <c r="B437" s="464" t="s">
        <v>1224</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3">
      <c r="A438" s="78" t="s">
        <v>815</v>
      </c>
      <c r="B438" s="464" t="s">
        <v>1225</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3">
      <c r="A439" s="78" t="s">
        <v>815</v>
      </c>
      <c r="B439" s="464" t="s">
        <v>1226</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3">
      <c r="A440" s="78" t="s">
        <v>815</v>
      </c>
      <c r="B440" s="464" t="s">
        <v>1227</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3">
      <c r="A441" s="78" t="s">
        <v>815</v>
      </c>
      <c r="B441" s="464" t="s">
        <v>1228</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3">
      <c r="A442" s="78" t="s">
        <v>815</v>
      </c>
      <c r="B442" s="464" t="s">
        <v>1229</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3">
      <c r="A443" s="78" t="s">
        <v>815</v>
      </c>
      <c r="B443" s="464" t="s">
        <v>1230</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3">
      <c r="A444" s="78" t="s">
        <v>815</v>
      </c>
      <c r="B444" s="464" t="s">
        <v>1231</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3">
      <c r="A445" s="78" t="s">
        <v>815</v>
      </c>
      <c r="B445" s="464" t="s">
        <v>1232</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3">
      <c r="A446" s="78" t="s">
        <v>815</v>
      </c>
      <c r="B446" s="464" t="s">
        <v>1233</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3">
      <c r="A447" s="78" t="s">
        <v>815</v>
      </c>
      <c r="B447" s="464" t="s">
        <v>1234</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3">
      <c r="A448" s="78" t="s">
        <v>815</v>
      </c>
      <c r="B448" s="464" t="s">
        <v>1235</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3">
      <c r="A449" s="78" t="s">
        <v>815</v>
      </c>
      <c r="B449" s="464" t="s">
        <v>1236</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3">
      <c r="A450" s="78" t="s">
        <v>815</v>
      </c>
      <c r="B450" s="464" t="s">
        <v>1237</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3">
      <c r="A451" s="78" t="s">
        <v>815</v>
      </c>
      <c r="B451" s="464" t="s">
        <v>1238</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3">
      <c r="A452" s="78" t="s">
        <v>815</v>
      </c>
      <c r="B452" s="464" t="s">
        <v>1239</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3">
      <c r="A453" s="78" t="s">
        <v>815</v>
      </c>
      <c r="B453" s="464" t="s">
        <v>1240</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3">
      <c r="A454" s="78" t="s">
        <v>815</v>
      </c>
      <c r="B454" s="464" t="s">
        <v>1241</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3">
      <c r="A455" s="78" t="s">
        <v>815</v>
      </c>
      <c r="B455" s="464" t="s">
        <v>1242</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3">
      <c r="A456" s="78" t="s">
        <v>815</v>
      </c>
      <c r="B456" s="464" t="s">
        <v>1243</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3">
      <c r="A457" s="78" t="s">
        <v>815</v>
      </c>
      <c r="B457" s="464" t="s">
        <v>1244</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3">
      <c r="A458" s="78" t="s">
        <v>815</v>
      </c>
      <c r="B458" s="464" t="s">
        <v>1245</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3">
      <c r="A459" s="78" t="s">
        <v>815</v>
      </c>
      <c r="B459" s="464" t="s">
        <v>1246</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3">
      <c r="A460" s="78" t="s">
        <v>815</v>
      </c>
      <c r="B460" s="464" t="s">
        <v>1247</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3">
      <c r="A461" s="78" t="s">
        <v>815</v>
      </c>
      <c r="B461" s="464" t="s">
        <v>1248</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3">
      <c r="A462" s="78" t="s">
        <v>815</v>
      </c>
      <c r="B462" s="464" t="s">
        <v>1249</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3">
      <c r="A463" s="78" t="s">
        <v>815</v>
      </c>
      <c r="B463" s="464" t="s">
        <v>1250</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3">
      <c r="A464" s="78" t="s">
        <v>815</v>
      </c>
      <c r="B464" s="464" t="s">
        <v>1251</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3">
      <c r="A465" s="78" t="s">
        <v>815</v>
      </c>
      <c r="B465" s="464" t="s">
        <v>1252</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3">
      <c r="A466" s="78" t="s">
        <v>815</v>
      </c>
      <c r="B466" s="464" t="s">
        <v>1252</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3">
      <c r="A467" s="78" t="s">
        <v>815</v>
      </c>
      <c r="B467" s="464" t="s">
        <v>1253</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3">
      <c r="A468" s="78" t="s">
        <v>815</v>
      </c>
      <c r="B468" s="464" t="s">
        <v>1254</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3">
      <c r="A469" s="78" t="s">
        <v>815</v>
      </c>
      <c r="B469" s="464" t="s">
        <v>1255</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3">
      <c r="A470" s="78" t="s">
        <v>815</v>
      </c>
      <c r="B470" s="464" t="s">
        <v>1256</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3">
      <c r="A471" s="78" t="s">
        <v>815</v>
      </c>
      <c r="B471" s="464" t="s">
        <v>1257</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3">
      <c r="A472" s="78" t="s">
        <v>815</v>
      </c>
      <c r="B472" s="464" t="s">
        <v>1258</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3">
      <c r="A473" s="78" t="s">
        <v>815</v>
      </c>
      <c r="B473" s="464" t="s">
        <v>1259</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3">
      <c r="A474" s="78" t="s">
        <v>815</v>
      </c>
      <c r="B474" s="464" t="s">
        <v>1260</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3">
      <c r="A475" s="78" t="s">
        <v>815</v>
      </c>
      <c r="B475" s="464" t="s">
        <v>1261</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3">
      <c r="A476" s="78" t="s">
        <v>815</v>
      </c>
      <c r="B476" s="464" t="s">
        <v>1262</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3">
      <c r="A477" s="78" t="s">
        <v>815</v>
      </c>
      <c r="B477" s="464" t="s">
        <v>1263</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3">
      <c r="A478" s="78" t="s">
        <v>815</v>
      </c>
      <c r="B478" s="464" t="s">
        <v>1264</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3">
      <c r="A479" s="78" t="s">
        <v>815</v>
      </c>
      <c r="B479" s="464" t="s">
        <v>1265</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3">
      <c r="A480" s="78" t="s">
        <v>815</v>
      </c>
      <c r="B480" s="464" t="s">
        <v>1266</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3">
      <c r="A481" s="78" t="s">
        <v>815</v>
      </c>
      <c r="B481" s="464" t="s">
        <v>1267</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3">
      <c r="A482" s="78" t="s">
        <v>815</v>
      </c>
      <c r="B482" s="464" t="s">
        <v>1268</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3">
      <c r="A483" s="78" t="s">
        <v>815</v>
      </c>
      <c r="B483" s="464" t="s">
        <v>1269</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3">
      <c r="A484" s="78" t="s">
        <v>815</v>
      </c>
      <c r="B484" s="464" t="s">
        <v>1270</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3">
      <c r="A485" s="78" t="s">
        <v>815</v>
      </c>
      <c r="B485" s="464" t="s">
        <v>1271</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3">
      <c r="A486" s="78" t="s">
        <v>815</v>
      </c>
      <c r="B486" s="464" t="s">
        <v>1272</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3">
      <c r="A487" s="78" t="s">
        <v>815</v>
      </c>
      <c r="B487" s="464" t="s">
        <v>1273</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3">
      <c r="A488" s="78" t="s">
        <v>815</v>
      </c>
      <c r="B488" s="464" t="s">
        <v>1274</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3">
      <c r="A489" s="78" t="s">
        <v>815</v>
      </c>
      <c r="B489" s="464" t="s">
        <v>1275</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3">
      <c r="A490" s="78" t="s">
        <v>815</v>
      </c>
      <c r="B490" s="464" t="s">
        <v>1276</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3">
      <c r="A491" s="78" t="s">
        <v>815</v>
      </c>
      <c r="B491" s="464" t="s">
        <v>1277</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3">
      <c r="A492" s="78" t="s">
        <v>815</v>
      </c>
      <c r="B492" s="464" t="s">
        <v>1278</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3">
      <c r="A493" s="78" t="s">
        <v>815</v>
      </c>
      <c r="B493" s="464" t="s">
        <v>1279</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3">
      <c r="A494" s="78" t="s">
        <v>815</v>
      </c>
      <c r="B494" s="464" t="s">
        <v>1280</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3">
      <c r="A495" s="78" t="s">
        <v>815</v>
      </c>
      <c r="B495" s="464" t="s">
        <v>1281</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3">
      <c r="A496" s="78" t="s">
        <v>815</v>
      </c>
      <c r="B496" s="464" t="s">
        <v>1282</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3">
      <c r="A497" s="78" t="s">
        <v>815</v>
      </c>
      <c r="B497" s="464" t="s">
        <v>1283</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3">
      <c r="A498" s="78" t="s">
        <v>815</v>
      </c>
      <c r="B498" s="464" t="s">
        <v>1284</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3">
      <c r="A499" s="78" t="s">
        <v>815</v>
      </c>
      <c r="B499" s="464" t="s">
        <v>1285</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3">
      <c r="A500" s="78" t="s">
        <v>815</v>
      </c>
      <c r="B500" s="464" t="s">
        <v>1286</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3">
      <c r="A501" s="78" t="s">
        <v>815</v>
      </c>
      <c r="B501" s="464" t="s">
        <v>1287</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3">
      <c r="A502" s="78" t="s">
        <v>815</v>
      </c>
      <c r="B502" s="464" t="s">
        <v>1288</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3">
      <c r="A503" s="78" t="s">
        <v>815</v>
      </c>
      <c r="B503" s="464" t="s">
        <v>1289</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3">
      <c r="A504" s="78" t="s">
        <v>815</v>
      </c>
      <c r="B504" s="464" t="s">
        <v>1290</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3">
      <c r="A505" s="78" t="s">
        <v>815</v>
      </c>
      <c r="B505" s="464" t="s">
        <v>1291</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3">
      <c r="A506" s="78" t="s">
        <v>815</v>
      </c>
      <c r="B506" s="464" t="s">
        <v>1292</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3">
      <c r="A507" s="78" t="s">
        <v>815</v>
      </c>
      <c r="B507" s="464" t="s">
        <v>1293</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3">
      <c r="A508" s="78" t="s">
        <v>815</v>
      </c>
      <c r="B508" s="464" t="s">
        <v>1294</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3">
      <c r="A509" s="78" t="s">
        <v>815</v>
      </c>
      <c r="B509" s="464" t="s">
        <v>1295</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3">
      <c r="A510" s="78" t="s">
        <v>815</v>
      </c>
      <c r="B510" s="464" t="s">
        <v>1296</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3">
      <c r="A511" s="78" t="s">
        <v>815</v>
      </c>
      <c r="B511" s="464" t="s">
        <v>1297</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3">
      <c r="A512" s="78" t="s">
        <v>815</v>
      </c>
      <c r="B512" s="464" t="s">
        <v>1298</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3">
      <c r="A513" s="78" t="s">
        <v>815</v>
      </c>
      <c r="B513" s="464" t="s">
        <v>1299</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3">
      <c r="A514" s="78" t="s">
        <v>815</v>
      </c>
      <c r="B514" s="464" t="s">
        <v>1300</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3">
      <c r="A515" s="78" t="s">
        <v>815</v>
      </c>
      <c r="B515" s="464" t="s">
        <v>1301</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3">
      <c r="A516" s="78" t="s">
        <v>815</v>
      </c>
      <c r="B516" s="464" t="s">
        <v>1302</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3">
      <c r="A517" s="78" t="s">
        <v>815</v>
      </c>
      <c r="B517" s="464" t="s">
        <v>1303</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3">
      <c r="A518" s="78" t="s">
        <v>815</v>
      </c>
      <c r="B518" s="464" t="s">
        <v>1304</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3">
      <c r="A519" s="78" t="s">
        <v>815</v>
      </c>
      <c r="B519" s="464" t="s">
        <v>1305</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3">
      <c r="A520" s="78" t="s">
        <v>815</v>
      </c>
      <c r="B520" s="464" t="s">
        <v>1306</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3">
      <c r="A521" s="78" t="s">
        <v>815</v>
      </c>
      <c r="B521" s="464" t="s">
        <v>1307</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3">
      <c r="A522" s="78" t="s">
        <v>815</v>
      </c>
      <c r="B522" s="464" t="s">
        <v>1308</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3">
      <c r="A523" s="78" t="s">
        <v>815</v>
      </c>
      <c r="B523" s="464" t="s">
        <v>1309</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3">
      <c r="A524" s="78" t="s">
        <v>815</v>
      </c>
      <c r="B524" s="464" t="s">
        <v>1310</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3">
      <c r="A525" s="78" t="s">
        <v>815</v>
      </c>
      <c r="B525" s="464" t="s">
        <v>1311</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3">
      <c r="A526" s="78" t="s">
        <v>815</v>
      </c>
      <c r="B526" s="464" t="s">
        <v>1312</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3">
      <c r="A527" s="78" t="s">
        <v>815</v>
      </c>
      <c r="B527" s="464" t="s">
        <v>1313</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3">
      <c r="A528" s="78" t="s">
        <v>815</v>
      </c>
      <c r="B528" s="464" t="s">
        <v>1314</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3">
      <c r="A529" s="78" t="s">
        <v>815</v>
      </c>
      <c r="B529" s="464" t="s">
        <v>1315</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3">
      <c r="A530" s="78" t="s">
        <v>815</v>
      </c>
      <c r="B530" s="464" t="s">
        <v>1316</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3">
      <c r="A531" s="78" t="s">
        <v>815</v>
      </c>
      <c r="B531" s="464" t="s">
        <v>1317</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3">
      <c r="A532" s="78" t="s">
        <v>815</v>
      </c>
      <c r="B532" s="464" t="s">
        <v>1318</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3">
      <c r="A533" s="78" t="s">
        <v>815</v>
      </c>
      <c r="B533" s="464" t="s">
        <v>1319</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3">
      <c r="A534" s="78" t="s">
        <v>815</v>
      </c>
      <c r="B534" s="464" t="s">
        <v>1320</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3">
      <c r="A535" s="78" t="s">
        <v>815</v>
      </c>
      <c r="B535" s="464" t="s">
        <v>1321</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3">
      <c r="A536" s="78" t="s">
        <v>815</v>
      </c>
      <c r="B536" s="464" t="s">
        <v>1322</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3">
      <c r="A537" s="78" t="s">
        <v>815</v>
      </c>
      <c r="B537" s="464" t="s">
        <v>1323</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3">
      <c r="A538" s="78" t="s">
        <v>815</v>
      </c>
      <c r="B538" s="464" t="s">
        <v>1324</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3">
      <c r="A539" s="78" t="s">
        <v>815</v>
      </c>
      <c r="B539" s="464" t="s">
        <v>1325</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3">
      <c r="A540" s="78" t="s">
        <v>815</v>
      </c>
      <c r="B540" s="464" t="s">
        <v>1326</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3">
      <c r="A541" s="78" t="s">
        <v>815</v>
      </c>
      <c r="B541" s="464" t="s">
        <v>1327</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3">
      <c r="A542" s="78" t="s">
        <v>815</v>
      </c>
      <c r="B542" s="464" t="s">
        <v>1328</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3">
      <c r="A543" s="78" t="s">
        <v>815</v>
      </c>
      <c r="B543" s="464" t="s">
        <v>1329</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3">
      <c r="A544" s="78" t="s">
        <v>815</v>
      </c>
      <c r="B544" s="464" t="s">
        <v>1330</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3">
      <c r="A545" s="78" t="s">
        <v>815</v>
      </c>
      <c r="B545" s="464" t="s">
        <v>1331</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3">
      <c r="A546" s="78" t="s">
        <v>815</v>
      </c>
      <c r="B546" s="464" t="s">
        <v>1332</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3">
      <c r="A547" s="78" t="s">
        <v>815</v>
      </c>
      <c r="B547" s="464" t="s">
        <v>1333</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3">
      <c r="A548" s="78" t="s">
        <v>815</v>
      </c>
      <c r="B548" s="464" t="s">
        <v>1334</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3">
      <c r="A549" s="78" t="s">
        <v>815</v>
      </c>
      <c r="B549" s="464" t="s">
        <v>1335</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3">
      <c r="A550" s="78" t="s">
        <v>815</v>
      </c>
      <c r="B550" s="464" t="s">
        <v>1336</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3">
      <c r="A551" s="78" t="s">
        <v>815</v>
      </c>
      <c r="B551" s="464" t="s">
        <v>1337</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3">
      <c r="A552" s="78" t="s">
        <v>815</v>
      </c>
      <c r="B552" s="464" t="s">
        <v>1338</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3">
      <c r="A553" s="78" t="s">
        <v>815</v>
      </c>
      <c r="B553" s="464" t="s">
        <v>1339</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3">
      <c r="A554" s="78" t="s">
        <v>815</v>
      </c>
      <c r="B554" s="464" t="s">
        <v>1340</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3">
      <c r="A555" s="78" t="s">
        <v>815</v>
      </c>
      <c r="B555" s="464" t="s">
        <v>1341</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3">
      <c r="A556" s="78" t="s">
        <v>815</v>
      </c>
      <c r="B556" s="464" t="s">
        <v>1342</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3">
      <c r="A557" s="78" t="s">
        <v>815</v>
      </c>
      <c r="B557" s="464" t="s">
        <v>1343</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3">
      <c r="A558" s="78" t="s">
        <v>815</v>
      </c>
      <c r="B558" s="464" t="s">
        <v>1344</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3">
      <c r="A559" s="78" t="s">
        <v>815</v>
      </c>
      <c r="B559" s="464" t="s">
        <v>1345</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3">
      <c r="A560" s="78" t="s">
        <v>815</v>
      </c>
      <c r="B560" s="464" t="s">
        <v>1346</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3">
      <c r="A561" s="78" t="s">
        <v>815</v>
      </c>
      <c r="B561" s="464" t="s">
        <v>1347</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3">
      <c r="A562" s="78" t="s">
        <v>815</v>
      </c>
      <c r="B562" s="464" t="s">
        <v>1348</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3">
      <c r="A563" s="78" t="s">
        <v>815</v>
      </c>
      <c r="B563" s="464" t="s">
        <v>1349</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3">
      <c r="A564" s="78" t="s">
        <v>815</v>
      </c>
      <c r="B564" s="464" t="s">
        <v>1350</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3">
      <c r="A565" s="78" t="s">
        <v>815</v>
      </c>
      <c r="B565" s="464" t="s">
        <v>1351</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3">
      <c r="A566" s="78" t="s">
        <v>815</v>
      </c>
      <c r="B566" s="464" t="s">
        <v>1352</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3">
      <c r="A567" s="78" t="s">
        <v>815</v>
      </c>
      <c r="B567" s="464" t="s">
        <v>1353</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3">
      <c r="A568" s="78" t="s">
        <v>815</v>
      </c>
      <c r="B568" s="464" t="s">
        <v>1354</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3">
      <c r="A569" s="78" t="s">
        <v>815</v>
      </c>
      <c r="B569" s="464" t="s">
        <v>1355</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3">
      <c r="A570" s="78" t="s">
        <v>815</v>
      </c>
      <c r="B570" s="464" t="s">
        <v>1356</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3">
      <c r="A571" s="78" t="s">
        <v>815</v>
      </c>
      <c r="B571" s="464" t="s">
        <v>1357</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3">
      <c r="A572" s="78" t="s">
        <v>815</v>
      </c>
      <c r="B572" s="464" t="s">
        <v>1358</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3">
      <c r="A573" s="78" t="s">
        <v>815</v>
      </c>
      <c r="B573" s="464" t="s">
        <v>1359</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3">
      <c r="A574" s="78" t="s">
        <v>815</v>
      </c>
      <c r="B574" s="464" t="s">
        <v>1360</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3">
      <c r="A575" s="78" t="s">
        <v>815</v>
      </c>
      <c r="B575" s="464" t="s">
        <v>1361</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3">
      <c r="A576" s="78" t="s">
        <v>815</v>
      </c>
      <c r="B576" s="464" t="s">
        <v>1362</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3">
      <c r="A577" s="78" t="s">
        <v>815</v>
      </c>
      <c r="B577" s="464" t="s">
        <v>1363</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3">
      <c r="A578" s="78" t="s">
        <v>815</v>
      </c>
      <c r="B578" s="464" t="s">
        <v>1364</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3">
      <c r="A579" s="78" t="s">
        <v>815</v>
      </c>
      <c r="B579" s="464" t="s">
        <v>1365</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3">
      <c r="A580" s="78" t="s">
        <v>815</v>
      </c>
      <c r="B580" s="464" t="s">
        <v>1366</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3">
      <c r="A581" s="78" t="s">
        <v>815</v>
      </c>
      <c r="B581" s="464" t="s">
        <v>1367</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3">
      <c r="A582" s="78" t="s">
        <v>815</v>
      </c>
      <c r="B582" s="464" t="s">
        <v>1368</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3">
      <c r="A583" s="78" t="s">
        <v>815</v>
      </c>
      <c r="B583" s="464" t="s">
        <v>1369</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3">
      <c r="A584" s="78" t="s">
        <v>815</v>
      </c>
      <c r="B584" s="464" t="s">
        <v>1370</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3">
      <c r="A585" s="78" t="s">
        <v>815</v>
      </c>
      <c r="B585" s="464" t="s">
        <v>1371</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3">
      <c r="A586" s="78" t="s">
        <v>815</v>
      </c>
      <c r="B586" s="464" t="s">
        <v>1372</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3">
      <c r="A587" s="78" t="s">
        <v>815</v>
      </c>
      <c r="B587" s="464" t="s">
        <v>1373</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3">
      <c r="A588" s="78" t="s">
        <v>815</v>
      </c>
      <c r="B588" s="464" t="s">
        <v>1374</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3">
      <c r="A589" s="78" t="s">
        <v>815</v>
      </c>
      <c r="B589" s="464" t="s">
        <v>1375</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3">
      <c r="A590" s="78" t="s">
        <v>815</v>
      </c>
      <c r="B590" s="464" t="s">
        <v>1376</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3">
      <c r="A591" s="78" t="s">
        <v>815</v>
      </c>
      <c r="B591" s="464" t="s">
        <v>1377</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3">
      <c r="A592" s="78" t="s">
        <v>815</v>
      </c>
      <c r="B592" s="464" t="s">
        <v>1378</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3">
      <c r="A593" s="78" t="s">
        <v>815</v>
      </c>
      <c r="B593" s="464" t="s">
        <v>1379</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3">
      <c r="A594" s="78" t="s">
        <v>815</v>
      </c>
      <c r="B594" s="464" t="s">
        <v>1380</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3">
      <c r="A595" s="78" t="s">
        <v>815</v>
      </c>
      <c r="B595" s="464" t="s">
        <v>1381</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3">
      <c r="A596" s="78" t="s">
        <v>815</v>
      </c>
      <c r="B596" s="464" t="s">
        <v>1382</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3">
      <c r="A597" s="78" t="s">
        <v>815</v>
      </c>
      <c r="B597" s="464" t="s">
        <v>1383</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3">
      <c r="A598" s="78" t="s">
        <v>815</v>
      </c>
      <c r="B598" s="464" t="s">
        <v>1384</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3">
      <c r="A599" s="78" t="s">
        <v>815</v>
      </c>
      <c r="B599" s="464" t="s">
        <v>1385</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3">
      <c r="A600" s="78" t="s">
        <v>815</v>
      </c>
      <c r="B600" s="464" t="s">
        <v>1386</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3">
      <c r="A601" s="78" t="s">
        <v>815</v>
      </c>
      <c r="B601" s="464" t="s">
        <v>1387</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3">
      <c r="A602" s="78" t="s">
        <v>815</v>
      </c>
      <c r="B602" s="464" t="s">
        <v>1388</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3">
      <c r="A603" s="78" t="s">
        <v>815</v>
      </c>
      <c r="B603" s="464" t="s">
        <v>1389</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3">
      <c r="A604" s="78" t="s">
        <v>815</v>
      </c>
      <c r="B604" s="464" t="s">
        <v>1390</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3">
      <c r="A605" s="78" t="s">
        <v>815</v>
      </c>
      <c r="B605" s="464" t="s">
        <v>1391</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3">
      <c r="A606" s="78" t="s">
        <v>815</v>
      </c>
      <c r="B606" s="464" t="s">
        <v>1392</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3">
      <c r="A607" s="78" t="s">
        <v>815</v>
      </c>
      <c r="B607" s="464" t="s">
        <v>1393</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3">
      <c r="A608" s="78" t="s">
        <v>815</v>
      </c>
      <c r="B608" s="464" t="s">
        <v>1394</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3">
      <c r="A609" s="78" t="s">
        <v>815</v>
      </c>
      <c r="B609" s="464" t="s">
        <v>1395</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3">
      <c r="A610" s="78" t="s">
        <v>815</v>
      </c>
      <c r="B610" s="464" t="s">
        <v>1396</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3">
      <c r="A611" s="78" t="s">
        <v>815</v>
      </c>
      <c r="B611" s="464" t="s">
        <v>1397</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3">
      <c r="A612" s="78" t="s">
        <v>815</v>
      </c>
      <c r="B612" s="464" t="s">
        <v>1398</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3">
      <c r="A613" s="78" t="s">
        <v>815</v>
      </c>
      <c r="B613" s="464" t="s">
        <v>1399</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3">
      <c r="A614" s="78" t="s">
        <v>815</v>
      </c>
      <c r="B614" s="464" t="s">
        <v>1400</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3">
      <c r="A615" s="78" t="s">
        <v>815</v>
      </c>
      <c r="B615" s="464" t="s">
        <v>1401</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3">
      <c r="A616" s="78" t="s">
        <v>815</v>
      </c>
      <c r="B616" s="464" t="s">
        <v>1402</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3">
      <c r="A617" s="78" t="s">
        <v>815</v>
      </c>
      <c r="B617" s="464" t="s">
        <v>1403</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3">
      <c r="A618" s="78" t="s">
        <v>815</v>
      </c>
      <c r="B618" s="464" t="s">
        <v>1404</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3">
      <c r="A619" s="78" t="s">
        <v>815</v>
      </c>
      <c r="B619" s="464" t="s">
        <v>1405</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3">
      <c r="A620" s="78" t="s">
        <v>815</v>
      </c>
      <c r="B620" s="464" t="s">
        <v>1406</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3">
      <c r="A621" s="78" t="s">
        <v>815</v>
      </c>
      <c r="B621" s="464" t="s">
        <v>1407</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3">
      <c r="A622" s="78" t="s">
        <v>815</v>
      </c>
      <c r="B622" s="464" t="s">
        <v>1408</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3">
      <c r="A623" s="78" t="s">
        <v>815</v>
      </c>
      <c r="B623" s="464" t="s">
        <v>1409</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3">
      <c r="A624" s="78" t="s">
        <v>815</v>
      </c>
      <c r="B624" s="464" t="s">
        <v>1410</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3">
      <c r="A625" s="78" t="s">
        <v>815</v>
      </c>
      <c r="B625" s="464" t="s">
        <v>1411</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3">
      <c r="A626" s="78" t="s">
        <v>815</v>
      </c>
      <c r="B626" s="464" t="s">
        <v>1412</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3">
      <c r="A627" s="78" t="s">
        <v>815</v>
      </c>
      <c r="B627" s="464" t="s">
        <v>1413</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3">
      <c r="A628" s="78" t="s">
        <v>815</v>
      </c>
      <c r="B628" s="464" t="s">
        <v>1414</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3">
      <c r="A629" s="78" t="s">
        <v>815</v>
      </c>
      <c r="B629" s="464" t="s">
        <v>1415</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3">
      <c r="A630" s="78" t="s">
        <v>815</v>
      </c>
      <c r="B630" s="464" t="s">
        <v>1416</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3">
      <c r="A631" s="78" t="s">
        <v>815</v>
      </c>
      <c r="B631" s="464" t="s">
        <v>1417</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3">
      <c r="A632" s="78" t="s">
        <v>815</v>
      </c>
      <c r="B632" s="464" t="s">
        <v>1418</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3">
      <c r="A633" s="78" t="s">
        <v>815</v>
      </c>
      <c r="B633" s="464" t="s">
        <v>1419</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3">
      <c r="A634" s="78" t="s">
        <v>815</v>
      </c>
      <c r="B634" s="464" t="s">
        <v>1420</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3">
      <c r="A635" s="78" t="s">
        <v>815</v>
      </c>
      <c r="B635" s="464" t="s">
        <v>1421</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3">
      <c r="A636" s="78" t="s">
        <v>815</v>
      </c>
      <c r="B636" s="464" t="s">
        <v>1422</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3">
      <c r="A637" s="78" t="s">
        <v>815</v>
      </c>
      <c r="B637" s="464" t="s">
        <v>1423</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3">
      <c r="A638" s="78" t="s">
        <v>815</v>
      </c>
      <c r="B638" s="464" t="s">
        <v>1424</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3">
      <c r="A639" s="78" t="s">
        <v>815</v>
      </c>
      <c r="B639" s="464" t="s">
        <v>1425</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3">
      <c r="A640" s="78" t="s">
        <v>815</v>
      </c>
      <c r="B640" s="464" t="s">
        <v>1426</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3">
      <c r="A641" s="78" t="s">
        <v>815</v>
      </c>
      <c r="B641" s="464" t="s">
        <v>1427</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3">
      <c r="A642" s="78" t="s">
        <v>815</v>
      </c>
      <c r="B642" s="464" t="s">
        <v>1428</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3">
      <c r="A643" s="78" t="s">
        <v>815</v>
      </c>
      <c r="B643" s="464" t="s">
        <v>1429</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3">
      <c r="A644" s="78" t="s">
        <v>815</v>
      </c>
      <c r="B644" s="464" t="s">
        <v>1430</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3">
      <c r="A645" s="78" t="s">
        <v>815</v>
      </c>
      <c r="B645" s="464" t="s">
        <v>1431</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3">
      <c r="A646" s="78" t="s">
        <v>815</v>
      </c>
      <c r="B646" s="464" t="s">
        <v>1432</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3">
      <c r="A647" s="78" t="s">
        <v>815</v>
      </c>
      <c r="B647" s="464" t="s">
        <v>1433</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3">
      <c r="A648" s="78" t="s">
        <v>815</v>
      </c>
      <c r="B648" s="464" t="s">
        <v>1434</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3">
      <c r="A649" s="78" t="s">
        <v>815</v>
      </c>
      <c r="B649" s="464" t="s">
        <v>1435</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3">
      <c r="A650" s="78" t="s">
        <v>815</v>
      </c>
      <c r="B650" s="464" t="s">
        <v>1436</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3">
      <c r="A651" s="78" t="s">
        <v>815</v>
      </c>
      <c r="B651" s="464" t="s">
        <v>1437</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3">
      <c r="A652" s="78" t="s">
        <v>815</v>
      </c>
      <c r="B652" s="464" t="s">
        <v>1438</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3">
      <c r="A653" s="78" t="s">
        <v>815</v>
      </c>
      <c r="B653" s="464" t="s">
        <v>1439</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3">
      <c r="A654" s="78" t="s">
        <v>815</v>
      </c>
      <c r="B654" s="464" t="s">
        <v>1440</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3">
      <c r="A655" s="78" t="s">
        <v>815</v>
      </c>
      <c r="B655" s="464" t="s">
        <v>1441</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3">
      <c r="A656" s="78" t="s">
        <v>815</v>
      </c>
      <c r="B656" s="464" t="s">
        <v>1442</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3">
      <c r="A657" s="78" t="s">
        <v>815</v>
      </c>
      <c r="B657" s="464" t="s">
        <v>1443</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3">
      <c r="A658" s="78" t="s">
        <v>815</v>
      </c>
      <c r="B658" s="464" t="s">
        <v>1444</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3">
      <c r="A659" s="78" t="s">
        <v>815</v>
      </c>
      <c r="B659" s="464" t="s">
        <v>1445</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3">
      <c r="A660" s="78" t="s">
        <v>815</v>
      </c>
      <c r="B660" s="464" t="s">
        <v>1446</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3">
      <c r="A661" s="78" t="s">
        <v>815</v>
      </c>
      <c r="B661" s="464" t="s">
        <v>1447</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3">
      <c r="A662" s="78" t="s">
        <v>815</v>
      </c>
      <c r="B662" s="464" t="s">
        <v>1448</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3">
      <c r="A663" s="78" t="s">
        <v>815</v>
      </c>
      <c r="B663" s="464" t="s">
        <v>1449</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3">
      <c r="A664" s="78" t="s">
        <v>815</v>
      </c>
      <c r="B664" s="464" t="s">
        <v>1450</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3">
      <c r="A665" s="78" t="s">
        <v>815</v>
      </c>
      <c r="B665" s="464" t="s">
        <v>1451</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3">
      <c r="A666" s="78" t="s">
        <v>815</v>
      </c>
      <c r="B666" s="464" t="s">
        <v>1452</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3">
      <c r="A667" s="78" t="s">
        <v>815</v>
      </c>
      <c r="B667" s="464" t="s">
        <v>1453</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3">
      <c r="A668" s="78" t="s">
        <v>815</v>
      </c>
      <c r="B668" s="464" t="s">
        <v>1454</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3">
      <c r="A669" s="78" t="s">
        <v>815</v>
      </c>
      <c r="B669" s="464" t="s">
        <v>1455</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3">
      <c r="A670" s="78" t="s">
        <v>815</v>
      </c>
      <c r="B670" s="464" t="s">
        <v>1456</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3">
      <c r="A671" s="78" t="s">
        <v>815</v>
      </c>
      <c r="B671" s="464" t="s">
        <v>1457</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3">
      <c r="A672" s="78" t="s">
        <v>815</v>
      </c>
      <c r="B672" s="464" t="s">
        <v>1458</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3">
      <c r="A673" s="78" t="s">
        <v>815</v>
      </c>
      <c r="B673" s="464" t="s">
        <v>1459</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3">
      <c r="A674" s="78" t="s">
        <v>815</v>
      </c>
      <c r="B674" s="464" t="s">
        <v>1460</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3">
      <c r="A675" s="78" t="s">
        <v>815</v>
      </c>
      <c r="B675" s="464" t="s">
        <v>1461</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3">
      <c r="A676" s="78" t="s">
        <v>815</v>
      </c>
      <c r="B676" s="464" t="s">
        <v>1462</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3">
      <c r="A677" s="78" t="s">
        <v>815</v>
      </c>
      <c r="B677" s="464" t="s">
        <v>1463</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3">
      <c r="A678" s="78" t="s">
        <v>815</v>
      </c>
      <c r="B678" s="464" t="s">
        <v>1464</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3">
      <c r="A679" s="78" t="s">
        <v>815</v>
      </c>
      <c r="B679" s="464" t="s">
        <v>1465</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3">
      <c r="A680" s="78" t="s">
        <v>815</v>
      </c>
      <c r="B680" s="464" t="s">
        <v>1466</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3">
      <c r="A681" s="78" t="s">
        <v>815</v>
      </c>
      <c r="B681" s="464" t="s">
        <v>1467</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3">
      <c r="A682" s="78" t="s">
        <v>815</v>
      </c>
      <c r="B682" s="464" t="s">
        <v>1468</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3">
      <c r="A683" s="78" t="s">
        <v>815</v>
      </c>
      <c r="B683" s="464" t="s">
        <v>1469</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3">
      <c r="A684" s="78" t="s">
        <v>815</v>
      </c>
      <c r="B684" s="464" t="s">
        <v>1470</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3">
      <c r="A685" s="78" t="s">
        <v>815</v>
      </c>
      <c r="B685" s="464" t="s">
        <v>1471</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3">
      <c r="A686" s="78" t="s">
        <v>815</v>
      </c>
      <c r="B686" s="464" t="s">
        <v>1472</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3">
      <c r="A687" s="78" t="s">
        <v>815</v>
      </c>
      <c r="B687" s="464" t="s">
        <v>1473</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3">
      <c r="A688" s="78" t="s">
        <v>815</v>
      </c>
      <c r="B688" s="464" t="s">
        <v>1474</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3">
      <c r="A689" s="78" t="s">
        <v>815</v>
      </c>
      <c r="B689" s="464" t="s">
        <v>1475</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3">
      <c r="A690" s="78" t="s">
        <v>815</v>
      </c>
      <c r="B690" s="464" t="s">
        <v>1476</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3">
      <c r="A691" s="78" t="s">
        <v>815</v>
      </c>
      <c r="B691" s="464" t="s">
        <v>1477</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3">
      <c r="A692" s="78" t="s">
        <v>815</v>
      </c>
      <c r="B692" s="464" t="s">
        <v>1478</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3">
      <c r="A693" s="78" t="s">
        <v>815</v>
      </c>
      <c r="B693" s="464" t="s">
        <v>1479</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3">
      <c r="A694" s="78" t="s">
        <v>815</v>
      </c>
      <c r="B694" s="464" t="s">
        <v>1480</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3">
      <c r="A695" s="78" t="s">
        <v>815</v>
      </c>
      <c r="B695" s="464" t="s">
        <v>1481</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3">
      <c r="A696" s="78" t="s">
        <v>815</v>
      </c>
      <c r="B696" s="464" t="s">
        <v>1482</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3">
      <c r="A697" s="78" t="s">
        <v>815</v>
      </c>
      <c r="B697" s="464" t="s">
        <v>1483</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3">
      <c r="A698" s="78" t="s">
        <v>815</v>
      </c>
      <c r="B698" s="464" t="s">
        <v>1484</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3">
      <c r="A699" s="78" t="s">
        <v>815</v>
      </c>
      <c r="B699" s="464" t="s">
        <v>1485</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3">
      <c r="A700" s="78" t="s">
        <v>815</v>
      </c>
      <c r="B700" s="464" t="s">
        <v>1486</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3">
      <c r="A701" s="78" t="s">
        <v>815</v>
      </c>
      <c r="B701" s="464" t="s">
        <v>1487</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3">
      <c r="A702" s="78" t="s">
        <v>815</v>
      </c>
      <c r="B702" s="464" t="s">
        <v>1488</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3">
      <c r="A703" s="78" t="s">
        <v>815</v>
      </c>
      <c r="B703" s="464" t="s">
        <v>1489</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3">
      <c r="A704" s="78" t="s">
        <v>815</v>
      </c>
      <c r="B704" s="464" t="s">
        <v>1490</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3">
      <c r="A705" s="78" t="s">
        <v>815</v>
      </c>
      <c r="B705" s="464" t="s">
        <v>1491</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3">
      <c r="A706" s="78" t="s">
        <v>815</v>
      </c>
      <c r="B706" s="464" t="s">
        <v>1492</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3">
      <c r="A707" s="78" t="s">
        <v>815</v>
      </c>
      <c r="B707" s="464" t="s">
        <v>1493</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3">
      <c r="A708" s="78" t="s">
        <v>815</v>
      </c>
      <c r="B708" s="464" t="s">
        <v>1494</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3">
      <c r="A709" s="78" t="s">
        <v>815</v>
      </c>
      <c r="B709" s="464" t="s">
        <v>1495</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3">
      <c r="A710" s="78" t="s">
        <v>815</v>
      </c>
      <c r="B710" s="464" t="s">
        <v>1496</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3">
      <c r="A711" s="78" t="s">
        <v>815</v>
      </c>
      <c r="B711" s="464" t="s">
        <v>1497</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3">
      <c r="A712" s="78" t="s">
        <v>815</v>
      </c>
      <c r="B712" s="464" t="s">
        <v>1498</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3">
      <c r="A713" s="78" t="s">
        <v>815</v>
      </c>
      <c r="B713" s="464" t="s">
        <v>1499</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3">
      <c r="A714" s="78" t="s">
        <v>815</v>
      </c>
      <c r="B714" s="464" t="s">
        <v>1500</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3">
      <c r="A715" s="78" t="s">
        <v>815</v>
      </c>
      <c r="B715" s="464" t="s">
        <v>1501</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3">
      <c r="A716" s="78" t="s">
        <v>815</v>
      </c>
      <c r="B716" s="464" t="s">
        <v>1502</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3">
      <c r="A717" s="78" t="s">
        <v>815</v>
      </c>
      <c r="B717" s="464" t="s">
        <v>1503</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3">
      <c r="A718" s="78" t="s">
        <v>815</v>
      </c>
      <c r="B718" s="464" t="s">
        <v>1504</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3">
      <c r="A719" s="78" t="s">
        <v>815</v>
      </c>
      <c r="B719" s="464" t="s">
        <v>1505</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3">
      <c r="A720" s="78" t="s">
        <v>815</v>
      </c>
      <c r="B720" s="464" t="s">
        <v>1506</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3">
      <c r="A721" s="78" t="s">
        <v>815</v>
      </c>
      <c r="B721" s="464" t="s">
        <v>1507</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3">
      <c r="A722" s="78" t="s">
        <v>815</v>
      </c>
      <c r="B722" s="464" t="s">
        <v>1508</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3">
      <c r="A723" s="78" t="s">
        <v>815</v>
      </c>
      <c r="B723" s="464" t="s">
        <v>1509</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3">
      <c r="A724" s="78" t="s">
        <v>815</v>
      </c>
      <c r="B724" s="464" t="s">
        <v>1510</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3">
      <c r="A725" s="78" t="s">
        <v>815</v>
      </c>
      <c r="B725" s="464" t="s">
        <v>1511</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3">
      <c r="A726" s="78" t="s">
        <v>815</v>
      </c>
      <c r="B726" s="464" t="s">
        <v>1512</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3">
      <c r="A727" s="78" t="s">
        <v>815</v>
      </c>
      <c r="B727" s="464" t="s">
        <v>1513</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3">
      <c r="A728" s="78" t="s">
        <v>815</v>
      </c>
      <c r="B728" s="464" t="s">
        <v>1514</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3">
      <c r="A729" s="78" t="s">
        <v>815</v>
      </c>
      <c r="B729" s="464" t="s">
        <v>1515</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3">
      <c r="A730" s="78" t="s">
        <v>815</v>
      </c>
      <c r="B730" s="464" t="s">
        <v>1516</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3">
      <c r="A731" s="78" t="s">
        <v>815</v>
      </c>
      <c r="B731" s="464" t="s">
        <v>1517</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3">
      <c r="A732" s="78" t="s">
        <v>815</v>
      </c>
      <c r="B732" s="464" t="s">
        <v>1518</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3">
      <c r="A733" s="78" t="s">
        <v>815</v>
      </c>
      <c r="B733" s="464" t="s">
        <v>1519</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3">
      <c r="A734" s="78" t="s">
        <v>815</v>
      </c>
      <c r="B734" s="464" t="s">
        <v>1520</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3">
      <c r="A735" s="78" t="s">
        <v>815</v>
      </c>
      <c r="B735" s="464" t="s">
        <v>1521</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3">
      <c r="A736" s="78" t="s">
        <v>815</v>
      </c>
      <c r="B736" s="464" t="s">
        <v>1522</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3">
      <c r="A737" s="78" t="s">
        <v>815</v>
      </c>
      <c r="B737" s="464" t="s">
        <v>1523</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3">
      <c r="A738" s="78" t="s">
        <v>815</v>
      </c>
      <c r="B738" s="464" t="s">
        <v>1524</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3">
      <c r="A739" s="78" t="s">
        <v>815</v>
      </c>
      <c r="B739" s="464" t="s">
        <v>1525</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3">
      <c r="A740" s="78" t="s">
        <v>815</v>
      </c>
      <c r="B740" s="464" t="s">
        <v>1526</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3">
      <c r="A741" s="78" t="s">
        <v>815</v>
      </c>
      <c r="B741" s="464" t="s">
        <v>1527</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3">
      <c r="A742" s="78" t="s">
        <v>815</v>
      </c>
      <c r="B742" s="464" t="s">
        <v>1528</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3">
      <c r="A743" s="78" t="s">
        <v>815</v>
      </c>
      <c r="B743" s="464" t="s">
        <v>1529</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3">
      <c r="A744" s="78" t="s">
        <v>815</v>
      </c>
      <c r="B744" s="464" t="s">
        <v>1530</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3">
      <c r="A745" s="78" t="s">
        <v>815</v>
      </c>
      <c r="B745" s="464" t="s">
        <v>1531</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3">
      <c r="A746" s="78" t="s">
        <v>815</v>
      </c>
      <c r="B746" s="464" t="s">
        <v>1532</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3">
      <c r="A747" s="78" t="s">
        <v>815</v>
      </c>
      <c r="B747" s="464" t="s">
        <v>1533</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3">
      <c r="A748" s="78" t="s">
        <v>815</v>
      </c>
      <c r="B748" s="464" t="s">
        <v>1534</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3">
      <c r="A749" s="78" t="s">
        <v>815</v>
      </c>
      <c r="B749" s="464" t="s">
        <v>1535</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3">
      <c r="A750" s="78" t="s">
        <v>815</v>
      </c>
      <c r="B750" s="464" t="s">
        <v>1536</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3">
      <c r="A751" s="78" t="s">
        <v>815</v>
      </c>
      <c r="B751" s="464" t="s">
        <v>1537</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3">
      <c r="A752" s="78" t="s">
        <v>815</v>
      </c>
      <c r="B752" s="464" t="s">
        <v>1538</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3">
      <c r="A753" s="78" t="s">
        <v>815</v>
      </c>
      <c r="B753" s="464" t="s">
        <v>1539</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3">
      <c r="A754" s="78" t="s">
        <v>815</v>
      </c>
      <c r="B754" s="464" t="s">
        <v>1540</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3">
      <c r="A755" s="78" t="s">
        <v>815</v>
      </c>
      <c r="B755" s="464" t="s">
        <v>1541</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3">
      <c r="A756" s="78" t="s">
        <v>815</v>
      </c>
      <c r="B756" s="464" t="s">
        <v>1542</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3">
      <c r="A757" s="78" t="s">
        <v>815</v>
      </c>
      <c r="B757" s="464" t="s">
        <v>1543</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3">
      <c r="A758" s="78" t="s">
        <v>815</v>
      </c>
      <c r="B758" s="464" t="s">
        <v>1544</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3">
      <c r="A759" s="78" t="s">
        <v>815</v>
      </c>
      <c r="B759" s="464" t="s">
        <v>1545</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3">
      <c r="A760" s="78" t="s">
        <v>815</v>
      </c>
      <c r="B760" s="464" t="s">
        <v>1546</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3">
      <c r="A761" s="78" t="s">
        <v>815</v>
      </c>
      <c r="B761" s="464" t="s">
        <v>1547</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3">
      <c r="A762" s="78" t="s">
        <v>815</v>
      </c>
      <c r="B762" s="464" t="s">
        <v>1548</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3">
      <c r="A763" s="78" t="s">
        <v>815</v>
      </c>
      <c r="B763" s="464" t="s">
        <v>1549</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3">
      <c r="A764" s="78" t="s">
        <v>815</v>
      </c>
      <c r="B764" s="464" t="s">
        <v>1550</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3">
      <c r="A765" s="78" t="s">
        <v>815</v>
      </c>
      <c r="B765" s="464" t="s">
        <v>1551</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3">
      <c r="A766" s="78" t="s">
        <v>815</v>
      </c>
      <c r="B766" s="464" t="s">
        <v>1552</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3">
      <c r="A767" s="78" t="s">
        <v>815</v>
      </c>
      <c r="B767" s="464" t="s">
        <v>1553</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3">
      <c r="A768" s="78" t="s">
        <v>815</v>
      </c>
      <c r="B768" s="464" t="s">
        <v>1554</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3">
      <c r="A769" s="78" t="s">
        <v>815</v>
      </c>
      <c r="B769" s="464" t="s">
        <v>1555</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3">
      <c r="A770" s="78" t="s">
        <v>815</v>
      </c>
      <c r="B770" s="464" t="s">
        <v>1556</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3">
      <c r="A771" s="78" t="s">
        <v>815</v>
      </c>
      <c r="B771" s="464" t="s">
        <v>1557</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3">
      <c r="A772" s="78" t="s">
        <v>815</v>
      </c>
      <c r="B772" s="464" t="s">
        <v>1558</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3">
      <c r="A773" s="78" t="s">
        <v>815</v>
      </c>
      <c r="B773" s="464" t="s">
        <v>1559</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3">
      <c r="A774" s="78" t="s">
        <v>815</v>
      </c>
      <c r="B774" s="464" t="s">
        <v>1560</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3">
      <c r="A775" s="78" t="s">
        <v>815</v>
      </c>
      <c r="B775" s="464" t="s">
        <v>1561</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3">
      <c r="A776" s="78" t="s">
        <v>815</v>
      </c>
      <c r="B776" s="464" t="s">
        <v>1562</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3">
      <c r="A777" s="78" t="s">
        <v>815</v>
      </c>
      <c r="B777" s="464" t="s">
        <v>1563</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3">
      <c r="A778" s="78" t="s">
        <v>815</v>
      </c>
      <c r="B778" s="464" t="s">
        <v>1564</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3">
      <c r="A779" s="78" t="s">
        <v>815</v>
      </c>
      <c r="B779" s="464" t="s">
        <v>1565</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3">
      <c r="A780" s="78" t="s">
        <v>815</v>
      </c>
      <c r="B780" s="464" t="s">
        <v>1566</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3">
      <c r="A781" s="78" t="s">
        <v>815</v>
      </c>
      <c r="B781" s="464" t="s">
        <v>1567</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3">
      <c r="A782" s="78" t="s">
        <v>815</v>
      </c>
      <c r="B782" s="464" t="s">
        <v>1568</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3">
      <c r="A783" s="78" t="s">
        <v>815</v>
      </c>
      <c r="B783" s="464" t="s">
        <v>1569</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3">
      <c r="A784" s="78" t="s">
        <v>815</v>
      </c>
      <c r="B784" s="464" t="s">
        <v>1570</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3">
      <c r="A785" s="78" t="s">
        <v>815</v>
      </c>
      <c r="B785" s="464" t="s">
        <v>1571</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3">
      <c r="A786" s="78" t="s">
        <v>815</v>
      </c>
      <c r="B786" s="464" t="s">
        <v>1572</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3">
      <c r="A787" s="78" t="s">
        <v>815</v>
      </c>
      <c r="B787" s="464" t="s">
        <v>1573</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3">
      <c r="A788" s="78" t="s">
        <v>815</v>
      </c>
      <c r="B788" s="464" t="s">
        <v>1574</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3">
      <c r="A789" s="78" t="s">
        <v>815</v>
      </c>
      <c r="B789" s="464" t="s">
        <v>1575</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3">
      <c r="A790" s="78" t="s">
        <v>815</v>
      </c>
      <c r="B790" s="464" t="s">
        <v>1576</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3">
      <c r="A791" s="78" t="s">
        <v>815</v>
      </c>
      <c r="B791" s="464" t="s">
        <v>1577</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3">
      <c r="A792" s="78" t="s">
        <v>815</v>
      </c>
      <c r="B792" s="464" t="s">
        <v>1578</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3">
      <c r="A793" s="78" t="s">
        <v>815</v>
      </c>
      <c r="B793" s="464" t="s">
        <v>1579</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3">
      <c r="A794" s="78" t="s">
        <v>815</v>
      </c>
      <c r="B794" s="464" t="s">
        <v>1580</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3">
      <c r="A795" s="78" t="s">
        <v>815</v>
      </c>
      <c r="B795" s="464" t="s">
        <v>1581</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3">
      <c r="A796" s="78" t="s">
        <v>815</v>
      </c>
      <c r="B796" s="464" t="s">
        <v>1582</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3">
      <c r="A797" s="78" t="s">
        <v>815</v>
      </c>
      <c r="B797" s="464" t="s">
        <v>1583</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3">
      <c r="A798" s="78" t="s">
        <v>815</v>
      </c>
      <c r="B798" s="464" t="s">
        <v>1584</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3">
      <c r="A799" s="78" t="s">
        <v>815</v>
      </c>
      <c r="B799" s="464" t="s">
        <v>1585</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3">
      <c r="A800" s="78" t="s">
        <v>815</v>
      </c>
      <c r="B800" s="464" t="s">
        <v>1586</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3">
      <c r="A801" s="78" t="s">
        <v>815</v>
      </c>
      <c r="B801" s="464" t="s">
        <v>1587</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3">
      <c r="A802" s="78" t="s">
        <v>815</v>
      </c>
      <c r="B802" s="464" t="s">
        <v>1588</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3">
      <c r="A803" s="78" t="s">
        <v>815</v>
      </c>
      <c r="B803" s="464" t="s">
        <v>1589</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3">
      <c r="A804" s="78" t="s">
        <v>815</v>
      </c>
      <c r="B804" s="464" t="s">
        <v>1590</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3">
      <c r="A805" s="78" t="s">
        <v>815</v>
      </c>
      <c r="B805" s="464" t="s">
        <v>1591</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3">
      <c r="A806" s="78" t="s">
        <v>815</v>
      </c>
      <c r="B806" s="464" t="s">
        <v>1592</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3">
      <c r="A807" s="78" t="s">
        <v>815</v>
      </c>
      <c r="B807" s="464" t="s">
        <v>1593</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3">
      <c r="A808" s="78" t="s">
        <v>815</v>
      </c>
      <c r="B808" s="464" t="s">
        <v>1594</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3">
      <c r="A809" s="78" t="s">
        <v>815</v>
      </c>
      <c r="B809" s="464" t="s">
        <v>1595</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3">
      <c r="A810" s="78" t="s">
        <v>815</v>
      </c>
      <c r="B810" s="464" t="s">
        <v>1596</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3">
      <c r="A811" s="78" t="s">
        <v>815</v>
      </c>
      <c r="B811" s="464" t="s">
        <v>1597</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3">
      <c r="A812" s="78" t="s">
        <v>815</v>
      </c>
      <c r="B812" s="464" t="s">
        <v>1598</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3">
      <c r="A813" s="78" t="s">
        <v>815</v>
      </c>
      <c r="B813" s="464" t="s">
        <v>1599</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3">
      <c r="A814" s="78" t="s">
        <v>815</v>
      </c>
      <c r="B814" s="464" t="s">
        <v>1600</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3">
      <c r="A815" s="78" t="s">
        <v>815</v>
      </c>
      <c r="B815" s="464" t="s">
        <v>1601</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3">
      <c r="A816" s="78" t="s">
        <v>815</v>
      </c>
      <c r="B816" s="464" t="s">
        <v>1602</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3">
      <c r="A817" s="78" t="s">
        <v>815</v>
      </c>
      <c r="B817" s="464" t="s">
        <v>1603</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3">
      <c r="A818" s="78" t="s">
        <v>815</v>
      </c>
      <c r="B818" s="464" t="s">
        <v>1604</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3">
      <c r="A819" s="78" t="s">
        <v>815</v>
      </c>
      <c r="B819" s="464" t="s">
        <v>1605</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3">
      <c r="A820" s="78" t="s">
        <v>815</v>
      </c>
      <c r="B820" s="464" t="s">
        <v>1606</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3">
      <c r="A821" s="78" t="s">
        <v>815</v>
      </c>
      <c r="B821" s="464" t="s">
        <v>1607</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3">
      <c r="A822" s="78" t="s">
        <v>815</v>
      </c>
      <c r="B822" s="464" t="s">
        <v>1608</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3">
      <c r="A823" s="78" t="s">
        <v>815</v>
      </c>
      <c r="B823" s="464" t="s">
        <v>1609</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3">
      <c r="A824" s="78" t="s">
        <v>815</v>
      </c>
      <c r="B824" s="464" t="s">
        <v>1610</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3">
      <c r="A825" s="78" t="s">
        <v>815</v>
      </c>
      <c r="B825" s="464" t="s">
        <v>1611</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3">
      <c r="A826" s="78" t="s">
        <v>815</v>
      </c>
      <c r="B826" s="464" t="s">
        <v>1612</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3">
      <c r="A827" s="78" t="s">
        <v>815</v>
      </c>
      <c r="B827" s="464" t="s">
        <v>1613</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3">
      <c r="A828" s="78" t="s">
        <v>815</v>
      </c>
      <c r="B828" s="464" t="s">
        <v>1614</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3">
      <c r="A829" s="78" t="s">
        <v>815</v>
      </c>
      <c r="B829" s="464" t="s">
        <v>1615</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3">
      <c r="A830" s="78" t="s">
        <v>815</v>
      </c>
      <c r="B830" s="464" t="s">
        <v>1616</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3">
      <c r="A831" s="78" t="s">
        <v>815</v>
      </c>
      <c r="B831" s="464" t="s">
        <v>1617</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3">
      <c r="A832" s="78" t="s">
        <v>815</v>
      </c>
      <c r="B832" s="464" t="s">
        <v>1618</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3">
      <c r="A833" s="78" t="s">
        <v>815</v>
      </c>
      <c r="B833" s="464" t="s">
        <v>1619</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3">
      <c r="A834" s="78" t="s">
        <v>815</v>
      </c>
      <c r="B834" s="464" t="s">
        <v>1620</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3">
      <c r="A835" s="78" t="s">
        <v>815</v>
      </c>
      <c r="B835" s="464" t="s">
        <v>1621</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3">
      <c r="A836" s="78" t="s">
        <v>815</v>
      </c>
      <c r="B836" s="464" t="s">
        <v>1622</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3">
      <c r="A837" s="78" t="s">
        <v>815</v>
      </c>
      <c r="B837" s="464" t="s">
        <v>1623</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3">
      <c r="A838" s="78" t="s">
        <v>815</v>
      </c>
      <c r="B838" s="464" t="s">
        <v>1624</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3">
      <c r="A839" s="78" t="s">
        <v>815</v>
      </c>
      <c r="B839" s="464" t="s">
        <v>1625</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3">
      <c r="A840" s="78" t="s">
        <v>815</v>
      </c>
      <c r="B840" s="464" t="s">
        <v>1626</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3">
      <c r="A841" s="78" t="s">
        <v>815</v>
      </c>
      <c r="B841" s="464" t="s">
        <v>1627</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3">
      <c r="A842" s="78" t="s">
        <v>815</v>
      </c>
      <c r="B842" s="464" t="s">
        <v>1628</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3">
      <c r="A843" s="78" t="s">
        <v>815</v>
      </c>
      <c r="B843" s="464" t="s">
        <v>1629</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3">
      <c r="A844" s="78" t="s">
        <v>815</v>
      </c>
      <c r="B844" s="464" t="s">
        <v>1630</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3">
      <c r="A845" s="78" t="s">
        <v>815</v>
      </c>
      <c r="B845" s="464" t="s">
        <v>1631</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3">
      <c r="A846" s="78" t="s">
        <v>815</v>
      </c>
      <c r="B846" s="464" t="s">
        <v>1632</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3">
      <c r="A847" s="78" t="s">
        <v>815</v>
      </c>
      <c r="B847" s="464" t="s">
        <v>1633</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3">
      <c r="A848" s="78" t="s">
        <v>815</v>
      </c>
      <c r="B848" s="464" t="s">
        <v>1634</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3">
      <c r="A849" s="78" t="s">
        <v>815</v>
      </c>
      <c r="B849" s="464" t="s">
        <v>1635</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3">
      <c r="A850" s="78" t="s">
        <v>815</v>
      </c>
      <c r="B850" s="464" t="s">
        <v>1636</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3">
      <c r="A851" s="78" t="s">
        <v>815</v>
      </c>
      <c r="B851" s="464" t="s">
        <v>1637</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3">
      <c r="A852" s="78" t="s">
        <v>815</v>
      </c>
      <c r="B852" s="464" t="s">
        <v>1638</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3">
      <c r="A853" s="78" t="s">
        <v>815</v>
      </c>
      <c r="B853" s="464" t="s">
        <v>1639</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3">
      <c r="A854" s="78" t="s">
        <v>815</v>
      </c>
      <c r="B854" s="464" t="s">
        <v>1640</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3">
      <c r="A855" s="78" t="s">
        <v>815</v>
      </c>
      <c r="B855" s="464" t="s">
        <v>1641</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3">
      <c r="A856" s="78" t="s">
        <v>815</v>
      </c>
      <c r="B856" s="464" t="s">
        <v>1642</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3">
      <c r="A857" s="78" t="s">
        <v>815</v>
      </c>
      <c r="B857" s="464" t="s">
        <v>1643</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3">
      <c r="A858" s="78" t="s">
        <v>815</v>
      </c>
      <c r="B858" s="464" t="s">
        <v>1644</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3">
      <c r="A859" s="78" t="s">
        <v>815</v>
      </c>
      <c r="B859" s="464" t="s">
        <v>1645</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3">
      <c r="A860" s="78" t="s">
        <v>815</v>
      </c>
      <c r="B860" s="464" t="s">
        <v>1646</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3">
      <c r="A861" s="78" t="s">
        <v>815</v>
      </c>
      <c r="B861" s="464" t="s">
        <v>1647</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3">
      <c r="A862" s="78" t="s">
        <v>815</v>
      </c>
      <c r="B862" s="464" t="s">
        <v>1648</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3">
      <c r="A863" s="78" t="s">
        <v>815</v>
      </c>
      <c r="B863" s="464" t="s">
        <v>1649</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3">
      <c r="A864" s="78" t="s">
        <v>815</v>
      </c>
      <c r="B864" s="464" t="s">
        <v>1650</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3">
      <c r="A865" s="78" t="s">
        <v>815</v>
      </c>
      <c r="B865" s="464" t="s">
        <v>1651</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3">
      <c r="A866" s="78" t="s">
        <v>815</v>
      </c>
      <c r="B866" s="464" t="s">
        <v>1652</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3">
      <c r="A867" s="78" t="s">
        <v>815</v>
      </c>
      <c r="B867" s="464" t="s">
        <v>1653</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3">
      <c r="A868" s="78" t="s">
        <v>815</v>
      </c>
      <c r="B868" s="464" t="s">
        <v>1654</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3">
      <c r="A869" s="78" t="s">
        <v>815</v>
      </c>
      <c r="B869" s="464" t="s">
        <v>1655</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3">
      <c r="A870" s="78" t="s">
        <v>815</v>
      </c>
      <c r="B870" s="464" t="s">
        <v>1656</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3">
      <c r="A871" s="78" t="s">
        <v>815</v>
      </c>
      <c r="B871" s="464" t="s">
        <v>1657</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3">
      <c r="A872" s="78" t="s">
        <v>815</v>
      </c>
      <c r="B872" s="464" t="s">
        <v>1658</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3">
      <c r="A873" s="78" t="s">
        <v>815</v>
      </c>
      <c r="B873" s="464" t="s">
        <v>1659</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3">
      <c r="A874" s="78" t="s">
        <v>815</v>
      </c>
      <c r="B874" s="464" t="s">
        <v>1660</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3">
      <c r="A875" s="78" t="s">
        <v>815</v>
      </c>
      <c r="B875" s="464" t="s">
        <v>1661</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3">
      <c r="A876" s="78" t="s">
        <v>815</v>
      </c>
      <c r="B876" s="464" t="s">
        <v>1662</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3">
      <c r="A877" s="78" t="s">
        <v>815</v>
      </c>
      <c r="B877" s="464" t="s">
        <v>1663</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3">
      <c r="A878" s="78" t="s">
        <v>815</v>
      </c>
      <c r="B878" s="464" t="s">
        <v>1664</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3">
      <c r="A879" s="78" t="s">
        <v>815</v>
      </c>
      <c r="B879" s="464" t="s">
        <v>1665</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3">
      <c r="A880" s="78" t="s">
        <v>815</v>
      </c>
      <c r="B880" s="464" t="s">
        <v>1666</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3">
      <c r="A881" s="78" t="s">
        <v>815</v>
      </c>
      <c r="B881" s="464" t="s">
        <v>1667</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3">
      <c r="A882" s="78" t="s">
        <v>815</v>
      </c>
      <c r="B882" s="464" t="s">
        <v>1668</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3">
      <c r="A883" s="78" t="s">
        <v>815</v>
      </c>
      <c r="B883" s="464" t="s">
        <v>1669</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3">
      <c r="A884" s="78" t="s">
        <v>815</v>
      </c>
      <c r="B884" s="464" t="s">
        <v>1670</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3">
      <c r="A885" s="78" t="s">
        <v>815</v>
      </c>
      <c r="B885" s="464" t="s">
        <v>1671</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3">
      <c r="A886" s="78" t="s">
        <v>815</v>
      </c>
      <c r="B886" s="464" t="s">
        <v>1672</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3">
      <c r="A887" s="78" t="s">
        <v>815</v>
      </c>
      <c r="B887" s="464" t="s">
        <v>1673</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3">
      <c r="A888" s="78" t="s">
        <v>815</v>
      </c>
      <c r="B888" s="464" t="s">
        <v>1674</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3">
      <c r="A889" s="78" t="s">
        <v>815</v>
      </c>
      <c r="B889" s="464" t="s">
        <v>1675</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3">
      <c r="A890" s="78" t="s">
        <v>815</v>
      </c>
      <c r="B890" s="464" t="s">
        <v>1676</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3">
      <c r="A891" s="78" t="s">
        <v>815</v>
      </c>
      <c r="B891" s="464" t="s">
        <v>1677</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3">
      <c r="A892" s="78" t="s">
        <v>815</v>
      </c>
      <c r="B892" s="464" t="s">
        <v>1678</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3">
      <c r="A893" s="78" t="s">
        <v>815</v>
      </c>
      <c r="B893" s="464" t="s">
        <v>1679</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3">
      <c r="A894" s="78" t="s">
        <v>815</v>
      </c>
      <c r="B894" s="464" t="s">
        <v>1680</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3">
      <c r="A895" s="78" t="s">
        <v>815</v>
      </c>
      <c r="B895" s="464" t="s">
        <v>1681</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3">
      <c r="A896" s="78" t="s">
        <v>815</v>
      </c>
      <c r="B896" s="464" t="s">
        <v>1682</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3">
      <c r="A897" s="78" t="s">
        <v>815</v>
      </c>
      <c r="B897" s="464" t="s">
        <v>1683</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3">
      <c r="A898" s="78" t="s">
        <v>815</v>
      </c>
      <c r="B898" s="464" t="s">
        <v>1684</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3">
      <c r="A899" s="78" t="s">
        <v>815</v>
      </c>
      <c r="B899" s="464" t="s">
        <v>1685</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3">
      <c r="A900" s="78" t="s">
        <v>815</v>
      </c>
      <c r="B900" s="464" t="s">
        <v>1686</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3">
      <c r="A901" s="78" t="s">
        <v>815</v>
      </c>
      <c r="B901" s="464" t="s">
        <v>1687</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3">
      <c r="A902" s="78" t="s">
        <v>815</v>
      </c>
      <c r="B902" s="464" t="s">
        <v>1688</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3">
      <c r="A903" s="78" t="s">
        <v>815</v>
      </c>
      <c r="B903" s="464" t="s">
        <v>1689</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3">
      <c r="A904" s="78" t="s">
        <v>815</v>
      </c>
      <c r="B904" s="464" t="s">
        <v>1690</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3">
      <c r="A905" s="78" t="s">
        <v>815</v>
      </c>
      <c r="B905" s="464" t="s">
        <v>1691</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3">
      <c r="A906" s="78" t="s">
        <v>815</v>
      </c>
      <c r="B906" s="464" t="s">
        <v>1692</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3">
      <c r="A907" s="78" t="s">
        <v>815</v>
      </c>
      <c r="B907" s="464" t="s">
        <v>1693</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3">
      <c r="A908" s="78" t="s">
        <v>815</v>
      </c>
      <c r="B908" s="464" t="s">
        <v>1694</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3">
      <c r="A909" s="78" t="s">
        <v>815</v>
      </c>
      <c r="B909" s="464" t="s">
        <v>1695</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3">
      <c r="A910" s="78" t="s">
        <v>815</v>
      </c>
      <c r="B910" s="464" t="s">
        <v>1696</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3">
      <c r="A911" s="78" t="s">
        <v>815</v>
      </c>
      <c r="B911" s="464" t="s">
        <v>1697</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3">
      <c r="A912" s="78" t="s">
        <v>815</v>
      </c>
      <c r="B912" s="464" t="s">
        <v>1698</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3">
      <c r="A913" s="78" t="s">
        <v>815</v>
      </c>
      <c r="B913" s="464" t="s">
        <v>1699</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3">
      <c r="A914" s="78" t="s">
        <v>815</v>
      </c>
      <c r="B914" s="464" t="s">
        <v>1700</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3">
      <c r="A915" s="78" t="s">
        <v>815</v>
      </c>
      <c r="B915" s="464" t="s">
        <v>1701</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3">
      <c r="A916" s="78" t="s">
        <v>815</v>
      </c>
      <c r="B916" s="464" t="s">
        <v>1702</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3">
      <c r="A917" s="78" t="s">
        <v>815</v>
      </c>
      <c r="B917" s="464" t="s">
        <v>1703</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3">
      <c r="A918" s="78" t="s">
        <v>815</v>
      </c>
      <c r="B918" s="464" t="s">
        <v>1704</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3">
      <c r="A919" s="78" t="s">
        <v>815</v>
      </c>
      <c r="B919" s="464" t="s">
        <v>1705</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3">
      <c r="A920" s="78" t="s">
        <v>815</v>
      </c>
      <c r="B920" s="464" t="s">
        <v>1706</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3">
      <c r="A921" s="78" t="s">
        <v>815</v>
      </c>
      <c r="B921" s="464" t="s">
        <v>1707</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3">
      <c r="A922" s="78" t="s">
        <v>815</v>
      </c>
      <c r="B922" s="464" t="s">
        <v>1708</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3">
      <c r="A923" s="78" t="s">
        <v>815</v>
      </c>
      <c r="B923" s="464" t="s">
        <v>1709</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3">
      <c r="A924" s="78" t="s">
        <v>815</v>
      </c>
      <c r="B924" s="464" t="s">
        <v>1710</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3">
      <c r="A925" s="78" t="s">
        <v>815</v>
      </c>
      <c r="B925" s="464" t="s">
        <v>1711</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3">
      <c r="A926" s="78" t="s">
        <v>815</v>
      </c>
      <c r="B926" s="464" t="s">
        <v>1712</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3">
      <c r="A927" s="78" t="s">
        <v>815</v>
      </c>
      <c r="B927" s="464" t="s">
        <v>1713</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3">
      <c r="A928" s="78" t="s">
        <v>815</v>
      </c>
      <c r="B928" s="464" t="s">
        <v>1714</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3">
      <c r="A929" s="78" t="s">
        <v>815</v>
      </c>
      <c r="B929" s="464" t="s">
        <v>1715</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3">
      <c r="A930" s="78" t="s">
        <v>815</v>
      </c>
      <c r="B930" s="464" t="s">
        <v>1716</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3">
      <c r="A931" s="78" t="s">
        <v>815</v>
      </c>
      <c r="B931" s="464" t="s">
        <v>1717</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3">
      <c r="A932" s="78" t="s">
        <v>815</v>
      </c>
      <c r="B932" s="464" t="s">
        <v>1718</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3">
      <c r="A933" s="78" t="s">
        <v>815</v>
      </c>
      <c r="B933" s="464" t="s">
        <v>1719</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3">
      <c r="A934" s="78" t="s">
        <v>815</v>
      </c>
      <c r="B934" s="464" t="s">
        <v>1720</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3">
      <c r="A935" s="78" t="s">
        <v>815</v>
      </c>
      <c r="B935" s="464" t="s">
        <v>1721</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3">
      <c r="A936" s="78" t="s">
        <v>815</v>
      </c>
      <c r="B936" s="464" t="s">
        <v>1722</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3">
      <c r="A937" s="78" t="s">
        <v>815</v>
      </c>
      <c r="B937" s="464" t="s">
        <v>1723</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3">
      <c r="A938" s="78" t="s">
        <v>815</v>
      </c>
      <c r="B938" s="464" t="s">
        <v>1724</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3">
      <c r="A939" s="78" t="s">
        <v>815</v>
      </c>
      <c r="B939" s="464" t="s">
        <v>1725</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3">
      <c r="A940" s="78" t="s">
        <v>815</v>
      </c>
      <c r="B940" s="464" t="s">
        <v>1726</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3">
      <c r="A941" s="78" t="s">
        <v>815</v>
      </c>
      <c r="B941" s="464" t="s">
        <v>1727</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3">
      <c r="A942" s="78" t="s">
        <v>815</v>
      </c>
      <c r="B942" s="464" t="s">
        <v>1728</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3">
      <c r="A943" s="78" t="s">
        <v>815</v>
      </c>
      <c r="B943" s="464" t="s">
        <v>1729</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3">
      <c r="A944" s="78" t="s">
        <v>815</v>
      </c>
      <c r="B944" s="464" t="s">
        <v>1730</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3">
      <c r="A945" s="78" t="s">
        <v>815</v>
      </c>
      <c r="B945" s="464" t="s">
        <v>1731</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3">
      <c r="A946" s="78" t="s">
        <v>815</v>
      </c>
      <c r="B946" s="464" t="s">
        <v>1732</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3">
      <c r="A947" s="78" t="s">
        <v>815</v>
      </c>
      <c r="B947" s="464" t="s">
        <v>1733</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3">
      <c r="A948" s="78" t="s">
        <v>815</v>
      </c>
      <c r="B948" s="464" t="s">
        <v>1734</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3">
      <c r="A949" s="78" t="s">
        <v>815</v>
      </c>
      <c r="B949" s="464" t="s">
        <v>1735</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3">
      <c r="A950" s="78" t="s">
        <v>815</v>
      </c>
      <c r="B950" s="464" t="s">
        <v>1736</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3">
      <c r="A951" s="78" t="s">
        <v>815</v>
      </c>
      <c r="B951" s="464" t="s">
        <v>1737</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3">
      <c r="A952" s="78" t="s">
        <v>815</v>
      </c>
      <c r="B952" s="464" t="s">
        <v>1738</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3">
      <c r="A953" s="78" t="s">
        <v>815</v>
      </c>
      <c r="B953" s="464" t="s">
        <v>1739</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3">
      <c r="A954" s="78" t="s">
        <v>815</v>
      </c>
      <c r="B954" s="464" t="s">
        <v>1740</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3">
      <c r="A955" s="78" t="s">
        <v>815</v>
      </c>
      <c r="B955" s="464" t="s">
        <v>1741</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3">
      <c r="A956" s="78" t="s">
        <v>815</v>
      </c>
      <c r="B956" s="464" t="s">
        <v>1742</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3">
      <c r="A957" s="78" t="s">
        <v>815</v>
      </c>
      <c r="B957" s="464" t="s">
        <v>1743</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3">
      <c r="A958" s="78" t="s">
        <v>815</v>
      </c>
      <c r="B958" s="464" t="s">
        <v>1744</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3">
      <c r="A959" s="78" t="s">
        <v>815</v>
      </c>
      <c r="B959" s="464" t="s">
        <v>1745</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3">
      <c r="A960" s="78" t="s">
        <v>815</v>
      </c>
      <c r="B960" s="464" t="s">
        <v>1746</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3">
      <c r="A961" s="78" t="s">
        <v>815</v>
      </c>
      <c r="B961" s="464" t="s">
        <v>1747</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3">
      <c r="A962" s="78" t="s">
        <v>815</v>
      </c>
      <c r="B962" s="464" t="s">
        <v>1748</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3">
      <c r="A963" s="78" t="s">
        <v>815</v>
      </c>
      <c r="B963" s="464" t="s">
        <v>1749</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3">
      <c r="A964" s="78" t="s">
        <v>815</v>
      </c>
      <c r="B964" s="464" t="s">
        <v>1750</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3">
      <c r="A965" s="78" t="s">
        <v>815</v>
      </c>
      <c r="B965" s="464" t="s">
        <v>1751</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3">
      <c r="A966" s="78" t="s">
        <v>815</v>
      </c>
      <c r="B966" s="464" t="s">
        <v>1752</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3">
      <c r="A967" s="78" t="s">
        <v>815</v>
      </c>
      <c r="B967" s="464" t="s">
        <v>1753</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3">
      <c r="A968" s="78" t="s">
        <v>815</v>
      </c>
      <c r="B968" s="464" t="s">
        <v>1754</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3">
      <c r="A969" s="78" t="s">
        <v>815</v>
      </c>
      <c r="B969" s="464" t="s">
        <v>1755</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3">
      <c r="A970" s="78" t="s">
        <v>815</v>
      </c>
      <c r="B970" s="464" t="s">
        <v>1756</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3">
      <c r="A971" s="78" t="s">
        <v>815</v>
      </c>
      <c r="B971" s="464" t="s">
        <v>1757</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3">
      <c r="A972" s="78" t="s">
        <v>815</v>
      </c>
      <c r="B972" s="464" t="s">
        <v>1758</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3">
      <c r="A973" s="78" t="s">
        <v>815</v>
      </c>
      <c r="B973" s="464" t="s">
        <v>1759</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3">
      <c r="A974" s="78" t="s">
        <v>815</v>
      </c>
      <c r="B974" s="464" t="s">
        <v>1760</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3">
      <c r="A975" s="78" t="s">
        <v>815</v>
      </c>
      <c r="B975" s="464" t="s">
        <v>1761</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3">
      <c r="A976" s="78" t="s">
        <v>815</v>
      </c>
      <c r="B976" s="464" t="s">
        <v>1762</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3">
      <c r="A977" s="78" t="s">
        <v>815</v>
      </c>
      <c r="B977" s="464" t="s">
        <v>1763</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3">
      <c r="A978" s="78" t="s">
        <v>815</v>
      </c>
      <c r="B978" s="464" t="s">
        <v>1764</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3">
      <c r="A979" s="78" t="s">
        <v>815</v>
      </c>
      <c r="B979" s="464" t="s">
        <v>1765</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3">
      <c r="A980" s="78" t="s">
        <v>815</v>
      </c>
      <c r="B980" s="464" t="s">
        <v>1766</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3">
      <c r="A981" s="78" t="s">
        <v>815</v>
      </c>
      <c r="B981" s="464" t="s">
        <v>1767</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3">
      <c r="A982" s="78" t="s">
        <v>815</v>
      </c>
      <c r="B982" s="464" t="s">
        <v>1768</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3">
      <c r="A983" s="78" t="s">
        <v>815</v>
      </c>
      <c r="B983" s="464" t="s">
        <v>1769</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3">
      <c r="A984" s="78" t="s">
        <v>815</v>
      </c>
      <c r="B984" s="464" t="s">
        <v>1770</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3">
      <c r="A985" s="78" t="s">
        <v>815</v>
      </c>
      <c r="B985" s="464" t="s">
        <v>1771</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3">
      <c r="A986" s="78" t="s">
        <v>815</v>
      </c>
      <c r="B986" s="464" t="s">
        <v>1772</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3">
      <c r="A987" s="78" t="s">
        <v>815</v>
      </c>
      <c r="B987" s="464" t="s">
        <v>1773</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3">
      <c r="A988" s="78" t="s">
        <v>815</v>
      </c>
      <c r="B988" s="464" t="s">
        <v>1774</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3">
      <c r="A989" s="78" t="s">
        <v>815</v>
      </c>
      <c r="B989" s="464" t="s">
        <v>1775</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3">
      <c r="A990" s="78" t="s">
        <v>815</v>
      </c>
      <c r="B990" s="464" t="s">
        <v>1776</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3">
      <c r="A991" s="78" t="s">
        <v>815</v>
      </c>
      <c r="B991" s="464" t="s">
        <v>1777</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3">
      <c r="A992" s="78" t="s">
        <v>815</v>
      </c>
      <c r="B992" s="464" t="s">
        <v>1778</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3">
      <c r="A993" s="78" t="s">
        <v>815</v>
      </c>
      <c r="B993" s="464" t="s">
        <v>1779</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3">
      <c r="A994" s="78" t="s">
        <v>815</v>
      </c>
      <c r="B994" s="464" t="s">
        <v>1780</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3">
      <c r="A995" s="78" t="s">
        <v>815</v>
      </c>
      <c r="B995" s="464" t="s">
        <v>1781</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3">
      <c r="A996" s="78" t="s">
        <v>815</v>
      </c>
      <c r="B996" s="464" t="s">
        <v>1782</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3">
      <c r="A997" s="78" t="s">
        <v>815</v>
      </c>
      <c r="B997" s="464" t="s">
        <v>1783</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3">
      <c r="A998" s="78" t="s">
        <v>815</v>
      </c>
      <c r="B998" s="464" t="s">
        <v>1784</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3">
      <c r="A999" s="78" t="s">
        <v>815</v>
      </c>
      <c r="B999" s="464" t="s">
        <v>1785</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3">
      <c r="A1000" s="78" t="s">
        <v>815</v>
      </c>
      <c r="B1000" s="464" t="s">
        <v>1786</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3">
      <c r="A1001" s="78" t="s">
        <v>815</v>
      </c>
      <c r="B1001" s="464" t="s">
        <v>1787</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3">
      <c r="A1002" s="78" t="s">
        <v>815</v>
      </c>
      <c r="B1002" s="464" t="s">
        <v>1788</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3">
      <c r="A1003" s="78" t="s">
        <v>815</v>
      </c>
      <c r="B1003" s="464" t="s">
        <v>1789</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3">
      <c r="A1004" s="78" t="s">
        <v>815</v>
      </c>
      <c r="B1004" s="464" t="s">
        <v>1790</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3">
      <c r="A1005" s="78" t="s">
        <v>815</v>
      </c>
      <c r="B1005" s="464" t="s">
        <v>1791</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3">
      <c r="A1006" s="78" t="s">
        <v>815</v>
      </c>
      <c r="B1006" s="464" t="s">
        <v>1792</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3">
      <c r="A1007" s="78" t="s">
        <v>815</v>
      </c>
      <c r="B1007" s="464" t="s">
        <v>1793</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3">
      <c r="A1008" s="78" t="s">
        <v>815</v>
      </c>
      <c r="B1008" s="464" t="s">
        <v>1794</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3">
      <c r="A1009" s="78" t="s">
        <v>815</v>
      </c>
      <c r="B1009" s="464" t="s">
        <v>1795</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3">
      <c r="A1010" s="78" t="s">
        <v>815</v>
      </c>
      <c r="B1010" s="464" t="s">
        <v>1796</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3">
      <c r="A1011" s="78" t="s">
        <v>815</v>
      </c>
      <c r="B1011" s="464" t="s">
        <v>1797</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3">
      <c r="A1012" s="78" t="s">
        <v>815</v>
      </c>
      <c r="B1012" s="464" t="s">
        <v>1798</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3">
      <c r="A1013" s="78" t="s">
        <v>815</v>
      </c>
      <c r="B1013" s="464" t="s">
        <v>1799</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3">
      <c r="A1014" s="78" t="s">
        <v>815</v>
      </c>
      <c r="B1014" s="464" t="s">
        <v>1800</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3">
      <c r="A1015" s="78" t="s">
        <v>815</v>
      </c>
      <c r="B1015" s="464" t="s">
        <v>1801</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3">
      <c r="A1016" s="78" t="s">
        <v>815</v>
      </c>
      <c r="B1016" s="464" t="s">
        <v>1802</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3">
      <c r="A1017" s="78" t="s">
        <v>815</v>
      </c>
      <c r="B1017" s="464" t="s">
        <v>1803</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3">
      <c r="A1018" s="78" t="s">
        <v>815</v>
      </c>
      <c r="B1018" s="464" t="s">
        <v>1804</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3">
      <c r="A1019" s="78" t="s">
        <v>815</v>
      </c>
      <c r="B1019" s="464" t="s">
        <v>1805</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3">
      <c r="A1020" s="78" t="s">
        <v>815</v>
      </c>
      <c r="B1020" s="464" t="s">
        <v>1806</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3">
      <c r="A1021" s="78" t="s">
        <v>815</v>
      </c>
      <c r="B1021" s="464" t="s">
        <v>1807</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3">
      <c r="A1022" s="78" t="s">
        <v>815</v>
      </c>
      <c r="B1022" s="464" t="s">
        <v>1808</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3">
      <c r="A1023" s="78" t="s">
        <v>815</v>
      </c>
      <c r="B1023" s="464" t="s">
        <v>1809</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3">
      <c r="A1024" s="78" t="s">
        <v>815</v>
      </c>
      <c r="B1024" s="464" t="s">
        <v>1810</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3">
      <c r="A1025" s="78" t="s">
        <v>815</v>
      </c>
      <c r="B1025" s="464" t="s">
        <v>1811</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3">
      <c r="A1026" s="78" t="s">
        <v>815</v>
      </c>
      <c r="B1026" s="464" t="s">
        <v>1812</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3">
      <c r="A1027" s="78" t="s">
        <v>815</v>
      </c>
      <c r="B1027" s="464" t="s">
        <v>1813</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3">
      <c r="A1028" s="78" t="s">
        <v>815</v>
      </c>
      <c r="B1028" s="464" t="s">
        <v>1814</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3">
      <c r="A1029" s="78" t="s">
        <v>815</v>
      </c>
      <c r="B1029" s="464" t="s">
        <v>1815</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3">
      <c r="A1030" s="78" t="s">
        <v>815</v>
      </c>
      <c r="B1030" s="464" t="s">
        <v>1816</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3">
      <c r="A1031" s="78" t="s">
        <v>815</v>
      </c>
      <c r="B1031" s="464" t="s">
        <v>1817</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3">
      <c r="A1032" s="78" t="s">
        <v>815</v>
      </c>
      <c r="B1032" s="464" t="s">
        <v>1818</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3">
      <c r="A1033" s="78" t="s">
        <v>815</v>
      </c>
      <c r="B1033" s="464" t="s">
        <v>1819</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3">
      <c r="A1034" s="78" t="s">
        <v>815</v>
      </c>
      <c r="B1034" s="464" t="s">
        <v>1820</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3">
      <c r="A1035" s="78" t="s">
        <v>815</v>
      </c>
      <c r="B1035" s="464" t="s">
        <v>1821</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3">
      <c r="A1036" s="78" t="s">
        <v>815</v>
      </c>
      <c r="B1036" s="464" t="s">
        <v>1822</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3">
      <c r="A1037" s="78" t="s">
        <v>815</v>
      </c>
      <c r="B1037" s="464" t="s">
        <v>1823</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3">
      <c r="A1038" s="78" t="s">
        <v>815</v>
      </c>
      <c r="B1038" s="464" t="s">
        <v>1824</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3">
      <c r="A1039" s="78" t="s">
        <v>815</v>
      </c>
      <c r="B1039" s="464" t="s">
        <v>1825</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3">
      <c r="A1040" s="78" t="s">
        <v>815</v>
      </c>
      <c r="B1040" s="464" t="s">
        <v>1826</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3">
      <c r="A1041" s="78" t="s">
        <v>815</v>
      </c>
      <c r="B1041" s="464" t="s">
        <v>1827</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3">
      <c r="A1042" s="78" t="s">
        <v>815</v>
      </c>
      <c r="B1042" s="464" t="s">
        <v>1828</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3">
      <c r="A1043" s="78" t="s">
        <v>815</v>
      </c>
      <c r="B1043" s="464" t="s">
        <v>1829</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3">
      <c r="A1044" s="78" t="s">
        <v>815</v>
      </c>
      <c r="B1044" s="464" t="s">
        <v>1830</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3">
      <c r="A1045" s="78" t="s">
        <v>815</v>
      </c>
      <c r="B1045" s="464" t="s">
        <v>1831</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3">
      <c r="A1046" s="78" t="s">
        <v>815</v>
      </c>
      <c r="B1046" s="464" t="s">
        <v>1832</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3">
      <c r="A1047" s="78" t="s">
        <v>815</v>
      </c>
      <c r="B1047" s="464" t="s">
        <v>1833</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3">
      <c r="A1048" s="78" t="s">
        <v>815</v>
      </c>
      <c r="B1048" s="464" t="s">
        <v>1834</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3">
      <c r="A1049" s="78" t="s">
        <v>815</v>
      </c>
      <c r="B1049" s="464" t="s">
        <v>1835</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3">
      <c r="A1050" s="78" t="s">
        <v>815</v>
      </c>
      <c r="B1050" s="464" t="s">
        <v>1836</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3">
      <c r="A1051" s="78" t="s">
        <v>815</v>
      </c>
      <c r="B1051" s="464" t="s">
        <v>1837</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3">
      <c r="A1052" s="78" t="s">
        <v>815</v>
      </c>
      <c r="B1052" s="464" t="s">
        <v>1838</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3">
      <c r="A1053" s="78" t="s">
        <v>815</v>
      </c>
      <c r="B1053" s="464" t="s">
        <v>1839</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3">
      <c r="A1054" s="78" t="s">
        <v>815</v>
      </c>
      <c r="B1054" s="464" t="s">
        <v>1840</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3">
      <c r="A1055" s="78" t="s">
        <v>815</v>
      </c>
      <c r="B1055" s="464" t="s">
        <v>1841</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3">
      <c r="A1056" s="78" t="s">
        <v>815</v>
      </c>
      <c r="B1056" s="464" t="s">
        <v>1842</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3">
      <c r="A1057" s="78" t="s">
        <v>815</v>
      </c>
      <c r="B1057" s="464" t="s">
        <v>1843</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3">
      <c r="A1058" s="78" t="s">
        <v>815</v>
      </c>
      <c r="B1058" s="464" t="s">
        <v>1844</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3">
      <c r="A1059" s="78" t="s">
        <v>815</v>
      </c>
      <c r="B1059" s="464" t="s">
        <v>1845</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3">
      <c r="A1060" s="78" t="s">
        <v>815</v>
      </c>
      <c r="B1060" s="464" t="s">
        <v>1846</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3">
      <c r="A1061" s="78" t="s">
        <v>815</v>
      </c>
      <c r="B1061" s="464" t="s">
        <v>1847</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3">
      <c r="A1062" s="78" t="s">
        <v>815</v>
      </c>
      <c r="B1062" s="464" t="s">
        <v>1848</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3">
      <c r="A1063" s="78" t="s">
        <v>815</v>
      </c>
      <c r="B1063" s="464" t="s">
        <v>1849</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3">
      <c r="A1064" s="78" t="s">
        <v>815</v>
      </c>
      <c r="B1064" s="464" t="s">
        <v>1850</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3">
      <c r="A1065" s="78" t="s">
        <v>815</v>
      </c>
      <c r="B1065" s="464" t="s">
        <v>1851</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3">
      <c r="A1066" s="78" t="s">
        <v>815</v>
      </c>
      <c r="B1066" s="464" t="s">
        <v>1852</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3">
      <c r="A1067" s="78" t="s">
        <v>815</v>
      </c>
      <c r="B1067" s="464" t="s">
        <v>1853</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3">
      <c r="A1068" s="78" t="s">
        <v>815</v>
      </c>
      <c r="B1068" s="464" t="s">
        <v>1854</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3">
      <c r="A1069" s="78" t="s">
        <v>815</v>
      </c>
      <c r="B1069" s="464" t="s">
        <v>1855</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3">
      <c r="A1070" s="78" t="s">
        <v>815</v>
      </c>
      <c r="B1070" s="464" t="s">
        <v>1856</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3">
      <c r="A1071" s="78" t="s">
        <v>815</v>
      </c>
      <c r="B1071" s="464" t="s">
        <v>1857</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3">
      <c r="A1072" s="78" t="s">
        <v>815</v>
      </c>
      <c r="B1072" s="464" t="s">
        <v>1858</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3">
      <c r="A1073" s="78" t="s">
        <v>815</v>
      </c>
      <c r="B1073" s="464" t="s">
        <v>1859</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3">
      <c r="A1074" s="78" t="s">
        <v>815</v>
      </c>
      <c r="B1074" s="464" t="s">
        <v>1860</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3">
      <c r="A1075" s="78" t="s">
        <v>815</v>
      </c>
      <c r="B1075" s="464" t="s">
        <v>1861</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3">
      <c r="A1076" s="78" t="s">
        <v>815</v>
      </c>
      <c r="B1076" s="464" t="s">
        <v>1862</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3">
      <c r="A1077" s="78" t="s">
        <v>815</v>
      </c>
      <c r="B1077" s="464" t="s">
        <v>1863</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3">
      <c r="A1078" s="78" t="s">
        <v>815</v>
      </c>
      <c r="B1078" s="464" t="s">
        <v>1864</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3">
      <c r="A1079" s="78" t="s">
        <v>815</v>
      </c>
      <c r="B1079" s="464" t="s">
        <v>1865</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3">
      <c r="A1080" s="78" t="s">
        <v>815</v>
      </c>
      <c r="B1080" s="464" t="s">
        <v>1866</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3">
      <c r="A1081" s="78" t="s">
        <v>815</v>
      </c>
      <c r="B1081" s="464" t="s">
        <v>1867</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3">
      <c r="A1082" s="78" t="s">
        <v>815</v>
      </c>
      <c r="B1082" s="464" t="s">
        <v>1868</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3">
      <c r="A1083" s="78" t="s">
        <v>815</v>
      </c>
      <c r="B1083" s="464" t="s">
        <v>1869</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3">
      <c r="A1084" s="78" t="s">
        <v>815</v>
      </c>
      <c r="B1084" s="464" t="s">
        <v>1870</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3">
      <c r="A1085" s="78" t="s">
        <v>815</v>
      </c>
      <c r="B1085" s="464" t="s">
        <v>1871</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3">
      <c r="A1086" s="78" t="s">
        <v>815</v>
      </c>
      <c r="B1086" s="464" t="s">
        <v>1872</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3">
      <c r="A1087" s="78" t="s">
        <v>815</v>
      </c>
      <c r="B1087" s="464" t="s">
        <v>1873</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3">
      <c r="A1088" s="78" t="s">
        <v>815</v>
      </c>
      <c r="B1088" s="464" t="s">
        <v>1874</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3">
      <c r="A1089" s="78" t="s">
        <v>815</v>
      </c>
      <c r="B1089" s="464" t="s">
        <v>1875</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3">
      <c r="A1090" s="78" t="s">
        <v>815</v>
      </c>
      <c r="B1090" s="464" t="s">
        <v>1876</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3">
      <c r="A1091" s="78" t="s">
        <v>815</v>
      </c>
      <c r="B1091" s="464" t="s">
        <v>1877</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3">
      <c r="A1092" s="78" t="s">
        <v>815</v>
      </c>
      <c r="B1092" s="464" t="s">
        <v>1878</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3">
      <c r="A1093" s="78" t="s">
        <v>815</v>
      </c>
      <c r="B1093" s="464" t="s">
        <v>1879</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3">
      <c r="A1094" s="78" t="s">
        <v>815</v>
      </c>
      <c r="B1094" s="464" t="s">
        <v>1880</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3">
      <c r="A1095" s="78" t="s">
        <v>815</v>
      </c>
      <c r="B1095" s="464" t="s">
        <v>1881</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3">
      <c r="A1096" s="78" t="s">
        <v>815</v>
      </c>
      <c r="B1096" s="464" t="s">
        <v>1882</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3">
      <c r="A1097" s="78" t="s">
        <v>815</v>
      </c>
      <c r="B1097" s="464" t="s">
        <v>1883</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3">
      <c r="A1098" s="78" t="s">
        <v>815</v>
      </c>
      <c r="B1098" s="464" t="s">
        <v>1884</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3">
      <c r="A1099" s="78" t="s">
        <v>815</v>
      </c>
      <c r="B1099" s="464" t="s">
        <v>1885</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3">
      <c r="A1100" s="78" t="s">
        <v>815</v>
      </c>
      <c r="B1100" s="464" t="s">
        <v>1886</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3">
      <c r="A1101" s="78" t="s">
        <v>815</v>
      </c>
      <c r="B1101" s="464" t="s">
        <v>1887</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3">
      <c r="A1102" s="78" t="s">
        <v>815</v>
      </c>
      <c r="B1102" s="464" t="s">
        <v>1888</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3">
      <c r="A1103" s="78" t="s">
        <v>815</v>
      </c>
      <c r="B1103" s="464" t="s">
        <v>1889</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3">
      <c r="A1104" s="78" t="s">
        <v>815</v>
      </c>
      <c r="B1104" s="464" t="s">
        <v>1890</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3">
      <c r="A1105" s="78" t="s">
        <v>815</v>
      </c>
      <c r="B1105" s="464" t="s">
        <v>1891</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3">
      <c r="A1106" s="78" t="s">
        <v>815</v>
      </c>
      <c r="B1106" s="464" t="s">
        <v>1892</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3">
      <c r="A1107" s="78" t="s">
        <v>815</v>
      </c>
      <c r="B1107" s="464" t="s">
        <v>1893</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3">
      <c r="A1108" s="78" t="s">
        <v>815</v>
      </c>
      <c r="B1108" s="464" t="s">
        <v>1894</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3">
      <c r="A1109" s="78" t="s">
        <v>815</v>
      </c>
      <c r="B1109" s="464" t="s">
        <v>1895</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3">
      <c r="A1110" s="78" t="s">
        <v>815</v>
      </c>
      <c r="B1110" s="464" t="s">
        <v>1896</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3">
      <c r="A1111" s="78" t="s">
        <v>815</v>
      </c>
      <c r="B1111" s="464" t="s">
        <v>1897</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3">
      <c r="A1112" s="78" t="s">
        <v>815</v>
      </c>
      <c r="B1112" s="464" t="s">
        <v>1898</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3">
      <c r="A1113" s="78" t="s">
        <v>815</v>
      </c>
      <c r="B1113" s="464" t="s">
        <v>1899</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3">
      <c r="A1114" s="78" t="s">
        <v>815</v>
      </c>
      <c r="B1114" s="464" t="s">
        <v>1900</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3">
      <c r="A1115" s="78" t="s">
        <v>815</v>
      </c>
      <c r="B1115" s="464" t="s">
        <v>1901</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3">
      <c r="A1116" s="78" t="s">
        <v>815</v>
      </c>
      <c r="B1116" s="464" t="s">
        <v>1902</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3">
      <c r="A1117" s="78" t="s">
        <v>815</v>
      </c>
      <c r="B1117" s="464" t="s">
        <v>1903</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3">
      <c r="A1118" s="78" t="s">
        <v>815</v>
      </c>
      <c r="B1118" s="464" t="s">
        <v>1904</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3">
      <c r="A1119" s="78" t="s">
        <v>815</v>
      </c>
      <c r="B1119" s="464" t="s">
        <v>1905</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3">
      <c r="A1120" s="78" t="s">
        <v>815</v>
      </c>
      <c r="B1120" s="464" t="s">
        <v>1906</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3">
      <c r="A1121" s="78" t="s">
        <v>815</v>
      </c>
      <c r="B1121" s="464" t="s">
        <v>1907</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3">
      <c r="A1122" s="78" t="s">
        <v>815</v>
      </c>
      <c r="B1122" s="464" t="s">
        <v>1908</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3">
      <c r="A1123" s="78" t="s">
        <v>815</v>
      </c>
      <c r="B1123" s="464" t="s">
        <v>1909</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3">
      <c r="A1124" s="78" t="s">
        <v>815</v>
      </c>
      <c r="B1124" s="464" t="s">
        <v>1910</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3">
      <c r="A1125" s="78" t="s">
        <v>815</v>
      </c>
      <c r="B1125" s="464" t="s">
        <v>1911</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3">
      <c r="A1126" s="78" t="s">
        <v>815</v>
      </c>
      <c r="B1126" s="464" t="s">
        <v>1912</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3">
      <c r="A1127" s="78" t="s">
        <v>815</v>
      </c>
      <c r="B1127" s="464" t="s">
        <v>1913</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3">
      <c r="A1128" s="78" t="s">
        <v>815</v>
      </c>
      <c r="B1128" s="464" t="s">
        <v>1914</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3">
      <c r="A1129" s="78" t="s">
        <v>815</v>
      </c>
      <c r="B1129" s="464" t="s">
        <v>1915</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3">
      <c r="A1130" s="78" t="s">
        <v>815</v>
      </c>
      <c r="B1130" s="464" t="s">
        <v>1916</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3">
      <c r="A1131" s="78" t="s">
        <v>815</v>
      </c>
      <c r="B1131" s="464" t="s">
        <v>1917</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3">
      <c r="A1132" s="78" t="s">
        <v>815</v>
      </c>
      <c r="B1132" s="464" t="s">
        <v>1918</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3">
      <c r="A1133" s="78" t="s">
        <v>815</v>
      </c>
      <c r="B1133" s="464" t="s">
        <v>1919</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3">
      <c r="A1134" s="78" t="s">
        <v>815</v>
      </c>
      <c r="B1134" s="464" t="s">
        <v>1920</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3">
      <c r="A1135" s="78" t="s">
        <v>815</v>
      </c>
      <c r="B1135" s="464" t="s">
        <v>1921</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3">
      <c r="A1136" s="78" t="s">
        <v>815</v>
      </c>
      <c r="B1136" s="464" t="s">
        <v>1922</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3">
      <c r="A1137" s="78" t="s">
        <v>815</v>
      </c>
      <c r="B1137" s="464" t="s">
        <v>1923</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3">
      <c r="A1138" s="78" t="s">
        <v>815</v>
      </c>
      <c r="B1138" s="464" t="s">
        <v>1924</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3">
      <c r="A1139" s="78" t="s">
        <v>815</v>
      </c>
      <c r="B1139" s="464" t="s">
        <v>1925</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3">
      <c r="A1140" s="78" t="s">
        <v>815</v>
      </c>
      <c r="B1140" s="464" t="s">
        <v>1926</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3">
      <c r="A1141" s="78" t="s">
        <v>815</v>
      </c>
      <c r="B1141" s="464" t="s">
        <v>1927</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3">
      <c r="A1142" s="78" t="s">
        <v>815</v>
      </c>
      <c r="B1142" s="464" t="s">
        <v>1928</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3">
      <c r="A1143" s="78" t="s">
        <v>815</v>
      </c>
      <c r="B1143" s="464" t="s">
        <v>1929</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3">
      <c r="A1144" s="78" t="s">
        <v>815</v>
      </c>
      <c r="B1144" s="464" t="s">
        <v>1930</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3">
      <c r="A1145" s="78" t="s">
        <v>815</v>
      </c>
      <c r="B1145" s="464" t="s">
        <v>1931</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3">
      <c r="A1146" s="78" t="s">
        <v>815</v>
      </c>
      <c r="B1146" s="464" t="s">
        <v>1932</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3">
      <c r="A1147" s="78" t="s">
        <v>815</v>
      </c>
      <c r="B1147" s="464" t="s">
        <v>1933</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3">
      <c r="A1148" s="78" t="s">
        <v>815</v>
      </c>
      <c r="B1148" s="464" t="s">
        <v>1934</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3">
      <c r="A1149" s="78" t="s">
        <v>815</v>
      </c>
      <c r="B1149" s="464" t="s">
        <v>1935</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3">
      <c r="A1150" s="78" t="s">
        <v>815</v>
      </c>
      <c r="B1150" s="464" t="s">
        <v>1936</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3">
      <c r="A1151" s="78" t="s">
        <v>815</v>
      </c>
      <c r="B1151" s="464" t="s">
        <v>1937</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3">
      <c r="A1152" s="78" t="s">
        <v>815</v>
      </c>
      <c r="B1152" s="464" t="s">
        <v>1938</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3">
      <c r="A1153" s="78" t="s">
        <v>815</v>
      </c>
      <c r="B1153" s="464" t="s">
        <v>1939</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3">
      <c r="A1154" s="78" t="s">
        <v>815</v>
      </c>
      <c r="B1154" s="464" t="s">
        <v>1940</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3">
      <c r="A1155" s="78" t="s">
        <v>815</v>
      </c>
      <c r="B1155" s="464" t="s">
        <v>1941</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3">
      <c r="A1156" s="78" t="s">
        <v>815</v>
      </c>
      <c r="B1156" s="464" t="s">
        <v>1942</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3">
      <c r="A1157" s="78" t="s">
        <v>815</v>
      </c>
      <c r="B1157" s="464" t="s">
        <v>1943</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3">
      <c r="A1158" s="78" t="s">
        <v>815</v>
      </c>
      <c r="B1158" s="464" t="s">
        <v>1944</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3">
      <c r="A1159" s="78" t="s">
        <v>815</v>
      </c>
      <c r="B1159" s="464" t="s">
        <v>1945</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3">
      <c r="A1160" s="78" t="s">
        <v>815</v>
      </c>
      <c r="B1160" s="464" t="s">
        <v>1946</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3">
      <c r="A1161" s="78" t="s">
        <v>815</v>
      </c>
      <c r="B1161" s="464" t="s">
        <v>1947</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3">
      <c r="A1162" s="78" t="s">
        <v>815</v>
      </c>
      <c r="B1162" s="464" t="s">
        <v>1948</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3">
      <c r="A1163" s="78" t="s">
        <v>815</v>
      </c>
      <c r="B1163" s="464" t="s">
        <v>1949</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3">
      <c r="A1164" s="78" t="s">
        <v>815</v>
      </c>
      <c r="B1164" s="464" t="s">
        <v>1950</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3">
      <c r="A1165" s="78" t="s">
        <v>815</v>
      </c>
      <c r="B1165" s="464" t="s">
        <v>1951</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3">
      <c r="A1166" s="78" t="s">
        <v>815</v>
      </c>
      <c r="B1166" s="464" t="s">
        <v>1952</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3">
      <c r="A1167" s="78" t="s">
        <v>815</v>
      </c>
      <c r="B1167" s="464" t="s">
        <v>1953</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3">
      <c r="A1168" s="78" t="s">
        <v>815</v>
      </c>
      <c r="B1168" s="464" t="s">
        <v>1954</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3">
      <c r="A1169" s="78" t="s">
        <v>815</v>
      </c>
      <c r="B1169" s="464" t="s">
        <v>1955</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3">
      <c r="A1170" s="78" t="s">
        <v>815</v>
      </c>
      <c r="B1170" s="464" t="s">
        <v>1956</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3">
      <c r="A1171" s="78" t="s">
        <v>815</v>
      </c>
      <c r="B1171" s="464" t="s">
        <v>1957</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3">
      <c r="A1172" s="78" t="s">
        <v>815</v>
      </c>
      <c r="B1172" s="464" t="s">
        <v>1958</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3">
      <c r="A1173" s="78" t="s">
        <v>815</v>
      </c>
      <c r="B1173" s="464" t="s">
        <v>1959</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3">
      <c r="A1174" s="78" t="s">
        <v>815</v>
      </c>
      <c r="B1174" s="464" t="s">
        <v>1960</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3">
      <c r="A1175" s="78" t="s">
        <v>815</v>
      </c>
      <c r="B1175" s="464" t="s">
        <v>1961</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3">
      <c r="A1176" s="78" t="s">
        <v>815</v>
      </c>
      <c r="B1176" s="464" t="s">
        <v>1962</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3">
      <c r="A1177" s="78" t="s">
        <v>815</v>
      </c>
      <c r="B1177" s="464" t="s">
        <v>1963</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3">
      <c r="A1178" s="78" t="s">
        <v>815</v>
      </c>
      <c r="B1178" s="464" t="s">
        <v>1964</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3">
      <c r="A1179" s="78" t="s">
        <v>815</v>
      </c>
      <c r="B1179" s="464" t="s">
        <v>1965</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3">
      <c r="A1180" s="78" t="s">
        <v>815</v>
      </c>
      <c r="B1180" s="464" t="s">
        <v>1966</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3">
      <c r="A1181" s="78" t="s">
        <v>815</v>
      </c>
      <c r="B1181" s="464" t="s">
        <v>1967</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3">
      <c r="A1182" s="78" t="s">
        <v>815</v>
      </c>
      <c r="B1182" s="464" t="s">
        <v>1968</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3">
      <c r="A1183" s="78" t="s">
        <v>815</v>
      </c>
      <c r="B1183" s="464" t="s">
        <v>1969</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3">
      <c r="A1184" s="78" t="s">
        <v>815</v>
      </c>
      <c r="B1184" s="464" t="s">
        <v>1970</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3">
      <c r="A1185" s="78" t="s">
        <v>815</v>
      </c>
      <c r="B1185" s="464" t="s">
        <v>1971</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3">
      <c r="A1186" s="78" t="s">
        <v>815</v>
      </c>
      <c r="B1186" s="464" t="s">
        <v>1972</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3">
      <c r="A1187" s="78" t="s">
        <v>815</v>
      </c>
      <c r="B1187" s="464" t="s">
        <v>1973</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3">
      <c r="A1188" s="78" t="s">
        <v>815</v>
      </c>
      <c r="B1188" s="464" t="s">
        <v>1974</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3">
      <c r="A1189" s="78" t="s">
        <v>815</v>
      </c>
      <c r="B1189" s="464" t="s">
        <v>1975</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3">
      <c r="A1190" s="78" t="s">
        <v>815</v>
      </c>
      <c r="B1190" s="464" t="s">
        <v>1976</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3">
      <c r="A1191" s="78" t="s">
        <v>815</v>
      </c>
      <c r="B1191" s="464" t="s">
        <v>1977</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3">
      <c r="A1192" s="78" t="s">
        <v>815</v>
      </c>
      <c r="B1192" s="464" t="s">
        <v>1978</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3">
      <c r="A1193" s="78" t="s">
        <v>815</v>
      </c>
      <c r="B1193" s="464" t="s">
        <v>1979</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3">
      <c r="A1194" s="78" t="s">
        <v>815</v>
      </c>
      <c r="B1194" s="464" t="s">
        <v>1980</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3">
      <c r="A1195" s="78" t="s">
        <v>815</v>
      </c>
      <c r="B1195" s="464" t="s">
        <v>1981</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3">
      <c r="A1196" s="78" t="s">
        <v>815</v>
      </c>
      <c r="B1196" s="464" t="s">
        <v>1982</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3">
      <c r="A1197" s="78" t="s">
        <v>815</v>
      </c>
      <c r="B1197" s="464" t="s">
        <v>1983</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3">
      <c r="A1198" s="78" t="s">
        <v>815</v>
      </c>
      <c r="B1198" s="464" t="s">
        <v>1984</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3">
      <c r="A1199" s="78" t="s">
        <v>815</v>
      </c>
      <c r="B1199" s="464" t="s">
        <v>1985</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3">
      <c r="A1200" s="78" t="s">
        <v>815</v>
      </c>
      <c r="B1200" s="464" t="s">
        <v>1986</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3">
      <c r="A1201" s="78" t="s">
        <v>815</v>
      </c>
      <c r="B1201" s="464" t="s">
        <v>1987</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3">
      <c r="A1202" s="78" t="s">
        <v>815</v>
      </c>
      <c r="B1202" s="464" t="s">
        <v>1988</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3">
      <c r="A1203" s="78" t="s">
        <v>815</v>
      </c>
      <c r="B1203" s="464" t="s">
        <v>1989</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3">
      <c r="A1204" s="78" t="s">
        <v>815</v>
      </c>
      <c r="B1204" s="464" t="s">
        <v>1990</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3">
      <c r="A1205" s="78" t="s">
        <v>815</v>
      </c>
      <c r="B1205" s="464" t="s">
        <v>1991</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3">
      <c r="A1206" s="78" t="s">
        <v>815</v>
      </c>
      <c r="B1206" s="464" t="s">
        <v>1992</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3">
      <c r="A1207" s="78" t="s">
        <v>815</v>
      </c>
      <c r="B1207" s="464" t="s">
        <v>1993</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3">
      <c r="A1208" s="78" t="s">
        <v>815</v>
      </c>
      <c r="B1208" s="464" t="s">
        <v>1994</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3">
      <c r="A1209" s="78" t="s">
        <v>815</v>
      </c>
      <c r="B1209" s="464" t="s">
        <v>1995</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3">
      <c r="A1210" s="78" t="s">
        <v>815</v>
      </c>
      <c r="B1210" s="464" t="s">
        <v>1996</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3">
      <c r="A1211" s="78" t="s">
        <v>815</v>
      </c>
      <c r="B1211" s="464" t="s">
        <v>1997</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3">
      <c r="A1212" s="78" t="s">
        <v>815</v>
      </c>
      <c r="B1212" s="464" t="s">
        <v>1998</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3">
      <c r="A1213" s="78" t="s">
        <v>815</v>
      </c>
      <c r="B1213" s="464" t="s">
        <v>1999</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3">
      <c r="A1214" s="78" t="s">
        <v>815</v>
      </c>
      <c r="B1214" s="464" t="s">
        <v>2000</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3">
      <c r="A1215" s="78" t="s">
        <v>815</v>
      </c>
      <c r="B1215" s="464" t="s">
        <v>2001</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3">
      <c r="A1216" s="78" t="s">
        <v>815</v>
      </c>
      <c r="B1216" s="464" t="s">
        <v>2002</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3">
      <c r="A1217" s="78" t="s">
        <v>815</v>
      </c>
      <c r="B1217" s="464" t="s">
        <v>2003</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3">
      <c r="A1218" s="78" t="s">
        <v>815</v>
      </c>
      <c r="B1218" s="464" t="s">
        <v>2004</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3">
      <c r="A1219" s="78" t="s">
        <v>815</v>
      </c>
      <c r="B1219" s="464" t="s">
        <v>2005</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3">
      <c r="A1220" s="78" t="s">
        <v>815</v>
      </c>
      <c r="B1220" s="464" t="s">
        <v>2006</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3">
      <c r="A1221" s="78" t="s">
        <v>815</v>
      </c>
      <c r="B1221" s="464" t="s">
        <v>2007</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3">
      <c r="A1222" s="78" t="s">
        <v>815</v>
      </c>
      <c r="B1222" s="464" t="s">
        <v>2008</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3">
      <c r="A1223" s="78" t="s">
        <v>815</v>
      </c>
      <c r="B1223" s="464" t="s">
        <v>2009</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3">
      <c r="A1224" s="78" t="s">
        <v>815</v>
      </c>
      <c r="B1224" s="464" t="s">
        <v>2010</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3">
      <c r="A1225" s="78" t="s">
        <v>815</v>
      </c>
      <c r="B1225" s="464" t="s">
        <v>2011</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3">
      <c r="A1226" s="78" t="s">
        <v>815</v>
      </c>
      <c r="B1226" s="464" t="s">
        <v>2012</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3">
      <c r="A1227" s="78" t="s">
        <v>815</v>
      </c>
      <c r="B1227" s="464" t="s">
        <v>2013</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3">
      <c r="A1228" s="78" t="s">
        <v>815</v>
      </c>
      <c r="B1228" s="464" t="s">
        <v>2014</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3">
      <c r="A1229" s="78" t="s">
        <v>815</v>
      </c>
      <c r="B1229" s="464" t="s">
        <v>2015</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3">
      <c r="A1230" s="78" t="s">
        <v>815</v>
      </c>
      <c r="B1230" s="464" t="s">
        <v>2016</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3">
      <c r="A1231" s="78" t="s">
        <v>815</v>
      </c>
      <c r="B1231" s="464" t="s">
        <v>2017</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3">
      <c r="A1232" s="78" t="s">
        <v>815</v>
      </c>
      <c r="B1232" s="464" t="s">
        <v>2018</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3">
      <c r="A1233" s="78" t="s">
        <v>815</v>
      </c>
      <c r="B1233" s="464" t="s">
        <v>2019</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3">
      <c r="A1234" s="78" t="s">
        <v>815</v>
      </c>
      <c r="B1234" s="464" t="s">
        <v>2020</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3">
      <c r="A1235" s="78" t="s">
        <v>815</v>
      </c>
      <c r="B1235" s="464" t="s">
        <v>2021</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3">
      <c r="A1236" s="78" t="s">
        <v>815</v>
      </c>
      <c r="B1236" s="464" t="s">
        <v>2022</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3">
      <c r="A1237" s="78" t="s">
        <v>815</v>
      </c>
      <c r="B1237" s="464" t="s">
        <v>2023</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3">
      <c r="A1238" s="78" t="s">
        <v>815</v>
      </c>
      <c r="B1238" s="464" t="s">
        <v>2024</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3">
      <c r="A1239" s="78" t="s">
        <v>815</v>
      </c>
      <c r="B1239" s="464" t="s">
        <v>2025</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3">
      <c r="A1240" s="78" t="s">
        <v>815</v>
      </c>
      <c r="B1240" s="464" t="s">
        <v>2026</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3">
      <c r="A1241" s="78" t="s">
        <v>815</v>
      </c>
      <c r="B1241" s="464" t="s">
        <v>2027</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3">
      <c r="A1242" s="78" t="s">
        <v>815</v>
      </c>
      <c r="B1242" s="464" t="s">
        <v>2028</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3">
      <c r="A1243" s="78" t="s">
        <v>815</v>
      </c>
      <c r="B1243" s="464" t="s">
        <v>2029</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3">
      <c r="A1244" s="78" t="s">
        <v>815</v>
      </c>
      <c r="B1244" s="464" t="s">
        <v>2030</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3">
      <c r="A1245" s="78" t="s">
        <v>815</v>
      </c>
      <c r="B1245" s="464" t="s">
        <v>2031</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3">
      <c r="A1246" s="78" t="s">
        <v>815</v>
      </c>
      <c r="B1246" s="464" t="s">
        <v>2032</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3">
      <c r="A1247" s="78" t="s">
        <v>815</v>
      </c>
      <c r="B1247" s="464" t="s">
        <v>2033</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3">
      <c r="A1248" s="78" t="s">
        <v>815</v>
      </c>
      <c r="B1248" s="464" t="s">
        <v>2034</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3">
      <c r="A1249" s="78" t="s">
        <v>815</v>
      </c>
      <c r="B1249" s="464" t="s">
        <v>2035</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3">
      <c r="A1250" s="78" t="s">
        <v>815</v>
      </c>
      <c r="B1250" s="464" t="s">
        <v>2036</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3">
      <c r="A1251" s="78" t="s">
        <v>815</v>
      </c>
      <c r="B1251" s="464" t="s">
        <v>2037</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3">
      <c r="A1252" s="78" t="s">
        <v>815</v>
      </c>
      <c r="B1252" s="464" t="s">
        <v>2038</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3">
      <c r="A1253" s="78" t="s">
        <v>815</v>
      </c>
      <c r="B1253" s="464" t="s">
        <v>2039</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3">
      <c r="A1254" s="78" t="s">
        <v>815</v>
      </c>
      <c r="B1254" s="464" t="s">
        <v>2040</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3">
      <c r="A1255" s="78" t="s">
        <v>815</v>
      </c>
      <c r="B1255" s="464" t="s">
        <v>2041</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3">
      <c r="A1256" s="78" t="s">
        <v>815</v>
      </c>
      <c r="B1256" s="464" t="s">
        <v>2042</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3">
      <c r="A1257" s="78" t="s">
        <v>815</v>
      </c>
      <c r="B1257" s="464" t="s">
        <v>2043</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3">
      <c r="A1258" s="78" t="s">
        <v>815</v>
      </c>
      <c r="B1258" s="464" t="s">
        <v>2044</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3">
      <c r="A1259" s="78" t="s">
        <v>815</v>
      </c>
      <c r="B1259" s="464" t="s">
        <v>2045</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3">
      <c r="A1260" s="78" t="s">
        <v>815</v>
      </c>
      <c r="B1260" s="464" t="s">
        <v>2046</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3">
      <c r="A1261" s="78" t="s">
        <v>815</v>
      </c>
      <c r="B1261" s="464" t="s">
        <v>2047</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3">
      <c r="A1262" s="78" t="s">
        <v>815</v>
      </c>
      <c r="B1262" s="464" t="s">
        <v>2048</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3">
      <c r="A1263" s="78" t="s">
        <v>815</v>
      </c>
      <c r="B1263" s="464" t="s">
        <v>2049</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3">
      <c r="A1264" s="78" t="s">
        <v>815</v>
      </c>
      <c r="B1264" s="464" t="s">
        <v>2050</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3">
      <c r="A1265" s="78" t="s">
        <v>815</v>
      </c>
      <c r="B1265" s="464" t="s">
        <v>2051</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3">
      <c r="A1266" s="78" t="s">
        <v>815</v>
      </c>
      <c r="B1266" s="464" t="s">
        <v>2052</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3">
      <c r="A1267" s="78" t="s">
        <v>815</v>
      </c>
      <c r="B1267" s="464" t="s">
        <v>2053</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3">
      <c r="A1268" s="78" t="s">
        <v>815</v>
      </c>
      <c r="B1268" s="464" t="s">
        <v>2054</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3">
      <c r="A1269" s="78" t="s">
        <v>815</v>
      </c>
      <c r="B1269" s="464" t="s">
        <v>2055</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3">
      <c r="A1270" s="78" t="s">
        <v>815</v>
      </c>
      <c r="B1270" s="464" t="s">
        <v>2056</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3">
      <c r="A1271" s="78" t="s">
        <v>815</v>
      </c>
      <c r="B1271" s="464" t="s">
        <v>2057</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3">
      <c r="A1272" s="78" t="s">
        <v>815</v>
      </c>
      <c r="B1272" s="464" t="s">
        <v>2058</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3">
      <c r="A1273" s="78" t="s">
        <v>815</v>
      </c>
      <c r="B1273" s="464" t="s">
        <v>2059</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3">
      <c r="A1274" s="78" t="s">
        <v>815</v>
      </c>
      <c r="B1274" s="464" t="s">
        <v>2060</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3">
      <c r="A1275" s="78" t="s">
        <v>815</v>
      </c>
      <c r="B1275" s="464" t="s">
        <v>2061</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3">
      <c r="A1276" s="78" t="s">
        <v>815</v>
      </c>
      <c r="B1276" s="464" t="s">
        <v>2062</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3">
      <c r="A1277" s="78" t="s">
        <v>815</v>
      </c>
      <c r="B1277" s="464" t="s">
        <v>2063</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3">
      <c r="A1278" s="78" t="s">
        <v>815</v>
      </c>
      <c r="B1278" s="464" t="s">
        <v>2064</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3">
      <c r="A1279" s="78" t="s">
        <v>815</v>
      </c>
      <c r="B1279" s="464" t="s">
        <v>2065</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3">
      <c r="A1280" s="78" t="s">
        <v>815</v>
      </c>
      <c r="B1280" s="464" t="s">
        <v>2066</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3">
      <c r="A1281" s="78" t="s">
        <v>815</v>
      </c>
      <c r="B1281" s="464" t="s">
        <v>2067</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3">
      <c r="A1282" s="78" t="s">
        <v>815</v>
      </c>
      <c r="B1282" s="464" t="s">
        <v>2068</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3">
      <c r="A1283" s="78" t="s">
        <v>815</v>
      </c>
      <c r="B1283" s="464" t="s">
        <v>2069</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3">
      <c r="A1284" s="78" t="s">
        <v>815</v>
      </c>
      <c r="B1284" s="464" t="s">
        <v>2070</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3">
      <c r="A1285" s="78" t="s">
        <v>815</v>
      </c>
      <c r="B1285" s="464" t="s">
        <v>2071</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3">
      <c r="A1286" s="78" t="s">
        <v>815</v>
      </c>
      <c r="B1286" s="464" t="s">
        <v>2072</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3">
      <c r="A1287" s="78" t="s">
        <v>815</v>
      </c>
      <c r="B1287" s="464" t="s">
        <v>2073</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3">
      <c r="A1288" s="78" t="s">
        <v>815</v>
      </c>
      <c r="B1288" s="464" t="s">
        <v>2074</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3">
      <c r="A1289" s="78" t="s">
        <v>815</v>
      </c>
      <c r="B1289" s="464" t="s">
        <v>2075</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3">
      <c r="A1290" s="78" t="s">
        <v>815</v>
      </c>
      <c r="B1290" s="464" t="s">
        <v>2076</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3">
      <c r="A1291" s="78" t="s">
        <v>815</v>
      </c>
      <c r="B1291" s="464" t="s">
        <v>2077</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3">
      <c r="A1292" s="78" t="s">
        <v>815</v>
      </c>
      <c r="B1292" s="464" t="s">
        <v>2078</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3">
      <c r="A1293" s="78" t="s">
        <v>815</v>
      </c>
      <c r="B1293" s="464" t="s">
        <v>2079</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3">
      <c r="A1294" s="78" t="s">
        <v>815</v>
      </c>
      <c r="B1294" s="464" t="s">
        <v>2080</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3">
      <c r="A1295" s="78" t="s">
        <v>815</v>
      </c>
      <c r="B1295" s="464" t="s">
        <v>2081</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3">
      <c r="A1296" s="78" t="s">
        <v>815</v>
      </c>
      <c r="B1296" s="464" t="s">
        <v>2082</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3">
      <c r="A1297" s="78" t="s">
        <v>815</v>
      </c>
      <c r="B1297" s="464" t="s">
        <v>2083</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3">
      <c r="A1298" s="78" t="s">
        <v>815</v>
      </c>
      <c r="B1298" s="464" t="s">
        <v>2084</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3">
      <c r="A1299" s="78" t="s">
        <v>815</v>
      </c>
      <c r="B1299" s="464" t="s">
        <v>2085</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3">
      <c r="A1300" s="78" t="s">
        <v>815</v>
      </c>
      <c r="B1300" s="464" t="s">
        <v>2086</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3">
      <c r="A1301" s="78" t="s">
        <v>815</v>
      </c>
      <c r="B1301" s="464" t="s">
        <v>2087</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3">
      <c r="A1302" s="78" t="s">
        <v>815</v>
      </c>
      <c r="B1302" s="464" t="s">
        <v>2088</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3">
      <c r="A1303" s="78" t="s">
        <v>815</v>
      </c>
      <c r="B1303" s="464" t="s">
        <v>2089</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3">
      <c r="A1304" s="78" t="s">
        <v>815</v>
      </c>
      <c r="B1304" s="464" t="s">
        <v>2090</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3">
      <c r="A1305" s="78" t="s">
        <v>815</v>
      </c>
      <c r="B1305" s="464" t="s">
        <v>2091</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3">
      <c r="A1306" s="78" t="s">
        <v>815</v>
      </c>
      <c r="B1306" s="464" t="s">
        <v>2092</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3">
      <c r="A1307" s="78" t="s">
        <v>815</v>
      </c>
      <c r="B1307" s="464" t="s">
        <v>2093</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3">
      <c r="A1308" s="78" t="s">
        <v>815</v>
      </c>
      <c r="B1308" s="464" t="s">
        <v>2094</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3">
      <c r="A1309" s="78" t="s">
        <v>815</v>
      </c>
      <c r="B1309" s="464" t="s">
        <v>2095</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3">
      <c r="A1310" s="78" t="s">
        <v>815</v>
      </c>
      <c r="B1310" s="464" t="s">
        <v>2096</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3">
      <c r="A1311" s="78" t="s">
        <v>815</v>
      </c>
      <c r="B1311" s="464" t="s">
        <v>2097</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3">
      <c r="A1312" s="78" t="s">
        <v>815</v>
      </c>
      <c r="B1312" s="464" t="s">
        <v>2098</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3">
      <c r="A1313" s="78" t="s">
        <v>815</v>
      </c>
      <c r="B1313" s="464" t="s">
        <v>2099</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x14ac:dyDescent="0.3">
      <c r="A1314" s="102"/>
      <c r="B1314" s="465"/>
      <c r="C1314" s="102"/>
      <c r="D1314" s="104">
        <f t="shared" ref="D1314:L1314" si="232">SUM(D29:D1313)</f>
        <v>22137472</v>
      </c>
      <c r="E1314" s="123">
        <f t="shared" si="232"/>
        <v>23554205</v>
      </c>
      <c r="F1314" s="104">
        <f t="shared" si="232"/>
        <v>57690323</v>
      </c>
      <c r="G1314" s="123">
        <f t="shared" si="232"/>
        <v>28283074</v>
      </c>
      <c r="H1314" s="123">
        <f t="shared" si="232"/>
        <v>29407249</v>
      </c>
      <c r="I1314" s="123">
        <f t="shared" si="232"/>
        <v>22137472</v>
      </c>
      <c r="J1314" s="123">
        <f t="shared" si="232"/>
        <v>23554205</v>
      </c>
      <c r="K1314" s="123">
        <f t="shared" si="232"/>
        <v>6145602</v>
      </c>
      <c r="L1314" s="123">
        <f t="shared" si="232"/>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3">
      <c r="A1315" s="52" t="s">
        <v>27</v>
      </c>
      <c r="B1315" s="466" t="s">
        <v>67</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3">
      <c r="A1316" s="52" t="s">
        <v>27</v>
      </c>
      <c r="B1316" s="467" t="s">
        <v>68</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3">
      <c r="A1317" s="52" t="s">
        <v>27</v>
      </c>
      <c r="B1317" s="467" t="s">
        <v>69</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3">
      <c r="A1318" s="52" t="s">
        <v>27</v>
      </c>
      <c r="B1318" s="467" t="s">
        <v>70</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3">
      <c r="A1319" s="52" t="s">
        <v>27</v>
      </c>
      <c r="B1319" s="467" t="s">
        <v>71</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3">
      <c r="A1320" s="52" t="s">
        <v>27</v>
      </c>
      <c r="B1320" s="467" t="s">
        <v>72</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3">
      <c r="A1321" s="53" t="s">
        <v>27</v>
      </c>
      <c r="B1321" s="468" t="s">
        <v>73</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x14ac:dyDescent="0.3">
      <c r="A1322" s="106"/>
      <c r="B1322" s="469"/>
      <c r="C1322" s="106"/>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3">
      <c r="A1323" s="57" t="s">
        <v>30</v>
      </c>
      <c r="B1323" s="466" t="s">
        <v>74</v>
      </c>
      <c r="C1323" s="67" t="str">
        <f>CONCATENATE(A1323," - ",B1323)</f>
        <v>NI – Health and Social Care Trusts - Belfast Health and Social Care Trust</v>
      </c>
      <c r="D1323" s="654">
        <f t="shared" ref="D1323:E1327" si="243">I1323</f>
        <v>139590</v>
      </c>
      <c r="E1323" s="654">
        <f t="shared" si="243"/>
        <v>150331</v>
      </c>
      <c r="F1323" s="655">
        <f>G1323+H1323</f>
        <v>365871</v>
      </c>
      <c r="G1323" s="655">
        <f>SUM(M1323:CY1323)</f>
        <v>178525</v>
      </c>
      <c r="H1323" s="656">
        <f>SUM(CZ1323:GL1323)</f>
        <v>187346</v>
      </c>
      <c r="I1323" s="656">
        <f>SUM(AE1323:CY1323)</f>
        <v>139590</v>
      </c>
      <c r="J1323" s="656">
        <f>SUM(DR1323:GL1323)</f>
        <v>150331</v>
      </c>
      <c r="K1323" s="657">
        <f>SUM(M1323:AD1323)</f>
        <v>38935</v>
      </c>
      <c r="L1323" s="654">
        <f>SUM(CZ1323:DQ1323)</f>
        <v>37015</v>
      </c>
      <c r="M1323" s="657">
        <v>1910</v>
      </c>
      <c r="N1323" s="657">
        <v>2017</v>
      </c>
      <c r="O1323" s="657">
        <v>2002</v>
      </c>
      <c r="P1323" s="657">
        <v>2005</v>
      </c>
      <c r="Q1323" s="657">
        <v>2183</v>
      </c>
      <c r="R1323" s="657">
        <v>2080</v>
      </c>
      <c r="S1323" s="657">
        <v>2207</v>
      </c>
      <c r="T1323" s="657">
        <v>2246</v>
      </c>
      <c r="U1323" s="657">
        <v>2236</v>
      </c>
      <c r="V1323" s="657">
        <v>2309</v>
      </c>
      <c r="W1323" s="657">
        <v>2249</v>
      </c>
      <c r="X1323" s="657">
        <v>2330</v>
      </c>
      <c r="Y1323" s="657">
        <v>2296</v>
      </c>
      <c r="Z1323" s="657">
        <v>2211</v>
      </c>
      <c r="AA1323" s="657">
        <v>2228</v>
      </c>
      <c r="AB1323" s="657">
        <v>2249</v>
      </c>
      <c r="AC1323" s="657">
        <v>2115</v>
      </c>
      <c r="AD1323" s="657">
        <v>2062</v>
      </c>
      <c r="AE1323" s="657">
        <v>2289</v>
      </c>
      <c r="AF1323" s="657">
        <v>2993</v>
      </c>
      <c r="AG1323" s="657">
        <v>3026</v>
      </c>
      <c r="AH1323" s="657">
        <v>2617</v>
      </c>
      <c r="AI1323" s="657">
        <v>2730</v>
      </c>
      <c r="AJ1323" s="657">
        <v>2611</v>
      </c>
      <c r="AK1323" s="657">
        <v>2692</v>
      </c>
      <c r="AL1323" s="657">
        <v>2792</v>
      </c>
      <c r="AM1323" s="657">
        <v>2823</v>
      </c>
      <c r="AN1323" s="657">
        <v>2749</v>
      </c>
      <c r="AO1323" s="657">
        <v>2764</v>
      </c>
      <c r="AP1323" s="657">
        <v>2745</v>
      </c>
      <c r="AQ1323" s="657">
        <v>2713</v>
      </c>
      <c r="AR1323" s="657">
        <v>2728</v>
      </c>
      <c r="AS1323" s="657">
        <v>2756</v>
      </c>
      <c r="AT1323" s="657">
        <v>2713</v>
      </c>
      <c r="AU1323" s="657">
        <v>2616</v>
      </c>
      <c r="AV1323" s="657">
        <v>2610</v>
      </c>
      <c r="AW1323" s="657">
        <v>2545</v>
      </c>
      <c r="AX1323" s="657">
        <v>2558</v>
      </c>
      <c r="AY1323" s="657">
        <v>2519</v>
      </c>
      <c r="AZ1323" s="657">
        <v>2414</v>
      </c>
      <c r="BA1323" s="657">
        <v>2334</v>
      </c>
      <c r="BB1323" s="657">
        <v>2362</v>
      </c>
      <c r="BC1323" s="657">
        <v>2307</v>
      </c>
      <c r="BD1323" s="657">
        <v>2369</v>
      </c>
      <c r="BE1323" s="657">
        <v>2178</v>
      </c>
      <c r="BF1323" s="657">
        <v>2103</v>
      </c>
      <c r="BG1323" s="657">
        <v>1943</v>
      </c>
      <c r="BH1323" s="657">
        <v>1958</v>
      </c>
      <c r="BI1323" s="657">
        <v>1910</v>
      </c>
      <c r="BJ1323" s="657">
        <v>1998</v>
      </c>
      <c r="BK1323" s="657">
        <v>2100</v>
      </c>
      <c r="BL1323" s="657">
        <v>2116</v>
      </c>
      <c r="BM1323" s="657">
        <v>2074</v>
      </c>
      <c r="BN1323" s="657">
        <v>2267</v>
      </c>
      <c r="BO1323" s="657">
        <v>2279</v>
      </c>
      <c r="BP1323" s="657">
        <v>2334</v>
      </c>
      <c r="BQ1323" s="657">
        <v>2279</v>
      </c>
      <c r="BR1323" s="657">
        <v>2358</v>
      </c>
      <c r="BS1323" s="657">
        <v>2277</v>
      </c>
      <c r="BT1323" s="657">
        <v>2272</v>
      </c>
      <c r="BU1323" s="657">
        <v>2362</v>
      </c>
      <c r="BV1323" s="657">
        <v>2199</v>
      </c>
      <c r="BW1323" s="657">
        <v>2115</v>
      </c>
      <c r="BX1323" s="657">
        <v>2081</v>
      </c>
      <c r="BY1323" s="657">
        <v>1886</v>
      </c>
      <c r="BZ1323" s="657">
        <v>1877</v>
      </c>
      <c r="CA1323" s="657">
        <v>1703</v>
      </c>
      <c r="CB1323" s="657">
        <v>1677</v>
      </c>
      <c r="CC1323" s="657">
        <v>1554</v>
      </c>
      <c r="CD1323" s="657">
        <v>1565</v>
      </c>
      <c r="CE1323" s="657">
        <v>1335</v>
      </c>
      <c r="CF1323" s="657">
        <v>1255</v>
      </c>
      <c r="CG1323" s="657">
        <v>1316</v>
      </c>
      <c r="CH1323" s="657">
        <v>1194</v>
      </c>
      <c r="CI1323" s="657">
        <v>1141</v>
      </c>
      <c r="CJ1323" s="657">
        <v>1159</v>
      </c>
      <c r="CK1323" s="657">
        <v>1116</v>
      </c>
      <c r="CL1323" s="657">
        <v>990</v>
      </c>
      <c r="CM1323" s="657">
        <v>982</v>
      </c>
      <c r="CN1323" s="657">
        <v>979</v>
      </c>
      <c r="CO1323" s="657">
        <v>894</v>
      </c>
      <c r="CP1323" s="657">
        <v>764</v>
      </c>
      <c r="CQ1323" s="657">
        <v>635</v>
      </c>
      <c r="CR1323" s="657">
        <v>595</v>
      </c>
      <c r="CS1323" s="657">
        <v>580</v>
      </c>
      <c r="CT1323" s="657">
        <v>546</v>
      </c>
      <c r="CU1323" s="657">
        <v>469</v>
      </c>
      <c r="CV1323" s="657">
        <v>396</v>
      </c>
      <c r="CW1323" s="657">
        <v>323</v>
      </c>
      <c r="CX1323" s="657">
        <v>265</v>
      </c>
      <c r="CY1323" s="654">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3">
      <c r="A1324" s="57" t="s">
        <v>30</v>
      </c>
      <c r="B1324" s="467" t="s">
        <v>75</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3">
      <c r="A1325" s="57" t="s">
        <v>30</v>
      </c>
      <c r="B1325" s="467" t="s">
        <v>76</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3">
      <c r="A1326" s="57" t="s">
        <v>30</v>
      </c>
      <c r="B1326" s="467" t="s">
        <v>77</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3">
      <c r="A1327" s="58" t="s">
        <v>30</v>
      </c>
      <c r="B1327" s="468" t="s">
        <v>78</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x14ac:dyDescent="0.3">
      <c r="A1328" s="106"/>
      <c r="B1328" s="469"/>
      <c r="C1328" s="106"/>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3">
      <c r="A1329" s="68" t="s">
        <v>25</v>
      </c>
      <c r="B1329" s="470" t="s">
        <v>79</v>
      </c>
      <c r="C1329" s="67" t="str">
        <f>CONCATENATE(A1329," - ",B1329)</f>
        <v>NHSE regions - East of England</v>
      </c>
      <c r="D1329" s="654">
        <f t="shared" ref="D1329:E1335" si="245">I1329</f>
        <v>2472845</v>
      </c>
      <c r="E1329" s="654">
        <f t="shared" si="245"/>
        <v>2628742</v>
      </c>
      <c r="F1329" s="655">
        <f t="shared" ref="F1329:F1335" si="246">G1329+H1329</f>
        <v>6468665</v>
      </c>
      <c r="G1329" s="655">
        <f t="shared" ref="G1329:G1335" si="247">SUM(M1329:CY1329)</f>
        <v>3173297</v>
      </c>
      <c r="H1329" s="656">
        <f t="shared" ref="H1329:H1335" si="248">SUM(CZ1329:GL1329)</f>
        <v>3295368</v>
      </c>
      <c r="I1329" s="656">
        <f t="shared" ref="I1329:I1335" si="249">SUM(AE1329:CY1329)</f>
        <v>2472845</v>
      </c>
      <c r="J1329" s="656">
        <f t="shared" ref="J1329:J1335" si="250">SUM(DR1329:GL1329)</f>
        <v>2628742</v>
      </c>
      <c r="K1329" s="657">
        <f t="shared" ref="K1329:K1335" si="251">SUM(M1329:AD1329)</f>
        <v>700452</v>
      </c>
      <c r="L1329" s="654">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3">
      <c r="A1330" s="59" t="s">
        <v>25</v>
      </c>
      <c r="B1330" s="470" t="s">
        <v>80</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3">
      <c r="A1331" s="59" t="s">
        <v>25</v>
      </c>
      <c r="B1331" s="470" t="s">
        <v>81</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3">
      <c r="A1332" s="59" t="s">
        <v>25</v>
      </c>
      <c r="B1332" s="470" t="s">
        <v>82</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3">
      <c r="A1333" s="59" t="s">
        <v>25</v>
      </c>
      <c r="B1333" s="470" t="s">
        <v>83</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3">
      <c r="A1334" s="59" t="s">
        <v>25</v>
      </c>
      <c r="B1334" s="470" t="s">
        <v>84</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3">
      <c r="A1335" s="127" t="s">
        <v>25</v>
      </c>
      <c r="B1335" s="470" t="s">
        <v>85</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x14ac:dyDescent="0.3">
      <c r="A1336" s="107"/>
      <c r="B1336" s="471"/>
      <c r="C1336" s="102"/>
      <c r="D1336" s="108">
        <f>SUM(D1329:D1335)</f>
        <v>22137472</v>
      </c>
      <c r="E1336" s="108">
        <f>SUM(E1329:E1335)</f>
        <v>23554205</v>
      </c>
      <c r="F1336" s="108">
        <f>SUM(F1329:F1335)</f>
        <v>57690323</v>
      </c>
      <c r="G1336" s="108">
        <f t="shared" ref="G1336:L1336" si="254">SUM(G1329:G1335)</f>
        <v>28283074</v>
      </c>
      <c r="H1336" s="108">
        <f t="shared" si="254"/>
        <v>29407249</v>
      </c>
      <c r="I1336" s="108">
        <f t="shared" si="254"/>
        <v>22137472</v>
      </c>
      <c r="J1336" s="108">
        <f t="shared" si="254"/>
        <v>23554205</v>
      </c>
      <c r="K1336" s="108">
        <f t="shared" si="254"/>
        <v>6145602</v>
      </c>
      <c r="L1336" s="108">
        <f t="shared" si="254"/>
        <v>5853044</v>
      </c>
      <c r="M1336" s="108"/>
      <c r="N1336" s="653"/>
      <c r="O1336" s="653"/>
      <c r="P1336" s="653"/>
      <c r="Q1336" s="653"/>
      <c r="R1336" s="653"/>
      <c r="S1336" s="653"/>
      <c r="T1336" s="653"/>
      <c r="U1336" s="653"/>
      <c r="V1336" s="653"/>
      <c r="W1336" s="653"/>
      <c r="X1336" s="653"/>
      <c r="Y1336" s="653"/>
      <c r="Z1336" s="653"/>
      <c r="AA1336" s="653"/>
      <c r="AB1336" s="653"/>
      <c r="AC1336" s="653"/>
      <c r="AD1336" s="653"/>
      <c r="AE1336" s="653"/>
      <c r="AF1336" s="653"/>
      <c r="AG1336" s="653"/>
      <c r="AH1336" s="653"/>
      <c r="AI1336" s="653"/>
      <c r="AJ1336" s="653"/>
      <c r="AK1336" s="653"/>
      <c r="AL1336" s="653"/>
      <c r="AM1336" s="653"/>
      <c r="AN1336" s="653"/>
      <c r="AO1336" s="653"/>
      <c r="AP1336" s="653"/>
      <c r="AQ1336" s="653"/>
      <c r="AR1336" s="653"/>
      <c r="AS1336" s="653"/>
      <c r="AT1336" s="653"/>
      <c r="AU1336" s="653"/>
      <c r="AV1336" s="653"/>
      <c r="AW1336" s="653"/>
      <c r="AX1336" s="653"/>
      <c r="AY1336" s="653"/>
      <c r="AZ1336" s="653"/>
      <c r="BA1336" s="653"/>
      <c r="BB1336" s="653"/>
      <c r="BC1336" s="653"/>
      <c r="BD1336" s="653"/>
      <c r="BE1336" s="653"/>
      <c r="BF1336" s="653"/>
      <c r="BG1336" s="653"/>
      <c r="BH1336" s="653"/>
      <c r="BI1336" s="653"/>
      <c r="BJ1336" s="653"/>
      <c r="BK1336" s="653"/>
      <c r="BL1336" s="653"/>
      <c r="BM1336" s="653"/>
      <c r="BN1336" s="653"/>
      <c r="BO1336" s="653"/>
      <c r="BP1336" s="653"/>
      <c r="BQ1336" s="653"/>
      <c r="BR1336" s="653"/>
      <c r="BS1336" s="653"/>
      <c r="BT1336" s="653"/>
      <c r="BU1336" s="653"/>
      <c r="BV1336" s="653"/>
      <c r="BW1336" s="653"/>
      <c r="BX1336" s="653"/>
      <c r="BY1336" s="653"/>
      <c r="BZ1336" s="653"/>
      <c r="CA1336" s="653"/>
      <c r="CB1336" s="653"/>
      <c r="CC1336" s="653"/>
      <c r="CD1336" s="653"/>
      <c r="CE1336" s="653"/>
      <c r="CF1336" s="653"/>
      <c r="CG1336" s="653"/>
      <c r="CH1336" s="653"/>
      <c r="CI1336" s="653"/>
      <c r="CJ1336" s="653"/>
      <c r="CK1336" s="653"/>
      <c r="CL1336" s="653"/>
      <c r="CM1336" s="653"/>
      <c r="CN1336" s="653"/>
      <c r="CO1336" s="653"/>
      <c r="CP1336" s="653"/>
      <c r="CQ1336" s="653"/>
      <c r="CR1336" s="653"/>
      <c r="CS1336" s="653"/>
      <c r="CT1336" s="653"/>
      <c r="CU1336" s="653"/>
      <c r="CV1336" s="653"/>
      <c r="CW1336" s="653"/>
      <c r="CX1336" s="653"/>
      <c r="CY1336" s="650"/>
      <c r="CZ1336" s="108"/>
      <c r="DA1336" s="653"/>
      <c r="DB1336" s="653"/>
      <c r="DC1336" s="653"/>
      <c r="DD1336" s="653"/>
      <c r="DE1336" s="653"/>
      <c r="DF1336" s="653"/>
      <c r="DG1336" s="653"/>
      <c r="DH1336" s="653"/>
      <c r="DI1336" s="653"/>
      <c r="DJ1336" s="653"/>
      <c r="DK1336" s="653"/>
      <c r="DL1336" s="653"/>
      <c r="DM1336" s="653"/>
      <c r="DN1336" s="653"/>
      <c r="DO1336" s="653"/>
      <c r="DP1336" s="653"/>
      <c r="DQ1336" s="653"/>
      <c r="DR1336" s="653"/>
      <c r="DS1336" s="653"/>
      <c r="DT1336" s="653"/>
      <c r="DU1336" s="653"/>
      <c r="DV1336" s="653"/>
      <c r="DW1336" s="653"/>
      <c r="DX1336" s="653"/>
      <c r="DY1336" s="653"/>
      <c r="DZ1336" s="653"/>
      <c r="EA1336" s="653"/>
      <c r="EB1336" s="653"/>
      <c r="EC1336" s="653"/>
      <c r="ED1336" s="653"/>
      <c r="EE1336" s="653"/>
      <c r="EF1336" s="653"/>
      <c r="EG1336" s="653"/>
      <c r="EH1336" s="653"/>
      <c r="EI1336" s="653"/>
      <c r="EJ1336" s="653"/>
      <c r="EK1336" s="653"/>
      <c r="EL1336" s="653"/>
      <c r="EM1336" s="653"/>
      <c r="EN1336" s="653"/>
      <c r="EO1336" s="653"/>
      <c r="EP1336" s="653"/>
      <c r="EQ1336" s="653"/>
      <c r="ER1336" s="653"/>
      <c r="ES1336" s="653"/>
      <c r="ET1336" s="653"/>
      <c r="EU1336" s="653"/>
      <c r="EV1336" s="653"/>
      <c r="EW1336" s="653"/>
      <c r="EX1336" s="653"/>
      <c r="EY1336" s="653"/>
      <c r="EZ1336" s="653"/>
      <c r="FA1336" s="653"/>
      <c r="FB1336" s="653"/>
      <c r="FC1336" s="653"/>
      <c r="FD1336" s="653"/>
      <c r="FE1336" s="653"/>
      <c r="FF1336" s="653"/>
      <c r="FG1336" s="653"/>
      <c r="FH1336" s="653"/>
      <c r="FI1336" s="653"/>
      <c r="FJ1336" s="653"/>
      <c r="FK1336" s="653"/>
      <c r="FL1336" s="653"/>
      <c r="FM1336" s="653"/>
      <c r="FN1336" s="653"/>
      <c r="FO1336" s="653"/>
      <c r="FP1336" s="653"/>
      <c r="FQ1336" s="653"/>
      <c r="FR1336" s="653"/>
      <c r="FS1336" s="653"/>
      <c r="FT1336" s="653"/>
      <c r="FU1336" s="653"/>
      <c r="FV1336" s="653"/>
      <c r="FW1336" s="653"/>
      <c r="FX1336" s="653"/>
      <c r="FY1336" s="653"/>
      <c r="FZ1336" s="653"/>
      <c r="GA1336" s="653"/>
      <c r="GB1336" s="653"/>
      <c r="GC1336" s="653"/>
      <c r="GD1336" s="653"/>
      <c r="GE1336" s="653"/>
      <c r="GF1336" s="653"/>
      <c r="GG1336" s="653"/>
      <c r="GH1336" s="653"/>
      <c r="GI1336" s="653"/>
      <c r="GJ1336" s="653"/>
      <c r="GK1336" s="653"/>
      <c r="GL1336" s="650"/>
    </row>
    <row r="1337" spans="1:194" s="1" customFormat="1" x14ac:dyDescent="0.3">
      <c r="A1337" s="97" t="s">
        <v>17</v>
      </c>
      <c r="B1337" s="472" t="s">
        <v>86</v>
      </c>
      <c r="C1337" s="658"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655">
        <f t="shared" ref="G1337:G1342" si="257">SUM(M1337:CY1337)</f>
        <v>476033</v>
      </c>
      <c r="H1337" s="656">
        <f t="shared" ref="H1337:H1342" si="258">SUM(CZ1337:GL1337)</f>
        <v>487591</v>
      </c>
      <c r="I1337" s="655">
        <f t="shared" ref="I1337:I1342" si="259">SUM(AE1337:CY1337)</f>
        <v>376293</v>
      </c>
      <c r="J1337" s="93">
        <f t="shared" ref="J1337:J1342" si="260">SUM(DR1337:GL1337)</f>
        <v>392407</v>
      </c>
      <c r="K1337" s="95">
        <f t="shared" ref="K1337:K1342" si="261">SUM(M1337:AD1337)</f>
        <v>99740</v>
      </c>
      <c r="L1337" s="654">
        <f t="shared" ref="L1337:L1342" si="262">SUM(CZ1337:DQ1337)</f>
        <v>95184</v>
      </c>
      <c r="M1337" s="95">
        <v>4477</v>
      </c>
      <c r="N1337" s="657">
        <v>4861</v>
      </c>
      <c r="O1337" s="657">
        <v>4857</v>
      </c>
      <c r="P1337" s="657">
        <v>5120</v>
      </c>
      <c r="Q1337" s="657">
        <v>5340</v>
      </c>
      <c r="R1337" s="657">
        <v>5267</v>
      </c>
      <c r="S1337" s="657">
        <v>5565</v>
      </c>
      <c r="T1337" s="657">
        <v>5775</v>
      </c>
      <c r="U1337" s="657">
        <v>5677</v>
      </c>
      <c r="V1337" s="657">
        <v>5730</v>
      </c>
      <c r="W1337" s="657">
        <v>6094</v>
      </c>
      <c r="X1337" s="657">
        <v>6096</v>
      </c>
      <c r="Y1337" s="657">
        <v>6110</v>
      </c>
      <c r="Z1337" s="657">
        <v>5915</v>
      </c>
      <c r="AA1337" s="657">
        <v>5725</v>
      </c>
      <c r="AB1337" s="657">
        <v>5890</v>
      </c>
      <c r="AC1337" s="657">
        <v>5713</v>
      </c>
      <c r="AD1337" s="657">
        <v>5528</v>
      </c>
      <c r="AE1337" s="657">
        <v>6099</v>
      </c>
      <c r="AF1337" s="657">
        <v>6876</v>
      </c>
      <c r="AG1337" s="657">
        <v>6388</v>
      </c>
      <c r="AH1337" s="657">
        <v>5685</v>
      </c>
      <c r="AI1337" s="657">
        <v>5937</v>
      </c>
      <c r="AJ1337" s="657">
        <v>5922</v>
      </c>
      <c r="AK1337" s="657">
        <v>5776</v>
      </c>
      <c r="AL1337" s="657">
        <v>5647</v>
      </c>
      <c r="AM1337" s="657">
        <v>5858</v>
      </c>
      <c r="AN1337" s="657">
        <v>5531</v>
      </c>
      <c r="AO1337" s="657">
        <v>5733</v>
      </c>
      <c r="AP1337" s="657">
        <v>5627</v>
      </c>
      <c r="AQ1337" s="657">
        <v>5850</v>
      </c>
      <c r="AR1337" s="657">
        <v>5943</v>
      </c>
      <c r="AS1337" s="657">
        <v>6114</v>
      </c>
      <c r="AT1337" s="657">
        <v>6094</v>
      </c>
      <c r="AU1337" s="657">
        <v>6151</v>
      </c>
      <c r="AV1337" s="657">
        <v>6309</v>
      </c>
      <c r="AW1337" s="657">
        <v>6114</v>
      </c>
      <c r="AX1337" s="657">
        <v>6027</v>
      </c>
      <c r="AY1337" s="657">
        <v>6282</v>
      </c>
      <c r="AZ1337" s="657">
        <v>5922</v>
      </c>
      <c r="BA1337" s="657">
        <v>5871</v>
      </c>
      <c r="BB1337" s="657">
        <v>5951</v>
      </c>
      <c r="BC1337" s="657">
        <v>6020</v>
      </c>
      <c r="BD1337" s="657">
        <v>6187</v>
      </c>
      <c r="BE1337" s="657">
        <v>5775</v>
      </c>
      <c r="BF1337" s="657">
        <v>5379</v>
      </c>
      <c r="BG1337" s="657">
        <v>5331</v>
      </c>
      <c r="BH1337" s="657">
        <v>5709</v>
      </c>
      <c r="BI1337" s="657">
        <v>5799</v>
      </c>
      <c r="BJ1337" s="657">
        <v>6184</v>
      </c>
      <c r="BK1337" s="657">
        <v>6388</v>
      </c>
      <c r="BL1337" s="657">
        <v>6475</v>
      </c>
      <c r="BM1337" s="657">
        <v>6677</v>
      </c>
      <c r="BN1337" s="657">
        <v>6361</v>
      </c>
      <c r="BO1337" s="657">
        <v>6577</v>
      </c>
      <c r="BP1337" s="657">
        <v>6657</v>
      </c>
      <c r="BQ1337" s="657">
        <v>6748</v>
      </c>
      <c r="BR1337" s="657">
        <v>6835</v>
      </c>
      <c r="BS1337" s="657">
        <v>6717</v>
      </c>
      <c r="BT1337" s="657">
        <v>6662</v>
      </c>
      <c r="BU1337" s="657">
        <v>6554</v>
      </c>
      <c r="BV1337" s="657">
        <v>6364</v>
      </c>
      <c r="BW1337" s="657">
        <v>6190</v>
      </c>
      <c r="BX1337" s="657">
        <v>5814</v>
      </c>
      <c r="BY1337" s="657">
        <v>5478</v>
      </c>
      <c r="BZ1337" s="657">
        <v>5333</v>
      </c>
      <c r="CA1337" s="657">
        <v>5004</v>
      </c>
      <c r="CB1337" s="657">
        <v>4899</v>
      </c>
      <c r="CC1337" s="657">
        <v>4757</v>
      </c>
      <c r="CD1337" s="657">
        <v>4569</v>
      </c>
      <c r="CE1337" s="657">
        <v>4595</v>
      </c>
      <c r="CF1337" s="657">
        <v>4335</v>
      </c>
      <c r="CG1337" s="657">
        <v>4322</v>
      </c>
      <c r="CH1337" s="657">
        <v>4349</v>
      </c>
      <c r="CI1337" s="657">
        <v>4541</v>
      </c>
      <c r="CJ1337" s="657">
        <v>4699</v>
      </c>
      <c r="CK1337" s="657">
        <v>5003</v>
      </c>
      <c r="CL1337" s="657">
        <v>3836</v>
      </c>
      <c r="CM1337" s="657">
        <v>3450</v>
      </c>
      <c r="CN1337" s="657">
        <v>3356</v>
      </c>
      <c r="CO1337" s="657">
        <v>3094</v>
      </c>
      <c r="CP1337" s="657">
        <v>2626</v>
      </c>
      <c r="CQ1337" s="657">
        <v>2189</v>
      </c>
      <c r="CR1337" s="657">
        <v>2168</v>
      </c>
      <c r="CS1337" s="657">
        <v>2017</v>
      </c>
      <c r="CT1337" s="657">
        <v>1851</v>
      </c>
      <c r="CU1337" s="657">
        <v>1674</v>
      </c>
      <c r="CV1337" s="657">
        <v>1396</v>
      </c>
      <c r="CW1337" s="657">
        <v>1198</v>
      </c>
      <c r="CX1337" s="657">
        <v>1036</v>
      </c>
      <c r="CY1337" s="654">
        <v>3408</v>
      </c>
      <c r="CZ1337" s="95">
        <v>4214</v>
      </c>
      <c r="DA1337" s="657">
        <v>4718</v>
      </c>
      <c r="DB1337" s="657">
        <v>4671</v>
      </c>
      <c r="DC1337" s="657">
        <v>4862</v>
      </c>
      <c r="DD1337" s="657">
        <v>5065</v>
      </c>
      <c r="DE1337" s="657">
        <v>5169</v>
      </c>
      <c r="DF1337" s="657">
        <v>5321</v>
      </c>
      <c r="DG1337" s="657">
        <v>5425</v>
      </c>
      <c r="DH1337" s="657">
        <v>5397</v>
      </c>
      <c r="DI1337" s="657">
        <v>5522</v>
      </c>
      <c r="DJ1337" s="657">
        <v>5473</v>
      </c>
      <c r="DK1337" s="657">
        <v>5801</v>
      </c>
      <c r="DL1337" s="657">
        <v>5680</v>
      </c>
      <c r="DM1337" s="657">
        <v>5657</v>
      </c>
      <c r="DN1337" s="657">
        <v>5637</v>
      </c>
      <c r="DO1337" s="657">
        <v>5871</v>
      </c>
      <c r="DP1337" s="657">
        <v>5372</v>
      </c>
      <c r="DQ1337" s="657">
        <v>5329</v>
      </c>
      <c r="DR1337" s="657">
        <v>5521</v>
      </c>
      <c r="DS1337" s="657">
        <v>5756</v>
      </c>
      <c r="DT1337" s="657">
        <v>5196</v>
      </c>
      <c r="DU1337" s="657">
        <v>4940</v>
      </c>
      <c r="DV1337" s="657">
        <v>5387</v>
      </c>
      <c r="DW1337" s="657">
        <v>5054</v>
      </c>
      <c r="DX1337" s="657">
        <v>5175</v>
      </c>
      <c r="DY1337" s="657">
        <v>5324</v>
      </c>
      <c r="DZ1337" s="657">
        <v>5222</v>
      </c>
      <c r="EA1337" s="657">
        <v>5316</v>
      </c>
      <c r="EB1337" s="657">
        <v>5654</v>
      </c>
      <c r="EC1337" s="657">
        <v>5910</v>
      </c>
      <c r="ED1337" s="657">
        <v>5863</v>
      </c>
      <c r="EE1337" s="657">
        <v>6294</v>
      </c>
      <c r="EF1337" s="657">
        <v>6329</v>
      </c>
      <c r="EG1337" s="657">
        <v>6430</v>
      </c>
      <c r="EH1337" s="657">
        <v>6305</v>
      </c>
      <c r="EI1337" s="657">
        <v>6754</v>
      </c>
      <c r="EJ1337" s="657">
        <v>6280</v>
      </c>
      <c r="EK1337" s="657">
        <v>6342</v>
      </c>
      <c r="EL1337" s="657">
        <v>6424</v>
      </c>
      <c r="EM1337" s="657">
        <v>5995</v>
      </c>
      <c r="EN1337" s="657">
        <v>6316</v>
      </c>
      <c r="EO1337" s="657">
        <v>6191</v>
      </c>
      <c r="EP1337" s="657">
        <v>6133</v>
      </c>
      <c r="EQ1337" s="657">
        <v>6099</v>
      </c>
      <c r="ER1337" s="657">
        <v>6038</v>
      </c>
      <c r="ES1337" s="657">
        <v>5723</v>
      </c>
      <c r="ET1337" s="657">
        <v>5676</v>
      </c>
      <c r="EU1337" s="657">
        <v>5725</v>
      </c>
      <c r="EV1337" s="657">
        <v>6188</v>
      </c>
      <c r="EW1337" s="657">
        <v>6328</v>
      </c>
      <c r="EX1337" s="657">
        <v>6666</v>
      </c>
      <c r="EY1337" s="657">
        <v>6467</v>
      </c>
      <c r="EZ1337" s="657">
        <v>6831</v>
      </c>
      <c r="FA1337" s="657">
        <v>6705</v>
      </c>
      <c r="FB1337" s="657">
        <v>6802</v>
      </c>
      <c r="FC1337" s="657">
        <v>7051</v>
      </c>
      <c r="FD1337" s="657">
        <v>7034</v>
      </c>
      <c r="FE1337" s="657">
        <v>6862</v>
      </c>
      <c r="FF1337" s="657">
        <v>7004</v>
      </c>
      <c r="FG1337" s="657">
        <v>6690</v>
      </c>
      <c r="FH1337" s="657">
        <v>6647</v>
      </c>
      <c r="FI1337" s="657">
        <v>6662</v>
      </c>
      <c r="FJ1337" s="657">
        <v>6120</v>
      </c>
      <c r="FK1337" s="657">
        <v>5959</v>
      </c>
      <c r="FL1337" s="657">
        <v>5778</v>
      </c>
      <c r="FM1337" s="657">
        <v>5562</v>
      </c>
      <c r="FN1337" s="657">
        <v>5369</v>
      </c>
      <c r="FO1337" s="657">
        <v>5178</v>
      </c>
      <c r="FP1337" s="657">
        <v>5029</v>
      </c>
      <c r="FQ1337" s="657">
        <v>5175</v>
      </c>
      <c r="FR1337" s="657">
        <v>4921</v>
      </c>
      <c r="FS1337" s="657">
        <v>4769</v>
      </c>
      <c r="FT1337" s="657">
        <v>4774</v>
      </c>
      <c r="FU1337" s="657">
        <v>4911</v>
      </c>
      <c r="FV1337" s="657">
        <v>5048</v>
      </c>
      <c r="FW1337" s="657">
        <v>5069</v>
      </c>
      <c r="FX1337" s="657">
        <v>5634</v>
      </c>
      <c r="FY1337" s="657">
        <v>4367</v>
      </c>
      <c r="FZ1337" s="657">
        <v>4146</v>
      </c>
      <c r="GA1337" s="657">
        <v>3937</v>
      </c>
      <c r="GB1337" s="657">
        <v>3626</v>
      </c>
      <c r="GC1337" s="657">
        <v>3111</v>
      </c>
      <c r="GD1337" s="657">
        <v>2748</v>
      </c>
      <c r="GE1337" s="657">
        <v>2778</v>
      </c>
      <c r="GF1337" s="657">
        <v>2638</v>
      </c>
      <c r="GG1337" s="657">
        <v>2379</v>
      </c>
      <c r="GH1337" s="657">
        <v>2175</v>
      </c>
      <c r="GI1337" s="657">
        <v>2016</v>
      </c>
      <c r="GJ1337" s="657">
        <v>1754</v>
      </c>
      <c r="GK1337" s="657">
        <v>1482</v>
      </c>
      <c r="GL1337" s="654">
        <v>6645</v>
      </c>
    </row>
    <row r="1338" spans="1:194" s="1" customFormat="1" x14ac:dyDescent="0.3">
      <c r="A1338" s="99" t="s">
        <v>17</v>
      </c>
      <c r="B1338" s="473" t="s">
        <v>87</v>
      </c>
      <c r="C1338" s="124"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3">
      <c r="A1339" s="99" t="s">
        <v>17</v>
      </c>
      <c r="B1339" s="473" t="s">
        <v>88</v>
      </c>
      <c r="C1339" s="124"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3">
      <c r="A1340" s="99" t="s">
        <v>17</v>
      </c>
      <c r="B1340" s="473" t="s">
        <v>89</v>
      </c>
      <c r="C1340" s="124"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x14ac:dyDescent="0.3">
      <c r="A1341" s="99" t="s">
        <v>17</v>
      </c>
      <c r="B1341" s="473" t="s">
        <v>90</v>
      </c>
      <c r="C1341" s="124"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x14ac:dyDescent="0.3">
      <c r="A1342" s="99" t="s">
        <v>17</v>
      </c>
      <c r="B1342" s="473" t="s">
        <v>91</v>
      </c>
      <c r="C1342" s="124"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x14ac:dyDescent="0.3">
      <c r="A1343" s="99" t="s">
        <v>17</v>
      </c>
      <c r="B1343" s="473" t="s">
        <v>92</v>
      </c>
      <c r="C1343" s="124"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x14ac:dyDescent="0.3">
      <c r="A1344" s="99" t="s">
        <v>17</v>
      </c>
      <c r="B1344" s="473" t="s">
        <v>93</v>
      </c>
      <c r="C1344" s="124"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x14ac:dyDescent="0.3">
      <c r="A1345" s="99" t="s">
        <v>17</v>
      </c>
      <c r="B1345" s="473" t="s">
        <v>94</v>
      </c>
      <c r="C1345" s="124"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x14ac:dyDescent="0.3">
      <c r="A1346" s="99" t="s">
        <v>17</v>
      </c>
      <c r="B1346" s="473" t="s">
        <v>95</v>
      </c>
      <c r="C1346" s="124"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x14ac:dyDescent="0.3">
      <c r="A1347" s="99" t="s">
        <v>17</v>
      </c>
      <c r="B1347" s="473" t="s">
        <v>96</v>
      </c>
      <c r="C1347" s="124"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x14ac:dyDescent="0.3">
      <c r="A1348" s="99" t="s">
        <v>17</v>
      </c>
      <c r="B1348" s="473" t="s">
        <v>97</v>
      </c>
      <c r="C1348" s="124"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x14ac:dyDescent="0.3">
      <c r="A1349" s="99" t="s">
        <v>17</v>
      </c>
      <c r="B1349" s="473" t="s">
        <v>98</v>
      </c>
      <c r="C1349" s="124"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x14ac:dyDescent="0.3">
      <c r="A1350" s="99" t="s">
        <v>17</v>
      </c>
      <c r="B1350" s="473" t="s">
        <v>99</v>
      </c>
      <c r="C1350" s="124"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x14ac:dyDescent="0.3">
      <c r="A1351" s="99" t="s">
        <v>17</v>
      </c>
      <c r="B1351" s="473" t="s">
        <v>100</v>
      </c>
      <c r="C1351" s="124"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x14ac:dyDescent="0.3">
      <c r="A1352" s="99" t="s">
        <v>17</v>
      </c>
      <c r="B1352" s="473" t="s">
        <v>101</v>
      </c>
      <c r="C1352" s="124"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x14ac:dyDescent="0.3">
      <c r="A1353" s="99" t="s">
        <v>17</v>
      </c>
      <c r="B1353" s="473" t="s">
        <v>102</v>
      </c>
      <c r="C1353" s="124"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x14ac:dyDescent="0.3">
      <c r="A1354" s="99" t="s">
        <v>17</v>
      </c>
      <c r="B1354" s="473" t="s">
        <v>103</v>
      </c>
      <c r="C1354" s="124"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x14ac:dyDescent="0.3">
      <c r="A1355" s="99" t="s">
        <v>17</v>
      </c>
      <c r="B1355" s="473" t="s">
        <v>104</v>
      </c>
      <c r="C1355" s="124"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x14ac:dyDescent="0.3">
      <c r="A1356" s="99" t="s">
        <v>17</v>
      </c>
      <c r="B1356" s="473" t="s">
        <v>105</v>
      </c>
      <c r="C1356" s="124"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x14ac:dyDescent="0.3">
      <c r="A1357" s="99" t="s">
        <v>17</v>
      </c>
      <c r="B1357" s="473" t="s">
        <v>106</v>
      </c>
      <c r="C1357" s="124"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x14ac:dyDescent="0.3">
      <c r="A1358" s="99" t="s">
        <v>17</v>
      </c>
      <c r="B1358" s="473" t="s">
        <v>107</v>
      </c>
      <c r="C1358" s="124"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x14ac:dyDescent="0.3">
      <c r="A1359" s="99" t="s">
        <v>17</v>
      </c>
      <c r="B1359" s="473" t="s">
        <v>108</v>
      </c>
      <c r="C1359" s="124"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x14ac:dyDescent="0.3">
      <c r="A1360" s="99" t="s">
        <v>17</v>
      </c>
      <c r="B1360" s="473" t="s">
        <v>109</v>
      </c>
      <c r="C1360" s="124"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x14ac:dyDescent="0.3">
      <c r="A1361" s="99" t="s">
        <v>17</v>
      </c>
      <c r="B1361" s="473" t="s">
        <v>110</v>
      </c>
      <c r="C1361" s="124"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x14ac:dyDescent="0.3">
      <c r="A1362" s="99" t="s">
        <v>17</v>
      </c>
      <c r="B1362" s="473" t="s">
        <v>111</v>
      </c>
      <c r="C1362" s="124"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x14ac:dyDescent="0.3">
      <c r="A1363" s="99" t="s">
        <v>17</v>
      </c>
      <c r="B1363" s="473" t="s">
        <v>112</v>
      </c>
      <c r="C1363" s="124"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x14ac:dyDescent="0.3">
      <c r="A1364" s="99" t="s">
        <v>17</v>
      </c>
      <c r="B1364" s="473" t="s">
        <v>113</v>
      </c>
      <c r="C1364" s="124"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x14ac:dyDescent="0.3">
      <c r="A1365" s="99" t="s">
        <v>17</v>
      </c>
      <c r="B1365" s="473" t="s">
        <v>114</v>
      </c>
      <c r="C1365" s="124"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x14ac:dyDescent="0.3">
      <c r="A1366" s="99" t="s">
        <v>17</v>
      </c>
      <c r="B1366" s="473" t="s">
        <v>115</v>
      </c>
      <c r="C1366" s="124"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x14ac:dyDescent="0.3">
      <c r="A1367" s="99" t="s">
        <v>17</v>
      </c>
      <c r="B1367" s="473" t="s">
        <v>116</v>
      </c>
      <c r="C1367" s="124"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x14ac:dyDescent="0.3">
      <c r="A1368" s="99" t="s">
        <v>17</v>
      </c>
      <c r="B1368" s="473" t="s">
        <v>117</v>
      </c>
      <c r="C1368" s="124"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x14ac:dyDescent="0.3">
      <c r="A1369" s="99" t="s">
        <v>17</v>
      </c>
      <c r="B1369" s="473" t="s">
        <v>118</v>
      </c>
      <c r="C1369" s="124"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x14ac:dyDescent="0.3">
      <c r="A1370" s="99" t="s">
        <v>17</v>
      </c>
      <c r="B1370" s="473" t="s">
        <v>119</v>
      </c>
      <c r="C1370" s="124"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x14ac:dyDescent="0.3">
      <c r="A1371" s="99" t="s">
        <v>17</v>
      </c>
      <c r="B1371" s="473" t="s">
        <v>120</v>
      </c>
      <c r="C1371" s="124"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x14ac:dyDescent="0.3">
      <c r="A1372" s="99" t="s">
        <v>17</v>
      </c>
      <c r="B1372" s="473" t="s">
        <v>121</v>
      </c>
      <c r="C1372" s="124"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x14ac:dyDescent="0.3">
      <c r="A1373" s="99" t="s">
        <v>17</v>
      </c>
      <c r="B1373" s="473" t="s">
        <v>122</v>
      </c>
      <c r="C1373" s="124"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x14ac:dyDescent="0.3">
      <c r="A1374" s="99" t="s">
        <v>17</v>
      </c>
      <c r="B1374" s="473" t="s">
        <v>123</v>
      </c>
      <c r="C1374" s="124"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3">
      <c r="A1375" s="99" t="s">
        <v>17</v>
      </c>
      <c r="B1375" s="473" t="s">
        <v>124</v>
      </c>
      <c r="C1375" s="124"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3">
      <c r="A1376" s="99" t="s">
        <v>17</v>
      </c>
      <c r="B1376" s="473" t="s">
        <v>125</v>
      </c>
      <c r="C1376" s="124"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3">
      <c r="A1377" s="99" t="s">
        <v>17</v>
      </c>
      <c r="B1377" s="473" t="s">
        <v>126</v>
      </c>
      <c r="C1377" s="124"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3">
      <c r="A1378" s="99" t="s">
        <v>17</v>
      </c>
      <c r="B1378" s="473" t="s">
        <v>127</v>
      </c>
      <c r="C1378" s="124"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x14ac:dyDescent="0.3">
      <c r="A1379" s="102"/>
      <c r="B1379" s="474"/>
      <c r="C1379" s="109"/>
      <c r="D1379" s="122">
        <f t="shared" ref="D1379:L1379" si="282">SUM(D1337:D1378)</f>
        <v>22137472</v>
      </c>
      <c r="E1379" s="122">
        <f t="shared" si="282"/>
        <v>23554205</v>
      </c>
      <c r="F1379" s="122">
        <f t="shared" si="282"/>
        <v>57690323</v>
      </c>
      <c r="G1379" s="122">
        <f t="shared" si="282"/>
        <v>28283074</v>
      </c>
      <c r="H1379" s="122">
        <f t="shared" si="282"/>
        <v>29407249</v>
      </c>
      <c r="I1379" s="122">
        <f t="shared" si="282"/>
        <v>22137472</v>
      </c>
      <c r="J1379" s="122">
        <f t="shared" si="282"/>
        <v>23554205</v>
      </c>
      <c r="K1379" s="122">
        <f t="shared" si="282"/>
        <v>6145602</v>
      </c>
      <c r="L1379" s="122">
        <f t="shared" si="282"/>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3">
      <c r="A1380" s="29" t="s">
        <v>46</v>
      </c>
      <c r="B1380" s="1" t="s">
        <v>128</v>
      </c>
      <c r="C1380" s="67" t="str">
        <f>CONCATENATE(A1380," - ",B1380)</f>
        <v>LA England - Adur</v>
      </c>
      <c r="D1380" s="654">
        <f t="shared" ref="D1380:D1444" si="283">I1380</f>
        <v>24508</v>
      </c>
      <c r="E1380" s="654">
        <f t="shared" ref="E1380:E1444" si="284">J1380</f>
        <v>27095</v>
      </c>
      <c r="F1380" s="655">
        <f t="shared" ref="F1380:F1444" si="285">G1380+H1380</f>
        <v>64687</v>
      </c>
      <c r="G1380" s="655">
        <f t="shared" ref="G1380:G1444" si="286">SUM(M1380:CY1380)</f>
        <v>31332</v>
      </c>
      <c r="H1380" s="656">
        <f t="shared" ref="H1380:H1444" si="287">SUM(CZ1380:GL1380)</f>
        <v>33355</v>
      </c>
      <c r="I1380" s="656">
        <f t="shared" ref="I1380:I1444" si="288">SUM(AE1380:CY1380)</f>
        <v>24508</v>
      </c>
      <c r="J1380" s="656">
        <f t="shared" ref="J1380:J1444" si="289">SUM(DR1380:GL1380)</f>
        <v>27095</v>
      </c>
      <c r="K1380" s="48">
        <f t="shared" ref="K1380:K1444" si="290">SUM(M1380:AD1380)</f>
        <v>6824</v>
      </c>
      <c r="L1380" s="654">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3">
      <c r="A1381" s="29" t="s">
        <v>46</v>
      </c>
      <c r="B1381" s="1" t="s">
        <v>129</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3">
      <c r="A1382" s="29" t="s">
        <v>46</v>
      </c>
      <c r="B1382" s="1" t="s">
        <v>130</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3">
      <c r="A1383" s="29" t="s">
        <v>46</v>
      </c>
      <c r="B1383" s="1" t="s">
        <v>131</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3">
      <c r="A1384" s="29" t="s">
        <v>46</v>
      </c>
      <c r="B1384" s="1" t="s">
        <v>132</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3">
      <c r="A1385" s="29" t="s">
        <v>46</v>
      </c>
      <c r="B1385" s="1" t="s">
        <v>133</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3">
      <c r="A1386" s="29" t="s">
        <v>46</v>
      </c>
      <c r="B1386" s="1" t="s">
        <v>134</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3">
      <c r="A1387" s="29" t="s">
        <v>46</v>
      </c>
      <c r="B1387" s="1" t="s">
        <v>135</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3">
      <c r="A1388" s="29" t="s">
        <v>46</v>
      </c>
      <c r="B1388" s="1" t="s">
        <v>136</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3">
      <c r="A1389" s="29" t="s">
        <v>46</v>
      </c>
      <c r="B1389" s="1" t="s">
        <v>137</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3">
      <c r="A1390" s="29" t="s">
        <v>46</v>
      </c>
      <c r="B1390" s="1" t="s">
        <v>138</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3">
      <c r="A1391" s="29" t="s">
        <v>46</v>
      </c>
      <c r="B1391" s="1" t="s">
        <v>139</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3">
      <c r="A1392" s="29" t="s">
        <v>46</v>
      </c>
      <c r="B1392" s="1" t="s">
        <v>140</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3">
      <c r="A1393" s="29" t="s">
        <v>46</v>
      </c>
      <c r="B1393" s="1" t="s">
        <v>141</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3">
      <c r="A1394" s="29" t="s">
        <v>46</v>
      </c>
      <c r="B1394" s="1" t="s">
        <v>142</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3">
      <c r="A1395" s="29" t="s">
        <v>46</v>
      </c>
      <c r="B1395" s="1" t="s">
        <v>143</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3">
      <c r="A1396" s="29" t="s">
        <v>46</v>
      </c>
      <c r="B1396" s="1" t="s">
        <v>144</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3">
      <c r="A1397" s="29" t="s">
        <v>46</v>
      </c>
      <c r="B1397" s="1" t="s">
        <v>145</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3">
      <c r="A1398" s="29" t="s">
        <v>46</v>
      </c>
      <c r="B1398" s="1" t="s">
        <v>146</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3">
      <c r="A1399" s="29" t="s">
        <v>46</v>
      </c>
      <c r="B1399" s="1" t="s">
        <v>147</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3">
      <c r="A1400" s="29" t="s">
        <v>46</v>
      </c>
      <c r="B1400" s="1" t="s">
        <v>148</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3">
      <c r="A1401" s="29" t="s">
        <v>46</v>
      </c>
      <c r="B1401" s="1" t="s">
        <v>149</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3">
      <c r="A1402" s="29" t="s">
        <v>46</v>
      </c>
      <c r="B1402" s="1" t="s">
        <v>150</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3">
      <c r="A1403" s="29" t="s">
        <v>46</v>
      </c>
      <c r="B1403" s="1" t="s">
        <v>151</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3">
      <c r="A1404" s="29" t="s">
        <v>46</v>
      </c>
      <c r="B1404" s="1" t="s">
        <v>152</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3">
      <c r="A1405" s="29" t="s">
        <v>46</v>
      </c>
      <c r="B1405" s="1" t="s">
        <v>153</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3">
      <c r="A1406" s="29" t="s">
        <v>46</v>
      </c>
      <c r="B1406" s="1" t="s">
        <v>154</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3">
      <c r="A1407" s="29" t="s">
        <v>46</v>
      </c>
      <c r="B1407" s="1" t="s">
        <v>155</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3">
      <c r="A1408" s="29" t="s">
        <v>46</v>
      </c>
      <c r="B1408" s="1" t="s">
        <v>156</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3">
      <c r="A1409" s="29" t="s">
        <v>46</v>
      </c>
      <c r="B1409" s="1" t="s">
        <v>157</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3">
      <c r="A1410" s="29" t="s">
        <v>46</v>
      </c>
      <c r="B1410" s="1" t="s">
        <v>158</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3">
      <c r="A1411" s="29" t="s">
        <v>46</v>
      </c>
      <c r="B1411" s="1" t="s">
        <v>159</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3">
      <c r="A1412" s="29" t="s">
        <v>46</v>
      </c>
      <c r="B1412" s="1" t="s">
        <v>160</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3">
      <c r="A1413" s="29" t="s">
        <v>46</v>
      </c>
      <c r="B1413" s="1" t="s">
        <v>161</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3">
      <c r="A1414" s="29" t="s">
        <v>46</v>
      </c>
      <c r="B1414" s="1" t="s">
        <v>162</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3">
      <c r="A1415" s="29" t="s">
        <v>46</v>
      </c>
      <c r="B1415" s="1" t="s">
        <v>163</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3">
      <c r="A1416" s="29" t="s">
        <v>46</v>
      </c>
      <c r="B1416" s="1" t="s">
        <v>164</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3">
      <c r="A1417" s="29" t="s">
        <v>46</v>
      </c>
      <c r="B1417" s="1" t="s">
        <v>165</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3">
      <c r="A1418" s="29" t="s">
        <v>46</v>
      </c>
      <c r="B1418" s="1" t="s">
        <v>166</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3">
      <c r="A1419" s="29" t="s">
        <v>46</v>
      </c>
      <c r="B1419" s="1" t="s">
        <v>167</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3">
      <c r="A1420" s="29" t="s">
        <v>46</v>
      </c>
      <c r="B1420" s="1" t="s">
        <v>168</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3">
      <c r="A1421" s="29" t="s">
        <v>46</v>
      </c>
      <c r="B1421" s="1" t="s">
        <v>169</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3">
      <c r="A1422" s="29" t="s">
        <v>46</v>
      </c>
      <c r="B1422" s="1" t="s">
        <v>170</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3">
      <c r="A1423" s="29" t="s">
        <v>46</v>
      </c>
      <c r="B1423" s="1" t="s">
        <v>171</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3">
      <c r="A1424" s="29" t="s">
        <v>46</v>
      </c>
      <c r="B1424" s="1" t="s">
        <v>172</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3">
      <c r="A1425" s="29" t="s">
        <v>46</v>
      </c>
      <c r="B1425" s="1" t="s">
        <v>173</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3">
      <c r="A1426" s="29" t="s">
        <v>46</v>
      </c>
      <c r="B1426" s="1" t="s">
        <v>174</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3">
      <c r="A1427" s="29" t="s">
        <v>46</v>
      </c>
      <c r="B1427" s="1" t="s">
        <v>175</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3">
      <c r="A1428" s="29" t="s">
        <v>46</v>
      </c>
      <c r="B1428" s="1" t="s">
        <v>176</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3">
      <c r="A1429" s="29" t="s">
        <v>46</v>
      </c>
      <c r="B1429" s="1" t="s">
        <v>177</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3">
      <c r="A1430" s="29" t="s">
        <v>46</v>
      </c>
      <c r="B1430" s="1" t="s">
        <v>178</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3">
      <c r="A1431" s="29" t="s">
        <v>46</v>
      </c>
      <c r="B1431" s="1" t="s">
        <v>179</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3">
      <c r="A1432" s="29" t="s">
        <v>46</v>
      </c>
      <c r="B1432" s="1" t="s">
        <v>180</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3">
      <c r="A1433" s="29" t="s">
        <v>46</v>
      </c>
      <c r="B1433" s="1" t="s">
        <v>181</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3">
      <c r="A1434" s="29" t="s">
        <v>46</v>
      </c>
      <c r="B1434" s="1" t="s">
        <v>182</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3">
      <c r="A1435" s="29" t="s">
        <v>46</v>
      </c>
      <c r="B1435" s="1" t="s">
        <v>183</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3">
      <c r="A1436" s="29" t="s">
        <v>46</v>
      </c>
      <c r="B1436" s="1" t="s">
        <v>184</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3">
      <c r="A1437" s="29" t="s">
        <v>46</v>
      </c>
      <c r="B1437" s="1" t="s">
        <v>185</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3">
      <c r="A1438" s="29" t="s">
        <v>46</v>
      </c>
      <c r="B1438" s="1" t="s">
        <v>186</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3">
      <c r="A1439" s="29" t="s">
        <v>46</v>
      </c>
      <c r="B1439" s="1" t="s">
        <v>187</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3">
      <c r="A1440" s="29" t="s">
        <v>46</v>
      </c>
      <c r="B1440" s="1" t="s">
        <v>188</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3">
      <c r="A1441" s="29" t="s">
        <v>46</v>
      </c>
      <c r="B1441" s="1" t="s">
        <v>189</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3">
      <c r="A1442" s="29" t="s">
        <v>46</v>
      </c>
      <c r="B1442" s="1" t="s">
        <v>190</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3">
      <c r="A1443" s="29" t="s">
        <v>46</v>
      </c>
      <c r="B1443" s="1" t="s">
        <v>191</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3">
      <c r="A1444" s="29" t="s">
        <v>46</v>
      </c>
      <c r="B1444" s="1" t="s">
        <v>192</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3">
      <c r="A1445" s="29" t="s">
        <v>46</v>
      </c>
      <c r="B1445" s="1" t="s">
        <v>193</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3">
      <c r="A1446" s="29" t="s">
        <v>46</v>
      </c>
      <c r="B1446" s="1" t="s">
        <v>194</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3">
      <c r="A1447" s="29" t="s">
        <v>46</v>
      </c>
      <c r="B1447" s="1" t="s">
        <v>195</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3">
      <c r="A1448" s="29" t="s">
        <v>46</v>
      </c>
      <c r="B1448" s="1" t="s">
        <v>196</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3">
      <c r="A1449" s="29" t="s">
        <v>46</v>
      </c>
      <c r="B1449" s="1" t="s">
        <v>197</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3">
      <c r="A1450" s="29" t="s">
        <v>46</v>
      </c>
      <c r="B1450" s="1" t="s">
        <v>198</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3">
      <c r="A1451" s="29" t="s">
        <v>46</v>
      </c>
      <c r="B1451" s="1" t="s">
        <v>199</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3">
      <c r="A1452" s="29" t="s">
        <v>46</v>
      </c>
      <c r="B1452" s="1" t="s">
        <v>200</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3">
      <c r="A1453" s="29" t="s">
        <v>46</v>
      </c>
      <c r="B1453" s="1" t="s">
        <v>201</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3">
      <c r="A1454" s="29" t="s">
        <v>46</v>
      </c>
      <c r="B1454" s="1" t="s">
        <v>202</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3">
      <c r="A1455" s="29" t="s">
        <v>46</v>
      </c>
      <c r="B1455" s="1" t="s">
        <v>203</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3">
      <c r="A1456" s="29" t="s">
        <v>46</v>
      </c>
      <c r="B1456" s="1" t="s">
        <v>204</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3">
      <c r="A1457" s="29" t="s">
        <v>46</v>
      </c>
      <c r="B1457" s="1" t="s">
        <v>205</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3">
      <c r="A1458" s="29" t="s">
        <v>46</v>
      </c>
      <c r="B1458" s="1" t="s">
        <v>206</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3">
      <c r="A1459" s="29" t="s">
        <v>46</v>
      </c>
      <c r="B1459" s="1" t="s">
        <v>207</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3">
      <c r="A1460" s="29" t="s">
        <v>46</v>
      </c>
      <c r="B1460" s="1" t="s">
        <v>208</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3">
      <c r="A1461" s="29" t="s">
        <v>46</v>
      </c>
      <c r="B1461" s="1" t="s">
        <v>209</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3">
      <c r="A1462" s="29" t="s">
        <v>46</v>
      </c>
      <c r="B1462" s="1" t="s">
        <v>210</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3">
      <c r="A1463" s="29" t="s">
        <v>46</v>
      </c>
      <c r="B1463" s="1" t="s">
        <v>211</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3">
      <c r="A1464" s="29" t="s">
        <v>46</v>
      </c>
      <c r="B1464" s="1" t="s">
        <v>212</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3">
      <c r="A1465" s="29" t="s">
        <v>46</v>
      </c>
      <c r="B1465" s="1" t="s">
        <v>213</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3">
      <c r="A1466" s="29" t="s">
        <v>46</v>
      </c>
      <c r="B1466" s="1" t="s">
        <v>214</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3">
      <c r="A1467" s="29" t="s">
        <v>46</v>
      </c>
      <c r="B1467" s="1" t="s">
        <v>215</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3">
      <c r="A1468" s="29" t="s">
        <v>46</v>
      </c>
      <c r="B1468" s="1" t="s">
        <v>216</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3">
      <c r="A1469" s="29" t="s">
        <v>46</v>
      </c>
      <c r="B1469" s="1" t="s">
        <v>217</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3">
      <c r="A1470" s="29" t="s">
        <v>46</v>
      </c>
      <c r="B1470" s="1" t="s">
        <v>218</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3">
      <c r="A1471" s="29" t="s">
        <v>46</v>
      </c>
      <c r="B1471" s="1" t="s">
        <v>219</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3">
      <c r="A1472" s="29" t="s">
        <v>46</v>
      </c>
      <c r="B1472" s="1" t="s">
        <v>220</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3">
      <c r="A1473" s="29" t="s">
        <v>46</v>
      </c>
      <c r="B1473" s="1" t="s">
        <v>221</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3">
      <c r="A1474" s="29" t="s">
        <v>46</v>
      </c>
      <c r="B1474" s="1" t="s">
        <v>222</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3">
      <c r="A1475" s="29" t="s">
        <v>46</v>
      </c>
      <c r="B1475" s="1" t="s">
        <v>223</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3">
      <c r="A1476" s="29" t="s">
        <v>46</v>
      </c>
      <c r="B1476" s="1" t="s">
        <v>224</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3">
      <c r="A1477" s="29" t="s">
        <v>46</v>
      </c>
      <c r="B1477" s="1" t="s">
        <v>225</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3">
      <c r="A1478" s="29" t="s">
        <v>46</v>
      </c>
      <c r="B1478" s="1" t="s">
        <v>226</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3">
      <c r="A1479" s="29" t="s">
        <v>46</v>
      </c>
      <c r="B1479" s="1" t="s">
        <v>227</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3">
      <c r="A1480" s="29" t="s">
        <v>46</v>
      </c>
      <c r="B1480" s="1" t="s">
        <v>228</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3">
      <c r="A1481" s="29" t="s">
        <v>46</v>
      </c>
      <c r="B1481" s="1" t="s">
        <v>229</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3">
      <c r="A1482" s="29" t="s">
        <v>46</v>
      </c>
      <c r="B1482" s="1" t="s">
        <v>230</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3">
      <c r="A1483" s="29" t="s">
        <v>46</v>
      </c>
      <c r="B1483" s="1" t="s">
        <v>231</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3">
      <c r="A1484" s="29" t="s">
        <v>46</v>
      </c>
      <c r="B1484" s="1" t="s">
        <v>232</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3">
      <c r="A1485" s="29" t="s">
        <v>46</v>
      </c>
      <c r="B1485" s="1" t="s">
        <v>233</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3">
      <c r="A1486" s="29" t="s">
        <v>46</v>
      </c>
      <c r="B1486" s="1" t="s">
        <v>234</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3">
      <c r="A1487" s="29" t="s">
        <v>46</v>
      </c>
      <c r="B1487" s="1" t="s">
        <v>235</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3">
      <c r="A1488" s="29" t="s">
        <v>46</v>
      </c>
      <c r="B1488" s="1" t="s">
        <v>236</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3">
      <c r="A1489" s="29" t="s">
        <v>46</v>
      </c>
      <c r="B1489" s="1" t="s">
        <v>237</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3">
      <c r="A1490" s="29" t="s">
        <v>46</v>
      </c>
      <c r="B1490" s="1" t="s">
        <v>238</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3">
      <c r="A1491" s="29" t="s">
        <v>46</v>
      </c>
      <c r="B1491" s="1" t="s">
        <v>239</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3">
      <c r="A1492" s="29" t="s">
        <v>46</v>
      </c>
      <c r="B1492" s="1" t="s">
        <v>240</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3">
      <c r="A1493" s="29" t="s">
        <v>46</v>
      </c>
      <c r="B1493" s="1" t="s">
        <v>241</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3">
      <c r="A1494" s="29" t="s">
        <v>46</v>
      </c>
      <c r="B1494" s="1" t="s">
        <v>242</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3">
      <c r="A1495" s="29" t="s">
        <v>46</v>
      </c>
      <c r="B1495" s="1" t="s">
        <v>243</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3">
      <c r="A1496" s="29" t="s">
        <v>46</v>
      </c>
      <c r="B1496" s="1" t="s">
        <v>244</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3">
      <c r="A1497" s="29" t="s">
        <v>46</v>
      </c>
      <c r="B1497" s="1" t="s">
        <v>245</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3">
      <c r="A1498" s="29" t="s">
        <v>46</v>
      </c>
      <c r="B1498" s="1" t="s">
        <v>246</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3">
      <c r="A1499" s="29" t="s">
        <v>46</v>
      </c>
      <c r="B1499" s="1" t="s">
        <v>247</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3">
      <c r="A1500" s="29" t="s">
        <v>46</v>
      </c>
      <c r="B1500" s="1" t="s">
        <v>248</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3">
      <c r="A1501" s="29" t="s">
        <v>46</v>
      </c>
      <c r="B1501" s="1" t="s">
        <v>249</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3">
      <c r="A1502" s="29" t="s">
        <v>46</v>
      </c>
      <c r="B1502" s="1" t="s">
        <v>250</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3">
      <c r="A1503" s="29" t="s">
        <v>46</v>
      </c>
      <c r="B1503" s="1" t="s">
        <v>251</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3">
      <c r="A1504" s="29" t="s">
        <v>46</v>
      </c>
      <c r="B1504" s="1" t="s">
        <v>252</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3">
      <c r="A1505" s="29" t="s">
        <v>46</v>
      </c>
      <c r="B1505" s="1" t="s">
        <v>253</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3">
      <c r="A1506" s="29" t="s">
        <v>46</v>
      </c>
      <c r="B1506" s="1" t="s">
        <v>254</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3">
      <c r="A1507" s="29" t="s">
        <v>46</v>
      </c>
      <c r="B1507" s="1" t="s">
        <v>255</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3">
      <c r="A1508" s="29" t="s">
        <v>46</v>
      </c>
      <c r="B1508" s="1" t="s">
        <v>256</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3">
      <c r="A1509" s="29" t="s">
        <v>46</v>
      </c>
      <c r="B1509" s="1" t="s">
        <v>257</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3">
      <c r="A1510" s="29" t="s">
        <v>46</v>
      </c>
      <c r="B1510" s="1" t="s">
        <v>258</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3">
      <c r="A1511" s="29" t="s">
        <v>46</v>
      </c>
      <c r="B1511" s="1" t="s">
        <v>259</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3">
      <c r="A1512" s="29" t="s">
        <v>46</v>
      </c>
      <c r="B1512" s="1" t="s">
        <v>260</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3">
      <c r="A1513" s="29" t="s">
        <v>46</v>
      </c>
      <c r="B1513" s="1" t="s">
        <v>261</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3">
      <c r="A1514" s="29" t="s">
        <v>46</v>
      </c>
      <c r="B1514" s="1" t="s">
        <v>262</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3">
      <c r="A1515" s="29" t="s">
        <v>46</v>
      </c>
      <c r="B1515" s="1" t="s">
        <v>263</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3">
      <c r="A1516" s="29" t="s">
        <v>46</v>
      </c>
      <c r="B1516" s="1" t="s">
        <v>264</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3">
      <c r="A1517" s="29" t="s">
        <v>46</v>
      </c>
      <c r="B1517" s="1" t="s">
        <v>265</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3">
      <c r="A1518" s="29" t="s">
        <v>46</v>
      </c>
      <c r="B1518" s="1" t="s">
        <v>266</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3">
      <c r="A1519" s="29" t="s">
        <v>46</v>
      </c>
      <c r="B1519" s="1" t="s">
        <v>267</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3">
      <c r="A1520" s="29" t="s">
        <v>46</v>
      </c>
      <c r="B1520" s="1" t="s">
        <v>268</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3">
      <c r="A1521" s="29" t="s">
        <v>46</v>
      </c>
      <c r="B1521" s="1" t="s">
        <v>269</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3">
      <c r="A1522" s="29" t="s">
        <v>46</v>
      </c>
      <c r="B1522" s="1" t="s">
        <v>270</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3">
      <c r="A1523" s="29" t="s">
        <v>46</v>
      </c>
      <c r="B1523" s="1" t="s">
        <v>271</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3">
      <c r="A1524" s="29" t="s">
        <v>46</v>
      </c>
      <c r="B1524" s="1" t="s">
        <v>272</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3">
      <c r="A1525" s="29" t="s">
        <v>46</v>
      </c>
      <c r="B1525" s="1" t="s">
        <v>273</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3">
      <c r="A1526" s="29" t="s">
        <v>46</v>
      </c>
      <c r="B1526" s="1" t="s">
        <v>274</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3">
      <c r="A1527" s="29" t="s">
        <v>46</v>
      </c>
      <c r="B1527" s="1" t="s">
        <v>275</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3">
      <c r="A1528" s="29" t="s">
        <v>46</v>
      </c>
      <c r="B1528" s="1" t="s">
        <v>276</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3">
      <c r="A1529" s="29" t="s">
        <v>46</v>
      </c>
      <c r="B1529" s="1" t="s">
        <v>277</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3">
      <c r="A1530" s="29" t="s">
        <v>46</v>
      </c>
      <c r="B1530" s="1" t="s">
        <v>278</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3">
      <c r="A1531" s="29" t="s">
        <v>46</v>
      </c>
      <c r="B1531" s="1" t="s">
        <v>279</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3">
      <c r="A1532" s="29" t="s">
        <v>46</v>
      </c>
      <c r="B1532" s="1" t="s">
        <v>280</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3">
      <c r="A1533" s="29" t="s">
        <v>46</v>
      </c>
      <c r="B1533" s="1" t="s">
        <v>281</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3">
      <c r="A1534" s="29" t="s">
        <v>46</v>
      </c>
      <c r="B1534" s="1" t="s">
        <v>282</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3">
      <c r="A1535" s="29" t="s">
        <v>46</v>
      </c>
      <c r="B1535" s="1" t="s">
        <v>283</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3">
      <c r="A1536" s="29" t="s">
        <v>46</v>
      </c>
      <c r="B1536" s="1" t="s">
        <v>284</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3">
      <c r="A1537" s="29" t="s">
        <v>46</v>
      </c>
      <c r="B1537" s="1" t="s">
        <v>285</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3">
      <c r="A1538" s="29" t="s">
        <v>46</v>
      </c>
      <c r="B1538" s="1" t="s">
        <v>286</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3">
      <c r="A1539" s="29" t="s">
        <v>46</v>
      </c>
      <c r="B1539" s="1" t="s">
        <v>287</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3">
      <c r="A1540" s="29" t="s">
        <v>46</v>
      </c>
      <c r="B1540" s="1" t="s">
        <v>288</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3">
      <c r="A1541" s="29" t="s">
        <v>46</v>
      </c>
      <c r="B1541" s="1" t="s">
        <v>289</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3">
      <c r="A1542" s="29" t="s">
        <v>46</v>
      </c>
      <c r="B1542" s="1" t="s">
        <v>290</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3">
      <c r="A1543" s="29" t="s">
        <v>46</v>
      </c>
      <c r="B1543" s="1" t="s">
        <v>291</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3">
      <c r="A1544" s="29" t="s">
        <v>46</v>
      </c>
      <c r="B1544" s="1" t="s">
        <v>292</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3">
      <c r="A1545" s="29" t="s">
        <v>46</v>
      </c>
      <c r="B1545" s="1" t="s">
        <v>293</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3">
      <c r="A1546" s="29" t="s">
        <v>46</v>
      </c>
      <c r="B1546" s="1" t="s">
        <v>294</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3">
      <c r="A1547" s="29" t="s">
        <v>46</v>
      </c>
      <c r="B1547" s="1" t="s">
        <v>295</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3">
      <c r="A1548" s="29" t="s">
        <v>46</v>
      </c>
      <c r="B1548" s="1" t="s">
        <v>296</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3">
      <c r="A1549" s="29" t="s">
        <v>46</v>
      </c>
      <c r="B1549" s="1" t="s">
        <v>297</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3">
      <c r="A1550" s="29" t="s">
        <v>46</v>
      </c>
      <c r="B1550" s="1" t="s">
        <v>298</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3">
      <c r="A1551" s="29" t="s">
        <v>46</v>
      </c>
      <c r="B1551" s="1" t="s">
        <v>299</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3">
      <c r="A1552" s="29" t="s">
        <v>46</v>
      </c>
      <c r="B1552" s="1" t="s">
        <v>300</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3">
      <c r="A1553" s="29" t="s">
        <v>46</v>
      </c>
      <c r="B1553" s="1" t="s">
        <v>301</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3">
      <c r="A1554" s="29" t="s">
        <v>46</v>
      </c>
      <c r="B1554" s="1" t="s">
        <v>302</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3">
      <c r="A1555" s="29" t="s">
        <v>46</v>
      </c>
      <c r="B1555" s="1" t="s">
        <v>303</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3">
      <c r="A1556" s="29" t="s">
        <v>46</v>
      </c>
      <c r="B1556" s="1" t="s">
        <v>304</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3">
      <c r="A1557" s="29" t="s">
        <v>46</v>
      </c>
      <c r="B1557" s="1" t="s">
        <v>305</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3">
      <c r="A1558" s="29" t="s">
        <v>46</v>
      </c>
      <c r="B1558" s="1" t="s">
        <v>306</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3">
      <c r="A1559" s="29" t="s">
        <v>46</v>
      </c>
      <c r="B1559" s="1" t="s">
        <v>307</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3">
      <c r="A1560" s="29" t="s">
        <v>46</v>
      </c>
      <c r="B1560" s="1" t="s">
        <v>308</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3">
      <c r="A1561" s="29" t="s">
        <v>46</v>
      </c>
      <c r="B1561" s="1" t="s">
        <v>309</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3">
      <c r="A1562" s="29" t="s">
        <v>46</v>
      </c>
      <c r="B1562" s="1" t="s">
        <v>310</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3">
      <c r="A1563" s="29" t="s">
        <v>46</v>
      </c>
      <c r="B1563" s="1" t="s">
        <v>311</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3">
      <c r="A1564" s="29" t="s">
        <v>46</v>
      </c>
      <c r="B1564" s="1" t="s">
        <v>312</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3">
      <c r="A1565" s="29" t="s">
        <v>46</v>
      </c>
      <c r="B1565" s="1" t="s">
        <v>313</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3">
      <c r="A1566" s="29" t="s">
        <v>46</v>
      </c>
      <c r="B1566" s="1" t="s">
        <v>314</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3">
      <c r="A1567" s="29" t="s">
        <v>46</v>
      </c>
      <c r="B1567" s="1" t="s">
        <v>315</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3">
      <c r="A1568" s="29" t="s">
        <v>46</v>
      </c>
      <c r="B1568" s="1" t="s">
        <v>316</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3">
      <c r="A1569" s="29" t="s">
        <v>46</v>
      </c>
      <c r="B1569" s="1" t="s">
        <v>317</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3">
      <c r="A1570" s="29" t="s">
        <v>46</v>
      </c>
      <c r="B1570" s="1" t="s">
        <v>318</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3">
      <c r="A1571" s="29" t="s">
        <v>46</v>
      </c>
      <c r="B1571" s="1" t="s">
        <v>319</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3">
      <c r="A1572" s="29" t="s">
        <v>46</v>
      </c>
      <c r="B1572" s="1" t="s">
        <v>320</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3">
      <c r="A1573" s="29" t="s">
        <v>46</v>
      </c>
      <c r="B1573" s="1" t="s">
        <v>321</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3">
      <c r="A1574" s="29" t="s">
        <v>46</v>
      </c>
      <c r="B1574" s="1" t="s">
        <v>322</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3">
      <c r="A1575" s="29" t="s">
        <v>46</v>
      </c>
      <c r="B1575" s="1" t="s">
        <v>323</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3">
      <c r="A1576" s="29" t="s">
        <v>46</v>
      </c>
      <c r="B1576" s="1" t="s">
        <v>324</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3">
      <c r="A1577" s="29" t="s">
        <v>46</v>
      </c>
      <c r="B1577" s="1" t="s">
        <v>325</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3">
      <c r="A1578" s="29" t="s">
        <v>46</v>
      </c>
      <c r="B1578" s="1" t="s">
        <v>326</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3">
      <c r="A1579" s="29" t="s">
        <v>46</v>
      </c>
      <c r="B1579" s="1" t="s">
        <v>327</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3">
      <c r="A1580" s="29" t="s">
        <v>46</v>
      </c>
      <c r="B1580" s="1" t="s">
        <v>328</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3">
      <c r="A1581" s="29" t="s">
        <v>46</v>
      </c>
      <c r="B1581" s="1" t="s">
        <v>329</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3">
      <c r="A1582" s="29" t="s">
        <v>46</v>
      </c>
      <c r="B1582" s="1" t="s">
        <v>330</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3">
      <c r="A1583" s="29" t="s">
        <v>46</v>
      </c>
      <c r="B1583" s="1" t="s">
        <v>331</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3">
      <c r="A1584" s="29" t="s">
        <v>46</v>
      </c>
      <c r="B1584" s="1" t="s">
        <v>332</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3">
      <c r="A1585" s="29" t="s">
        <v>46</v>
      </c>
      <c r="B1585" s="1" t="s">
        <v>333</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3">
      <c r="A1586" s="29" t="s">
        <v>46</v>
      </c>
      <c r="B1586" s="1" t="s">
        <v>334</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3">
      <c r="A1587" s="29" t="s">
        <v>46</v>
      </c>
      <c r="B1587" s="1" t="s">
        <v>335</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3">
      <c r="A1588" s="29" t="s">
        <v>46</v>
      </c>
      <c r="B1588" s="1" t="s">
        <v>336</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3">
      <c r="A1589" s="29" t="s">
        <v>46</v>
      </c>
      <c r="B1589" s="1" t="s">
        <v>337</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3">
      <c r="A1590" s="29" t="s">
        <v>46</v>
      </c>
      <c r="B1590" s="1" t="s">
        <v>338</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3">
      <c r="A1591" s="29" t="s">
        <v>46</v>
      </c>
      <c r="B1591" s="1" t="s">
        <v>339</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3">
      <c r="A1592" s="29" t="s">
        <v>46</v>
      </c>
      <c r="B1592" s="1" t="s">
        <v>340</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3">
      <c r="A1593" s="29" t="s">
        <v>46</v>
      </c>
      <c r="B1593" s="1" t="s">
        <v>341</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3">
      <c r="A1594" s="29" t="s">
        <v>46</v>
      </c>
      <c r="B1594" s="1" t="s">
        <v>342</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3">
      <c r="A1595" s="29" t="s">
        <v>46</v>
      </c>
      <c r="B1595" s="1" t="s">
        <v>343</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3">
      <c r="A1596" s="29" t="s">
        <v>46</v>
      </c>
      <c r="B1596" s="1" t="s">
        <v>344</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3">
      <c r="A1597" s="29" t="s">
        <v>46</v>
      </c>
      <c r="B1597" s="1" t="s">
        <v>345</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3">
      <c r="A1598" s="29" t="s">
        <v>46</v>
      </c>
      <c r="B1598" s="1" t="s">
        <v>346</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3">
      <c r="A1599" s="29" t="s">
        <v>46</v>
      </c>
      <c r="B1599" s="1" t="s">
        <v>347</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3">
      <c r="A1600" s="29" t="s">
        <v>46</v>
      </c>
      <c r="B1600" s="1" t="s">
        <v>348</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3">
      <c r="A1601" s="29" t="s">
        <v>46</v>
      </c>
      <c r="B1601" s="1" t="s">
        <v>349</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3">
      <c r="A1602" s="29" t="s">
        <v>46</v>
      </c>
      <c r="B1602" s="1" t="s">
        <v>350</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3">
      <c r="A1603" s="29" t="s">
        <v>46</v>
      </c>
      <c r="B1603" s="1" t="s">
        <v>351</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3">
      <c r="A1604" s="29" t="s">
        <v>46</v>
      </c>
      <c r="B1604" s="1" t="s">
        <v>352</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3">
      <c r="A1605" s="29" t="s">
        <v>46</v>
      </c>
      <c r="B1605" s="1" t="s">
        <v>353</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3">
      <c r="A1606" s="29" t="s">
        <v>46</v>
      </c>
      <c r="B1606" s="1" t="s">
        <v>354</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3">
      <c r="A1607" s="29" t="s">
        <v>46</v>
      </c>
      <c r="B1607" s="1" t="s">
        <v>355</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3">
      <c r="A1608" s="29" t="s">
        <v>46</v>
      </c>
      <c r="B1608" s="1" t="s">
        <v>356</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3">
      <c r="A1609" s="29" t="s">
        <v>46</v>
      </c>
      <c r="B1609" s="1" t="s">
        <v>357</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3">
      <c r="A1610" s="29" t="s">
        <v>46</v>
      </c>
      <c r="B1610" s="1" t="s">
        <v>358</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3">
      <c r="A1611" s="29" t="s">
        <v>46</v>
      </c>
      <c r="B1611" s="1" t="s">
        <v>359</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3">
      <c r="A1612" s="29" t="s">
        <v>46</v>
      </c>
      <c r="B1612" s="1" t="s">
        <v>360</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3">
      <c r="A1613" s="29" t="s">
        <v>46</v>
      </c>
      <c r="B1613" s="1" t="s">
        <v>361</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3">
      <c r="A1614" s="29" t="s">
        <v>46</v>
      </c>
      <c r="B1614" s="1" t="s">
        <v>362</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3">
      <c r="A1615" s="29" t="s">
        <v>46</v>
      </c>
      <c r="B1615" s="1" t="s">
        <v>363</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3">
      <c r="A1616" s="29" t="s">
        <v>46</v>
      </c>
      <c r="B1616" s="1" t="s">
        <v>364</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3">
      <c r="A1617" s="29" t="s">
        <v>46</v>
      </c>
      <c r="B1617" s="1" t="s">
        <v>365</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3">
      <c r="A1618" s="29" t="s">
        <v>46</v>
      </c>
      <c r="B1618" s="1" t="s">
        <v>366</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3">
      <c r="A1619" s="29" t="s">
        <v>46</v>
      </c>
      <c r="B1619" s="1" t="s">
        <v>367</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3">
      <c r="A1620" s="29" t="s">
        <v>46</v>
      </c>
      <c r="B1620" s="1" t="s">
        <v>368</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3">
      <c r="A1621" s="29" t="s">
        <v>46</v>
      </c>
      <c r="B1621" s="1" t="s">
        <v>369</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3">
      <c r="A1622" s="29" t="s">
        <v>46</v>
      </c>
      <c r="B1622" s="1" t="s">
        <v>370</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3">
      <c r="A1623" s="29" t="s">
        <v>46</v>
      </c>
      <c r="B1623" s="1" t="s">
        <v>371</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3">
      <c r="A1624" s="29" t="s">
        <v>46</v>
      </c>
      <c r="B1624" s="1" t="s">
        <v>372</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3">
      <c r="A1625" s="29" t="s">
        <v>46</v>
      </c>
      <c r="B1625" s="1" t="s">
        <v>373</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3">
      <c r="A1626" s="29" t="s">
        <v>46</v>
      </c>
      <c r="B1626" s="1" t="s">
        <v>374</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3">
      <c r="A1627" s="29" t="s">
        <v>46</v>
      </c>
      <c r="B1627" s="1" t="s">
        <v>375</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3">
      <c r="A1628" s="29" t="s">
        <v>46</v>
      </c>
      <c r="B1628" s="1" t="s">
        <v>376</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3">
      <c r="A1629" s="29" t="s">
        <v>46</v>
      </c>
      <c r="B1629" s="1" t="s">
        <v>377</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3">
      <c r="A1630" s="29" t="s">
        <v>46</v>
      </c>
      <c r="B1630" s="1" t="s">
        <v>378</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3">
      <c r="A1631" s="29" t="s">
        <v>46</v>
      </c>
      <c r="B1631" s="1" t="s">
        <v>379</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3">
      <c r="A1632" s="29" t="s">
        <v>46</v>
      </c>
      <c r="B1632" s="1" t="s">
        <v>380</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3">
      <c r="A1633" s="29" t="s">
        <v>46</v>
      </c>
      <c r="B1633" s="1" t="s">
        <v>381</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3">
      <c r="A1634" s="29" t="s">
        <v>46</v>
      </c>
      <c r="B1634" s="1" t="s">
        <v>382</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3">
      <c r="A1635" s="29" t="s">
        <v>46</v>
      </c>
      <c r="B1635" s="1" t="s">
        <v>383</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3">
      <c r="A1636" s="29" t="s">
        <v>46</v>
      </c>
      <c r="B1636" s="1" t="s">
        <v>384</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3">
      <c r="A1637" s="29" t="s">
        <v>46</v>
      </c>
      <c r="B1637" s="1" t="s">
        <v>385</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3">
      <c r="A1638" s="29" t="s">
        <v>46</v>
      </c>
      <c r="B1638" s="1" t="s">
        <v>386</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3">
      <c r="A1639" s="29" t="s">
        <v>46</v>
      </c>
      <c r="B1639" s="1" t="s">
        <v>387</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3">
      <c r="A1640" s="29" t="s">
        <v>46</v>
      </c>
      <c r="B1640" s="1" t="s">
        <v>388</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3">
      <c r="A1641" s="29" t="s">
        <v>46</v>
      </c>
      <c r="B1641" s="1" t="s">
        <v>389</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3">
      <c r="A1642" s="29" t="s">
        <v>46</v>
      </c>
      <c r="B1642" s="1" t="s">
        <v>390</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3">
      <c r="A1643" s="29" t="s">
        <v>46</v>
      </c>
      <c r="B1643" s="1" t="s">
        <v>391</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3">
      <c r="A1644" s="29" t="s">
        <v>46</v>
      </c>
      <c r="B1644" s="1" t="s">
        <v>392</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3">
      <c r="A1645" s="29" t="s">
        <v>46</v>
      </c>
      <c r="B1645" s="1" t="s">
        <v>393</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3">
      <c r="A1646" s="29" t="s">
        <v>46</v>
      </c>
      <c r="B1646" s="1" t="s">
        <v>394</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3">
      <c r="A1647" s="29" t="s">
        <v>46</v>
      </c>
      <c r="B1647" s="1" t="s">
        <v>395</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3">
      <c r="A1648" s="29" t="s">
        <v>46</v>
      </c>
      <c r="B1648" s="1" t="s">
        <v>396</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3">
      <c r="A1649" s="29" t="s">
        <v>46</v>
      </c>
      <c r="B1649" s="1" t="s">
        <v>397</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3">
      <c r="A1650" s="29" t="s">
        <v>46</v>
      </c>
      <c r="B1650" s="1" t="s">
        <v>398</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3">
      <c r="A1651" s="29" t="s">
        <v>46</v>
      </c>
      <c r="B1651" s="1" t="s">
        <v>399</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3">
      <c r="A1652" s="29" t="s">
        <v>46</v>
      </c>
      <c r="B1652" s="1" t="s">
        <v>400</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3">
      <c r="A1653" s="29" t="s">
        <v>46</v>
      </c>
      <c r="B1653" s="1" t="s">
        <v>401</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3">
      <c r="A1654" s="29" t="s">
        <v>46</v>
      </c>
      <c r="B1654" s="1" t="s">
        <v>402</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3">
      <c r="A1655" s="29" t="s">
        <v>46</v>
      </c>
      <c r="B1655" s="1" t="s">
        <v>403</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3">
      <c r="A1656" s="29" t="s">
        <v>46</v>
      </c>
      <c r="B1656" s="1" t="s">
        <v>404</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3">
      <c r="A1657" s="29" t="s">
        <v>46</v>
      </c>
      <c r="B1657" s="1" t="s">
        <v>405</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3">
      <c r="A1658" s="29" t="s">
        <v>46</v>
      </c>
      <c r="B1658" s="1" t="s">
        <v>406</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3">
      <c r="A1659" s="29" t="s">
        <v>46</v>
      </c>
      <c r="B1659" s="1" t="s">
        <v>407</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3">
      <c r="A1660" s="29" t="s">
        <v>46</v>
      </c>
      <c r="B1660" s="1" t="s">
        <v>408</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3">
      <c r="A1661" s="29" t="s">
        <v>46</v>
      </c>
      <c r="B1661" s="1" t="s">
        <v>409</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3">
      <c r="A1662" s="29" t="s">
        <v>46</v>
      </c>
      <c r="B1662" s="1" t="s">
        <v>410</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3">
      <c r="A1663" s="29" t="s">
        <v>46</v>
      </c>
      <c r="B1663" s="1" t="s">
        <v>411</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3">
      <c r="A1664" s="29" t="s">
        <v>46</v>
      </c>
      <c r="B1664" s="1" t="s">
        <v>412</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3">
      <c r="A1665" s="29" t="s">
        <v>46</v>
      </c>
      <c r="B1665" s="1" t="s">
        <v>413</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3">
      <c r="A1666" s="29" t="s">
        <v>46</v>
      </c>
      <c r="B1666" s="1" t="s">
        <v>414</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3">
      <c r="A1667" s="29" t="s">
        <v>46</v>
      </c>
      <c r="B1667" s="1" t="s">
        <v>415</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3">
      <c r="A1668" s="29" t="s">
        <v>46</v>
      </c>
      <c r="B1668" s="1" t="s">
        <v>416</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3">
      <c r="A1669" s="29" t="s">
        <v>46</v>
      </c>
      <c r="B1669" s="1" t="s">
        <v>417</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3">
      <c r="A1670" s="29" t="s">
        <v>46</v>
      </c>
      <c r="B1670" s="1" t="s">
        <v>418</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3">
      <c r="A1671" s="29" t="s">
        <v>46</v>
      </c>
      <c r="B1671" s="1" t="s">
        <v>419</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3">
      <c r="A1672" s="29" t="s">
        <v>46</v>
      </c>
      <c r="B1672" s="1" t="s">
        <v>420</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3">
      <c r="A1673" s="29" t="s">
        <v>46</v>
      </c>
      <c r="B1673" s="1" t="s">
        <v>421</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3">
      <c r="A1674" s="29" t="s">
        <v>46</v>
      </c>
      <c r="B1674" s="1" t="s">
        <v>422</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3">
      <c r="A1675" s="29" t="s">
        <v>46</v>
      </c>
      <c r="B1675" s="1" t="s">
        <v>423</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x14ac:dyDescent="0.3">
      <c r="A1676" s="102"/>
      <c r="B1676" s="109"/>
      <c r="C1676" s="102"/>
      <c r="D1676" s="123">
        <f t="shared" ref="D1676:L1676" si="333">SUM(D1380:D1675)</f>
        <v>22137472</v>
      </c>
      <c r="E1676" s="123">
        <f t="shared" si="333"/>
        <v>23554205</v>
      </c>
      <c r="F1676" s="123">
        <f t="shared" si="333"/>
        <v>57690323</v>
      </c>
      <c r="G1676" s="123">
        <f t="shared" si="333"/>
        <v>28283074</v>
      </c>
      <c r="H1676" s="123">
        <f t="shared" si="333"/>
        <v>29407249</v>
      </c>
      <c r="I1676" s="123">
        <f t="shared" si="333"/>
        <v>22137472</v>
      </c>
      <c r="J1676" s="123">
        <f t="shared" si="333"/>
        <v>23554205</v>
      </c>
      <c r="K1676" s="123">
        <f t="shared" si="333"/>
        <v>6145602</v>
      </c>
      <c r="L1676" s="123">
        <f t="shared" si="333"/>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3">
      <c r="A1677" s="29" t="s">
        <v>424</v>
      </c>
      <c r="B1677" s="1" t="s">
        <v>425</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459">
        <v>336</v>
      </c>
      <c r="N1677" s="459">
        <v>399</v>
      </c>
      <c r="O1677" s="459">
        <v>349</v>
      </c>
      <c r="P1677" s="459">
        <v>382</v>
      </c>
      <c r="Q1677" s="459">
        <v>397</v>
      </c>
      <c r="R1677" s="459">
        <v>382</v>
      </c>
      <c r="S1677" s="459">
        <v>334</v>
      </c>
      <c r="T1677" s="459">
        <v>370</v>
      </c>
      <c r="U1677" s="459">
        <v>382</v>
      </c>
      <c r="V1677" s="459">
        <v>393</v>
      </c>
      <c r="W1677" s="459">
        <v>402</v>
      </c>
      <c r="X1677" s="459">
        <v>376</v>
      </c>
      <c r="Y1677" s="459">
        <v>426</v>
      </c>
      <c r="Z1677" s="459">
        <v>413</v>
      </c>
      <c r="AA1677" s="459">
        <v>438</v>
      </c>
      <c r="AB1677" s="459">
        <v>396</v>
      </c>
      <c r="AC1677" s="459">
        <v>329</v>
      </c>
      <c r="AD1677" s="459">
        <v>345</v>
      </c>
      <c r="AE1677" s="459">
        <v>361</v>
      </c>
      <c r="AF1677" s="459">
        <v>348</v>
      </c>
      <c r="AG1677" s="459">
        <v>313</v>
      </c>
      <c r="AH1677" s="459">
        <v>306</v>
      </c>
      <c r="AI1677" s="459">
        <v>367</v>
      </c>
      <c r="AJ1677" s="459">
        <v>383</v>
      </c>
      <c r="AK1677" s="459">
        <v>374</v>
      </c>
      <c r="AL1677" s="459">
        <v>407</v>
      </c>
      <c r="AM1677" s="459">
        <v>421</v>
      </c>
      <c r="AN1677" s="459">
        <v>360</v>
      </c>
      <c r="AO1677" s="459">
        <v>366</v>
      </c>
      <c r="AP1677" s="459">
        <v>456</v>
      </c>
      <c r="AQ1677" s="459">
        <v>450</v>
      </c>
      <c r="AR1677" s="459">
        <v>476</v>
      </c>
      <c r="AS1677" s="459">
        <v>463</v>
      </c>
      <c r="AT1677" s="459">
        <v>434</v>
      </c>
      <c r="AU1677" s="459">
        <v>482</v>
      </c>
      <c r="AV1677" s="459">
        <v>412</v>
      </c>
      <c r="AW1677" s="459">
        <v>433</v>
      </c>
      <c r="AX1677" s="459">
        <v>442</v>
      </c>
      <c r="AY1677" s="459">
        <v>438</v>
      </c>
      <c r="AZ1677" s="459">
        <v>396</v>
      </c>
      <c r="BA1677" s="459">
        <v>427</v>
      </c>
      <c r="BB1677" s="459">
        <v>360</v>
      </c>
      <c r="BC1677" s="459">
        <v>384</v>
      </c>
      <c r="BD1677" s="459">
        <v>378</v>
      </c>
      <c r="BE1677" s="459">
        <v>366</v>
      </c>
      <c r="BF1677" s="459">
        <v>352</v>
      </c>
      <c r="BG1677" s="459">
        <v>300</v>
      </c>
      <c r="BH1677" s="459">
        <v>338</v>
      </c>
      <c r="BI1677" s="459">
        <v>409</v>
      </c>
      <c r="BJ1677" s="459">
        <v>382</v>
      </c>
      <c r="BK1677" s="459">
        <v>432</v>
      </c>
      <c r="BL1677" s="459">
        <v>488</v>
      </c>
      <c r="BM1677" s="459">
        <v>474</v>
      </c>
      <c r="BN1677" s="459">
        <v>478</v>
      </c>
      <c r="BO1677" s="459">
        <v>516</v>
      </c>
      <c r="BP1677" s="459">
        <v>504</v>
      </c>
      <c r="BQ1677" s="459">
        <v>497</v>
      </c>
      <c r="BR1677" s="459">
        <v>519</v>
      </c>
      <c r="BS1677" s="459">
        <v>526</v>
      </c>
      <c r="BT1677" s="459">
        <v>509</v>
      </c>
      <c r="BU1677" s="459">
        <v>487</v>
      </c>
      <c r="BV1677" s="459">
        <v>492</v>
      </c>
      <c r="BW1677" s="459">
        <v>426</v>
      </c>
      <c r="BX1677" s="459">
        <v>434</v>
      </c>
      <c r="BY1677" s="459">
        <v>423</v>
      </c>
      <c r="BZ1677" s="459">
        <v>361</v>
      </c>
      <c r="CA1677" s="459">
        <v>439</v>
      </c>
      <c r="CB1677" s="459">
        <v>391</v>
      </c>
      <c r="CC1677" s="459">
        <v>372</v>
      </c>
      <c r="CD1677" s="459">
        <v>348</v>
      </c>
      <c r="CE1677" s="459">
        <v>371</v>
      </c>
      <c r="CF1677" s="459">
        <v>333</v>
      </c>
      <c r="CG1677" s="459">
        <v>348</v>
      </c>
      <c r="CH1677" s="459">
        <v>344</v>
      </c>
      <c r="CI1677" s="459">
        <v>346</v>
      </c>
      <c r="CJ1677" s="459">
        <v>334</v>
      </c>
      <c r="CK1677" s="459">
        <v>378</v>
      </c>
      <c r="CL1677" s="459">
        <v>278</v>
      </c>
      <c r="CM1677" s="459">
        <v>249</v>
      </c>
      <c r="CN1677" s="459">
        <v>228</v>
      </c>
      <c r="CO1677" s="459">
        <v>248</v>
      </c>
      <c r="CP1677" s="459">
        <v>192</v>
      </c>
      <c r="CQ1677" s="459">
        <v>169</v>
      </c>
      <c r="CR1677" s="459">
        <v>139</v>
      </c>
      <c r="CS1677" s="459">
        <v>153</v>
      </c>
      <c r="CT1677" s="459">
        <v>108</v>
      </c>
      <c r="CU1677" s="459">
        <v>90</v>
      </c>
      <c r="CV1677" s="459">
        <v>95</v>
      </c>
      <c r="CW1677" s="459">
        <v>75</v>
      </c>
      <c r="CX1677" s="459">
        <v>40</v>
      </c>
      <c r="CY1677" s="459">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3">
      <c r="A1678" s="29" t="s">
        <v>34</v>
      </c>
      <c r="B1678" s="1" t="s">
        <v>426</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459">
        <v>678</v>
      </c>
      <c r="N1678" s="459">
        <v>735</v>
      </c>
      <c r="O1678" s="459">
        <v>694</v>
      </c>
      <c r="P1678" s="459">
        <v>730</v>
      </c>
      <c r="Q1678" s="459">
        <v>759</v>
      </c>
      <c r="R1678" s="459">
        <v>792</v>
      </c>
      <c r="S1678" s="459">
        <v>821</v>
      </c>
      <c r="T1678" s="459">
        <v>821</v>
      </c>
      <c r="U1678" s="459">
        <v>863</v>
      </c>
      <c r="V1678" s="459">
        <v>873</v>
      </c>
      <c r="W1678" s="459">
        <v>876</v>
      </c>
      <c r="X1678" s="459">
        <v>873</v>
      </c>
      <c r="Y1678" s="459">
        <v>977</v>
      </c>
      <c r="Z1678" s="459">
        <v>892</v>
      </c>
      <c r="AA1678" s="459">
        <v>927</v>
      </c>
      <c r="AB1678" s="459">
        <v>890</v>
      </c>
      <c r="AC1678" s="459">
        <v>873</v>
      </c>
      <c r="AD1678" s="459">
        <v>842</v>
      </c>
      <c r="AE1678" s="459">
        <v>884</v>
      </c>
      <c r="AF1678" s="459">
        <v>708</v>
      </c>
      <c r="AG1678" s="459">
        <v>645</v>
      </c>
      <c r="AH1678" s="459">
        <v>652</v>
      </c>
      <c r="AI1678" s="459">
        <v>698</v>
      </c>
      <c r="AJ1678" s="459">
        <v>769</v>
      </c>
      <c r="AK1678" s="459">
        <v>835</v>
      </c>
      <c r="AL1678" s="459">
        <v>874</v>
      </c>
      <c r="AM1678" s="459">
        <v>965</v>
      </c>
      <c r="AN1678" s="459">
        <v>892</v>
      </c>
      <c r="AO1678" s="459">
        <v>834</v>
      </c>
      <c r="AP1678" s="459">
        <v>965</v>
      </c>
      <c r="AQ1678" s="459">
        <v>852</v>
      </c>
      <c r="AR1678" s="459">
        <v>987</v>
      </c>
      <c r="AS1678" s="459">
        <v>930</v>
      </c>
      <c r="AT1678" s="459">
        <v>976</v>
      </c>
      <c r="AU1678" s="459">
        <v>1027</v>
      </c>
      <c r="AV1678" s="459">
        <v>1005</v>
      </c>
      <c r="AW1678" s="459">
        <v>992</v>
      </c>
      <c r="AX1678" s="459">
        <v>957</v>
      </c>
      <c r="AY1678" s="459">
        <v>959</v>
      </c>
      <c r="AZ1678" s="459">
        <v>877</v>
      </c>
      <c r="BA1678" s="459">
        <v>888</v>
      </c>
      <c r="BB1678" s="459">
        <v>884</v>
      </c>
      <c r="BC1678" s="459">
        <v>931</v>
      </c>
      <c r="BD1678" s="459">
        <v>952</v>
      </c>
      <c r="BE1678" s="459">
        <v>878</v>
      </c>
      <c r="BF1678" s="459">
        <v>811</v>
      </c>
      <c r="BG1678" s="459">
        <v>774</v>
      </c>
      <c r="BH1678" s="459">
        <v>826</v>
      </c>
      <c r="BI1678" s="459">
        <v>824</v>
      </c>
      <c r="BJ1678" s="459">
        <v>896</v>
      </c>
      <c r="BK1678" s="459">
        <v>894</v>
      </c>
      <c r="BL1678" s="459">
        <v>1000</v>
      </c>
      <c r="BM1678" s="459">
        <v>1085</v>
      </c>
      <c r="BN1678" s="459">
        <v>960</v>
      </c>
      <c r="BO1678" s="459">
        <v>1020</v>
      </c>
      <c r="BP1678" s="459">
        <v>1073</v>
      </c>
      <c r="BQ1678" s="459">
        <v>1054</v>
      </c>
      <c r="BR1678" s="459">
        <v>1090</v>
      </c>
      <c r="BS1678" s="459">
        <v>1053</v>
      </c>
      <c r="BT1678" s="459">
        <v>1076</v>
      </c>
      <c r="BU1678" s="459">
        <v>996</v>
      </c>
      <c r="BV1678" s="459">
        <v>1035</v>
      </c>
      <c r="BW1678" s="459">
        <v>973</v>
      </c>
      <c r="BX1678" s="459">
        <v>921</v>
      </c>
      <c r="BY1678" s="459">
        <v>918</v>
      </c>
      <c r="BZ1678" s="459">
        <v>897</v>
      </c>
      <c r="CA1678" s="459">
        <v>829</v>
      </c>
      <c r="CB1678" s="459">
        <v>815</v>
      </c>
      <c r="CC1678" s="459">
        <v>750</v>
      </c>
      <c r="CD1678" s="459">
        <v>727</v>
      </c>
      <c r="CE1678" s="459">
        <v>766</v>
      </c>
      <c r="CF1678" s="459">
        <v>718</v>
      </c>
      <c r="CG1678" s="459">
        <v>762</v>
      </c>
      <c r="CH1678" s="459">
        <v>709</v>
      </c>
      <c r="CI1678" s="459">
        <v>749</v>
      </c>
      <c r="CJ1678" s="459">
        <v>735</v>
      </c>
      <c r="CK1678" s="459">
        <v>786</v>
      </c>
      <c r="CL1678" s="459">
        <v>615</v>
      </c>
      <c r="CM1678" s="459">
        <v>590</v>
      </c>
      <c r="CN1678" s="459">
        <v>566</v>
      </c>
      <c r="CO1678" s="459">
        <v>476</v>
      </c>
      <c r="CP1678" s="459">
        <v>419</v>
      </c>
      <c r="CQ1678" s="459">
        <v>422</v>
      </c>
      <c r="CR1678" s="459">
        <v>337</v>
      </c>
      <c r="CS1678" s="459">
        <v>305</v>
      </c>
      <c r="CT1678" s="459">
        <v>281</v>
      </c>
      <c r="CU1678" s="459">
        <v>231</v>
      </c>
      <c r="CV1678" s="459">
        <v>208</v>
      </c>
      <c r="CW1678" s="459">
        <v>200</v>
      </c>
      <c r="CX1678" s="459">
        <v>138</v>
      </c>
      <c r="CY1678" s="459">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3">
      <c r="A1679" s="29" t="s">
        <v>34</v>
      </c>
      <c r="B1679" s="1" t="s">
        <v>427</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459">
        <v>868</v>
      </c>
      <c r="N1679" s="459">
        <v>851</v>
      </c>
      <c r="O1679" s="459">
        <v>826</v>
      </c>
      <c r="P1679" s="459">
        <v>910</v>
      </c>
      <c r="Q1679" s="459">
        <v>954</v>
      </c>
      <c r="R1679" s="459">
        <v>1019</v>
      </c>
      <c r="S1679" s="459">
        <v>993</v>
      </c>
      <c r="T1679" s="459">
        <v>1030</v>
      </c>
      <c r="U1679" s="459">
        <v>1081</v>
      </c>
      <c r="V1679" s="459">
        <v>1074</v>
      </c>
      <c r="W1679" s="459">
        <v>1059</v>
      </c>
      <c r="X1679" s="459">
        <v>1089</v>
      </c>
      <c r="Y1679" s="459">
        <v>1091</v>
      </c>
      <c r="Z1679" s="459">
        <v>1150</v>
      </c>
      <c r="AA1679" s="459">
        <v>1135</v>
      </c>
      <c r="AB1679" s="459">
        <v>1140</v>
      </c>
      <c r="AC1679" s="459">
        <v>1045</v>
      </c>
      <c r="AD1679" s="459">
        <v>1023</v>
      </c>
      <c r="AE1679" s="459">
        <v>1015</v>
      </c>
      <c r="AF1679" s="459">
        <v>998</v>
      </c>
      <c r="AG1679" s="459">
        <v>832</v>
      </c>
      <c r="AH1679" s="459">
        <v>814</v>
      </c>
      <c r="AI1679" s="459">
        <v>945</v>
      </c>
      <c r="AJ1679" s="459">
        <v>990</v>
      </c>
      <c r="AK1679" s="459">
        <v>934</v>
      </c>
      <c r="AL1679" s="459">
        <v>911</v>
      </c>
      <c r="AM1679" s="459">
        <v>1132</v>
      </c>
      <c r="AN1679" s="459">
        <v>1016</v>
      </c>
      <c r="AO1679" s="459">
        <v>1027</v>
      </c>
      <c r="AP1679" s="459">
        <v>1031</v>
      </c>
      <c r="AQ1679" s="459">
        <v>1036</v>
      </c>
      <c r="AR1679" s="459">
        <v>1101</v>
      </c>
      <c r="AS1679" s="459">
        <v>1195</v>
      </c>
      <c r="AT1679" s="459">
        <v>1142</v>
      </c>
      <c r="AU1679" s="459">
        <v>1164</v>
      </c>
      <c r="AV1679" s="459">
        <v>1156</v>
      </c>
      <c r="AW1679" s="459">
        <v>1077</v>
      </c>
      <c r="AX1679" s="459">
        <v>1169</v>
      </c>
      <c r="AY1679" s="459">
        <v>1084</v>
      </c>
      <c r="AZ1679" s="459">
        <v>1094</v>
      </c>
      <c r="BA1679" s="459">
        <v>1056</v>
      </c>
      <c r="BB1679" s="459">
        <v>1014</v>
      </c>
      <c r="BC1679" s="459">
        <v>1068</v>
      </c>
      <c r="BD1679" s="459">
        <v>1083</v>
      </c>
      <c r="BE1679" s="459">
        <v>1005</v>
      </c>
      <c r="BF1679" s="459">
        <v>959</v>
      </c>
      <c r="BG1679" s="459">
        <v>992</v>
      </c>
      <c r="BH1679" s="459">
        <v>980</v>
      </c>
      <c r="BI1679" s="459">
        <v>981</v>
      </c>
      <c r="BJ1679" s="459">
        <v>1080</v>
      </c>
      <c r="BK1679" s="459">
        <v>1114</v>
      </c>
      <c r="BL1679" s="459">
        <v>1156</v>
      </c>
      <c r="BM1679" s="459">
        <v>1242</v>
      </c>
      <c r="BN1679" s="459">
        <v>1119</v>
      </c>
      <c r="BO1679" s="459">
        <v>1281</v>
      </c>
      <c r="BP1679" s="459">
        <v>1265</v>
      </c>
      <c r="BQ1679" s="459">
        <v>1199</v>
      </c>
      <c r="BR1679" s="459">
        <v>1256</v>
      </c>
      <c r="BS1679" s="459">
        <v>1267</v>
      </c>
      <c r="BT1679" s="459">
        <v>1254</v>
      </c>
      <c r="BU1679" s="459">
        <v>1261</v>
      </c>
      <c r="BV1679" s="459">
        <v>1173</v>
      </c>
      <c r="BW1679" s="459">
        <v>1128</v>
      </c>
      <c r="BX1679" s="459">
        <v>1099</v>
      </c>
      <c r="BY1679" s="459">
        <v>1047</v>
      </c>
      <c r="BZ1679" s="459">
        <v>1036</v>
      </c>
      <c r="CA1679" s="459">
        <v>1023</v>
      </c>
      <c r="CB1679" s="459">
        <v>907</v>
      </c>
      <c r="CC1679" s="459">
        <v>853</v>
      </c>
      <c r="CD1679" s="459">
        <v>981</v>
      </c>
      <c r="CE1679" s="459">
        <v>926</v>
      </c>
      <c r="CF1679" s="459">
        <v>837</v>
      </c>
      <c r="CG1679" s="459">
        <v>891</v>
      </c>
      <c r="CH1679" s="459">
        <v>914</v>
      </c>
      <c r="CI1679" s="459">
        <v>798</v>
      </c>
      <c r="CJ1679" s="459">
        <v>935</v>
      </c>
      <c r="CK1679" s="459">
        <v>955</v>
      </c>
      <c r="CL1679" s="459">
        <v>710</v>
      </c>
      <c r="CM1679" s="459">
        <v>643</v>
      </c>
      <c r="CN1679" s="459">
        <v>613</v>
      </c>
      <c r="CO1679" s="459">
        <v>541</v>
      </c>
      <c r="CP1679" s="459">
        <v>548</v>
      </c>
      <c r="CQ1679" s="459">
        <v>393</v>
      </c>
      <c r="CR1679" s="459">
        <v>410</v>
      </c>
      <c r="CS1679" s="459">
        <v>361</v>
      </c>
      <c r="CT1679" s="459">
        <v>311</v>
      </c>
      <c r="CU1679" s="459">
        <v>265</v>
      </c>
      <c r="CV1679" s="459">
        <v>230</v>
      </c>
      <c r="CW1679" s="459">
        <v>175</v>
      </c>
      <c r="CX1679" s="459">
        <v>149</v>
      </c>
      <c r="CY1679" s="459">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3">
      <c r="A1680" s="29" t="s">
        <v>34</v>
      </c>
      <c r="B1680" s="1" t="s">
        <v>428</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459">
        <v>1856</v>
      </c>
      <c r="N1680" s="459">
        <v>1981</v>
      </c>
      <c r="O1680" s="459">
        <v>1941</v>
      </c>
      <c r="P1680" s="459">
        <v>1924</v>
      </c>
      <c r="Q1680" s="459">
        <v>2013</v>
      </c>
      <c r="R1680" s="459">
        <v>2084</v>
      </c>
      <c r="S1680" s="459">
        <v>2131</v>
      </c>
      <c r="T1680" s="459">
        <v>2257</v>
      </c>
      <c r="U1680" s="459">
        <v>2209</v>
      </c>
      <c r="V1680" s="459">
        <v>2249</v>
      </c>
      <c r="W1680" s="459">
        <v>2197</v>
      </c>
      <c r="X1680" s="459">
        <v>2330</v>
      </c>
      <c r="Y1680" s="459">
        <v>2393</v>
      </c>
      <c r="Z1680" s="459">
        <v>2289</v>
      </c>
      <c r="AA1680" s="459">
        <v>2194</v>
      </c>
      <c r="AB1680" s="459">
        <v>2219</v>
      </c>
      <c r="AC1680" s="459">
        <v>2176</v>
      </c>
      <c r="AD1680" s="459">
        <v>2235</v>
      </c>
      <c r="AE1680" s="459">
        <v>2618</v>
      </c>
      <c r="AF1680" s="459">
        <v>4372</v>
      </c>
      <c r="AG1680" s="459">
        <v>4993</v>
      </c>
      <c r="AH1680" s="459">
        <v>5046</v>
      </c>
      <c r="AI1680" s="459">
        <v>4466</v>
      </c>
      <c r="AJ1680" s="459">
        <v>3868</v>
      </c>
      <c r="AK1680" s="459">
        <v>3679</v>
      </c>
      <c r="AL1680" s="459">
        <v>3544</v>
      </c>
      <c r="AM1680" s="459">
        <v>3562</v>
      </c>
      <c r="AN1680" s="459">
        <v>3432</v>
      </c>
      <c r="AO1680" s="459">
        <v>3283</v>
      </c>
      <c r="AP1680" s="459">
        <v>3098</v>
      </c>
      <c r="AQ1680" s="459">
        <v>3028</v>
      </c>
      <c r="AR1680" s="459">
        <v>2908</v>
      </c>
      <c r="AS1680" s="459">
        <v>2962</v>
      </c>
      <c r="AT1680" s="459">
        <v>2878</v>
      </c>
      <c r="AU1680" s="459">
        <v>2611</v>
      </c>
      <c r="AV1680" s="459">
        <v>2747</v>
      </c>
      <c r="AW1680" s="459">
        <v>2688</v>
      </c>
      <c r="AX1680" s="459">
        <v>2713</v>
      </c>
      <c r="AY1680" s="459">
        <v>2504</v>
      </c>
      <c r="AZ1680" s="459">
        <v>2555</v>
      </c>
      <c r="BA1680" s="459">
        <v>2597</v>
      </c>
      <c r="BB1680" s="459">
        <v>2352</v>
      </c>
      <c r="BC1680" s="459">
        <v>2384</v>
      </c>
      <c r="BD1680" s="459">
        <v>2348</v>
      </c>
      <c r="BE1680" s="459">
        <v>2293</v>
      </c>
      <c r="BF1680" s="459">
        <v>2065</v>
      </c>
      <c r="BG1680" s="459">
        <v>2157</v>
      </c>
      <c r="BH1680" s="459">
        <v>2018</v>
      </c>
      <c r="BI1680" s="459">
        <v>2024</v>
      </c>
      <c r="BJ1680" s="459">
        <v>2075</v>
      </c>
      <c r="BK1680" s="459">
        <v>1911</v>
      </c>
      <c r="BL1680" s="459">
        <v>1963</v>
      </c>
      <c r="BM1680" s="459">
        <v>2087</v>
      </c>
      <c r="BN1680" s="459">
        <v>2050</v>
      </c>
      <c r="BO1680" s="459">
        <v>2082</v>
      </c>
      <c r="BP1680" s="459">
        <v>1988</v>
      </c>
      <c r="BQ1680" s="459">
        <v>2060</v>
      </c>
      <c r="BR1680" s="459">
        <v>1882</v>
      </c>
      <c r="BS1680" s="459">
        <v>1987</v>
      </c>
      <c r="BT1680" s="459">
        <v>1923</v>
      </c>
      <c r="BU1680" s="459">
        <v>1878</v>
      </c>
      <c r="BV1680" s="459">
        <v>1984</v>
      </c>
      <c r="BW1680" s="459">
        <v>1780</v>
      </c>
      <c r="BX1680" s="459">
        <v>1797</v>
      </c>
      <c r="BY1680" s="459">
        <v>1770</v>
      </c>
      <c r="BZ1680" s="459">
        <v>1628</v>
      </c>
      <c r="CA1680" s="459">
        <v>1634</v>
      </c>
      <c r="CB1680" s="459">
        <v>1479</v>
      </c>
      <c r="CC1680" s="459">
        <v>1405</v>
      </c>
      <c r="CD1680" s="459">
        <v>1424</v>
      </c>
      <c r="CE1680" s="459">
        <v>1332</v>
      </c>
      <c r="CF1680" s="459">
        <v>1261</v>
      </c>
      <c r="CG1680" s="459">
        <v>1299</v>
      </c>
      <c r="CH1680" s="459">
        <v>1316</v>
      </c>
      <c r="CI1680" s="459">
        <v>1261</v>
      </c>
      <c r="CJ1680" s="459">
        <v>1222</v>
      </c>
      <c r="CK1680" s="459">
        <v>1315</v>
      </c>
      <c r="CL1680" s="459">
        <v>948</v>
      </c>
      <c r="CM1680" s="459">
        <v>898</v>
      </c>
      <c r="CN1680" s="459">
        <v>876</v>
      </c>
      <c r="CO1680" s="459">
        <v>706</v>
      </c>
      <c r="CP1680" s="459">
        <v>637</v>
      </c>
      <c r="CQ1680" s="459">
        <v>577</v>
      </c>
      <c r="CR1680" s="459">
        <v>553</v>
      </c>
      <c r="CS1680" s="459">
        <v>492</v>
      </c>
      <c r="CT1680" s="459">
        <v>451</v>
      </c>
      <c r="CU1680" s="459">
        <v>405</v>
      </c>
      <c r="CV1680" s="459">
        <v>355</v>
      </c>
      <c r="CW1680" s="459">
        <v>306</v>
      </c>
      <c r="CX1680" s="459">
        <v>234</v>
      </c>
      <c r="CY1680" s="459">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3">
      <c r="A1681" s="29" t="s">
        <v>34</v>
      </c>
      <c r="B1681" s="1" t="s">
        <v>429</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459">
        <v>813</v>
      </c>
      <c r="N1681" s="459">
        <v>875</v>
      </c>
      <c r="O1681" s="459">
        <v>870</v>
      </c>
      <c r="P1681" s="459">
        <v>874</v>
      </c>
      <c r="Q1681" s="459">
        <v>965</v>
      </c>
      <c r="R1681" s="459">
        <v>984</v>
      </c>
      <c r="S1681" s="459">
        <v>1020</v>
      </c>
      <c r="T1681" s="459">
        <v>1090</v>
      </c>
      <c r="U1681" s="459">
        <v>1073</v>
      </c>
      <c r="V1681" s="459">
        <v>1049</v>
      </c>
      <c r="W1681" s="459">
        <v>1095</v>
      </c>
      <c r="X1681" s="459">
        <v>1193</v>
      </c>
      <c r="Y1681" s="459">
        <v>1195</v>
      </c>
      <c r="Z1681" s="459">
        <v>1160</v>
      </c>
      <c r="AA1681" s="459">
        <v>1127</v>
      </c>
      <c r="AB1681" s="459">
        <v>1143</v>
      </c>
      <c r="AC1681" s="459">
        <v>1159</v>
      </c>
      <c r="AD1681" s="459">
        <v>1162</v>
      </c>
      <c r="AE1681" s="459">
        <v>1080</v>
      </c>
      <c r="AF1681" s="459">
        <v>871</v>
      </c>
      <c r="AG1681" s="459">
        <v>868</v>
      </c>
      <c r="AH1681" s="459">
        <v>842</v>
      </c>
      <c r="AI1681" s="459">
        <v>881</v>
      </c>
      <c r="AJ1681" s="459">
        <v>890</v>
      </c>
      <c r="AK1681" s="459">
        <v>925</v>
      </c>
      <c r="AL1681" s="459">
        <v>951</v>
      </c>
      <c r="AM1681" s="459">
        <v>1027</v>
      </c>
      <c r="AN1681" s="459">
        <v>1012</v>
      </c>
      <c r="AO1681" s="459">
        <v>940</v>
      </c>
      <c r="AP1681" s="459">
        <v>998</v>
      </c>
      <c r="AQ1681" s="459">
        <v>980</v>
      </c>
      <c r="AR1681" s="459">
        <v>1008</v>
      </c>
      <c r="AS1681" s="459">
        <v>1055</v>
      </c>
      <c r="AT1681" s="459">
        <v>1088</v>
      </c>
      <c r="AU1681" s="459">
        <v>1044</v>
      </c>
      <c r="AV1681" s="459">
        <v>1134</v>
      </c>
      <c r="AW1681" s="459">
        <v>1071</v>
      </c>
      <c r="AX1681" s="459">
        <v>1049</v>
      </c>
      <c r="AY1681" s="459">
        <v>1012</v>
      </c>
      <c r="AZ1681" s="459">
        <v>1042</v>
      </c>
      <c r="BA1681" s="459">
        <v>1020</v>
      </c>
      <c r="BB1681" s="459">
        <v>1028</v>
      </c>
      <c r="BC1681" s="459">
        <v>1069</v>
      </c>
      <c r="BD1681" s="459">
        <v>1059</v>
      </c>
      <c r="BE1681" s="459">
        <v>1009</v>
      </c>
      <c r="BF1681" s="459">
        <v>928</v>
      </c>
      <c r="BG1681" s="459">
        <v>925</v>
      </c>
      <c r="BH1681" s="459">
        <v>1017</v>
      </c>
      <c r="BI1681" s="459">
        <v>1045</v>
      </c>
      <c r="BJ1681" s="459">
        <v>1084</v>
      </c>
      <c r="BK1681" s="459">
        <v>1138</v>
      </c>
      <c r="BL1681" s="459">
        <v>1215</v>
      </c>
      <c r="BM1681" s="459">
        <v>1302</v>
      </c>
      <c r="BN1681" s="459">
        <v>1248</v>
      </c>
      <c r="BO1681" s="459">
        <v>1240</v>
      </c>
      <c r="BP1681" s="459">
        <v>1273</v>
      </c>
      <c r="BQ1681" s="459">
        <v>1377</v>
      </c>
      <c r="BR1681" s="459">
        <v>1389</v>
      </c>
      <c r="BS1681" s="459">
        <v>1431</v>
      </c>
      <c r="BT1681" s="459">
        <v>1476</v>
      </c>
      <c r="BU1681" s="459">
        <v>1334</v>
      </c>
      <c r="BV1681" s="459">
        <v>1428</v>
      </c>
      <c r="BW1681" s="459">
        <v>1363</v>
      </c>
      <c r="BX1681" s="459">
        <v>1341</v>
      </c>
      <c r="BY1681" s="459">
        <v>1270</v>
      </c>
      <c r="BZ1681" s="459">
        <v>1293</v>
      </c>
      <c r="CA1681" s="459">
        <v>1258</v>
      </c>
      <c r="CB1681" s="459">
        <v>1171</v>
      </c>
      <c r="CC1681" s="459">
        <v>1265</v>
      </c>
      <c r="CD1681" s="459">
        <v>1215</v>
      </c>
      <c r="CE1681" s="459">
        <v>1179</v>
      </c>
      <c r="CF1681" s="459">
        <v>1140</v>
      </c>
      <c r="CG1681" s="459">
        <v>1091</v>
      </c>
      <c r="CH1681" s="459">
        <v>1125</v>
      </c>
      <c r="CI1681" s="459">
        <v>1143</v>
      </c>
      <c r="CJ1681" s="459">
        <v>1158</v>
      </c>
      <c r="CK1681" s="459">
        <v>1139</v>
      </c>
      <c r="CL1681" s="459">
        <v>969</v>
      </c>
      <c r="CM1681" s="459">
        <v>884</v>
      </c>
      <c r="CN1681" s="459">
        <v>813</v>
      </c>
      <c r="CO1681" s="459">
        <v>736</v>
      </c>
      <c r="CP1681" s="459">
        <v>695</v>
      </c>
      <c r="CQ1681" s="459">
        <v>569</v>
      </c>
      <c r="CR1681" s="459">
        <v>515</v>
      </c>
      <c r="CS1681" s="459">
        <v>476</v>
      </c>
      <c r="CT1681" s="459">
        <v>405</v>
      </c>
      <c r="CU1681" s="459">
        <v>407</v>
      </c>
      <c r="CV1681" s="459">
        <v>308</v>
      </c>
      <c r="CW1681" s="459">
        <v>277</v>
      </c>
      <c r="CX1681" s="459">
        <v>234</v>
      </c>
      <c r="CY1681" s="459">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3">
      <c r="A1682" s="29" t="s">
        <v>34</v>
      </c>
      <c r="B1682" s="1" t="s">
        <v>430</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459">
        <v>259</v>
      </c>
      <c r="N1682" s="459">
        <v>275</v>
      </c>
      <c r="O1682" s="459">
        <v>247</v>
      </c>
      <c r="P1682" s="459">
        <v>281</v>
      </c>
      <c r="Q1682" s="459">
        <v>292</v>
      </c>
      <c r="R1682" s="459">
        <v>288</v>
      </c>
      <c r="S1682" s="459">
        <v>308</v>
      </c>
      <c r="T1682" s="459">
        <v>347</v>
      </c>
      <c r="U1682" s="459">
        <v>314</v>
      </c>
      <c r="V1682" s="459">
        <v>312</v>
      </c>
      <c r="W1682" s="459">
        <v>369</v>
      </c>
      <c r="X1682" s="459">
        <v>366</v>
      </c>
      <c r="Y1682" s="459">
        <v>382</v>
      </c>
      <c r="Z1682" s="459">
        <v>357</v>
      </c>
      <c r="AA1682" s="459">
        <v>331</v>
      </c>
      <c r="AB1682" s="459">
        <v>335</v>
      </c>
      <c r="AC1682" s="459">
        <v>346</v>
      </c>
      <c r="AD1682" s="459">
        <v>372</v>
      </c>
      <c r="AE1682" s="459">
        <v>487</v>
      </c>
      <c r="AF1682" s="459">
        <v>987</v>
      </c>
      <c r="AG1682" s="459">
        <v>1016</v>
      </c>
      <c r="AH1682" s="459">
        <v>855</v>
      </c>
      <c r="AI1682" s="459">
        <v>757</v>
      </c>
      <c r="AJ1682" s="459">
        <v>576</v>
      </c>
      <c r="AK1682" s="459">
        <v>509</v>
      </c>
      <c r="AL1682" s="459">
        <v>407</v>
      </c>
      <c r="AM1682" s="459">
        <v>332</v>
      </c>
      <c r="AN1682" s="459">
        <v>338</v>
      </c>
      <c r="AO1682" s="459">
        <v>349</v>
      </c>
      <c r="AP1682" s="459">
        <v>360</v>
      </c>
      <c r="AQ1682" s="459">
        <v>311</v>
      </c>
      <c r="AR1682" s="459">
        <v>358</v>
      </c>
      <c r="AS1682" s="459">
        <v>364</v>
      </c>
      <c r="AT1682" s="459">
        <v>347</v>
      </c>
      <c r="AU1682" s="459">
        <v>351</v>
      </c>
      <c r="AV1682" s="459">
        <v>367</v>
      </c>
      <c r="AW1682" s="459">
        <v>326</v>
      </c>
      <c r="AX1682" s="459">
        <v>306</v>
      </c>
      <c r="AY1682" s="459">
        <v>324</v>
      </c>
      <c r="AZ1682" s="459">
        <v>304</v>
      </c>
      <c r="BA1682" s="459">
        <v>337</v>
      </c>
      <c r="BB1682" s="459">
        <v>365</v>
      </c>
      <c r="BC1682" s="459">
        <v>344</v>
      </c>
      <c r="BD1682" s="459">
        <v>319</v>
      </c>
      <c r="BE1682" s="459">
        <v>319</v>
      </c>
      <c r="BF1682" s="459">
        <v>275</v>
      </c>
      <c r="BG1682" s="459">
        <v>308</v>
      </c>
      <c r="BH1682" s="459">
        <v>348</v>
      </c>
      <c r="BI1682" s="459">
        <v>359</v>
      </c>
      <c r="BJ1682" s="459">
        <v>358</v>
      </c>
      <c r="BK1682" s="459">
        <v>350</v>
      </c>
      <c r="BL1682" s="459">
        <v>407</v>
      </c>
      <c r="BM1682" s="459">
        <v>444</v>
      </c>
      <c r="BN1682" s="459">
        <v>443</v>
      </c>
      <c r="BO1682" s="459">
        <v>507</v>
      </c>
      <c r="BP1682" s="459">
        <v>487</v>
      </c>
      <c r="BQ1682" s="459">
        <v>523</v>
      </c>
      <c r="BR1682" s="459">
        <v>523</v>
      </c>
      <c r="BS1682" s="459">
        <v>497</v>
      </c>
      <c r="BT1682" s="459">
        <v>551</v>
      </c>
      <c r="BU1682" s="459">
        <v>557</v>
      </c>
      <c r="BV1682" s="459">
        <v>547</v>
      </c>
      <c r="BW1682" s="459">
        <v>531</v>
      </c>
      <c r="BX1682" s="459">
        <v>504</v>
      </c>
      <c r="BY1682" s="459">
        <v>519</v>
      </c>
      <c r="BZ1682" s="459">
        <v>519</v>
      </c>
      <c r="CA1682" s="459">
        <v>491</v>
      </c>
      <c r="CB1682" s="459">
        <v>513</v>
      </c>
      <c r="CC1682" s="459">
        <v>480</v>
      </c>
      <c r="CD1682" s="459">
        <v>477</v>
      </c>
      <c r="CE1682" s="459">
        <v>452</v>
      </c>
      <c r="CF1682" s="459">
        <v>473</v>
      </c>
      <c r="CG1682" s="459">
        <v>434</v>
      </c>
      <c r="CH1682" s="459">
        <v>460</v>
      </c>
      <c r="CI1682" s="459">
        <v>492</v>
      </c>
      <c r="CJ1682" s="459">
        <v>510</v>
      </c>
      <c r="CK1682" s="459">
        <v>479</v>
      </c>
      <c r="CL1682" s="459">
        <v>356</v>
      </c>
      <c r="CM1682" s="459">
        <v>364</v>
      </c>
      <c r="CN1682" s="459">
        <v>341</v>
      </c>
      <c r="CO1682" s="459">
        <v>332</v>
      </c>
      <c r="CP1682" s="459">
        <v>269</v>
      </c>
      <c r="CQ1682" s="459">
        <v>203</v>
      </c>
      <c r="CR1682" s="459">
        <v>233</v>
      </c>
      <c r="CS1682" s="459">
        <v>180</v>
      </c>
      <c r="CT1682" s="459">
        <v>172</v>
      </c>
      <c r="CU1682" s="459">
        <v>148</v>
      </c>
      <c r="CV1682" s="459">
        <v>118</v>
      </c>
      <c r="CW1682" s="459">
        <v>108</v>
      </c>
      <c r="CX1682" s="459">
        <v>91</v>
      </c>
      <c r="CY1682" s="459">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3">
      <c r="A1683" s="29" t="s">
        <v>34</v>
      </c>
      <c r="B1683" s="1" t="s">
        <v>431</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459">
        <v>461</v>
      </c>
      <c r="N1683" s="459">
        <v>495</v>
      </c>
      <c r="O1683" s="459">
        <v>470</v>
      </c>
      <c r="P1683" s="459">
        <v>532</v>
      </c>
      <c r="Q1683" s="459">
        <v>535</v>
      </c>
      <c r="R1683" s="459">
        <v>561</v>
      </c>
      <c r="S1683" s="459">
        <v>542</v>
      </c>
      <c r="T1683" s="459">
        <v>575</v>
      </c>
      <c r="U1683" s="459">
        <v>612</v>
      </c>
      <c r="V1683" s="459">
        <v>596</v>
      </c>
      <c r="W1683" s="459">
        <v>620</v>
      </c>
      <c r="X1683" s="459">
        <v>614</v>
      </c>
      <c r="Y1683" s="459">
        <v>704</v>
      </c>
      <c r="Z1683" s="459">
        <v>632</v>
      </c>
      <c r="AA1683" s="459">
        <v>632</v>
      </c>
      <c r="AB1683" s="459">
        <v>607</v>
      </c>
      <c r="AC1683" s="459">
        <v>643</v>
      </c>
      <c r="AD1683" s="459">
        <v>622</v>
      </c>
      <c r="AE1683" s="459">
        <v>611</v>
      </c>
      <c r="AF1683" s="459">
        <v>476</v>
      </c>
      <c r="AG1683" s="459">
        <v>402</v>
      </c>
      <c r="AH1683" s="459">
        <v>411</v>
      </c>
      <c r="AI1683" s="459">
        <v>460</v>
      </c>
      <c r="AJ1683" s="459">
        <v>540</v>
      </c>
      <c r="AK1683" s="459">
        <v>534</v>
      </c>
      <c r="AL1683" s="459">
        <v>614</v>
      </c>
      <c r="AM1683" s="459">
        <v>583</v>
      </c>
      <c r="AN1683" s="459">
        <v>477</v>
      </c>
      <c r="AO1683" s="459">
        <v>568</v>
      </c>
      <c r="AP1683" s="459">
        <v>536</v>
      </c>
      <c r="AQ1683" s="459">
        <v>539</v>
      </c>
      <c r="AR1683" s="459">
        <v>585</v>
      </c>
      <c r="AS1683" s="459">
        <v>621</v>
      </c>
      <c r="AT1683" s="459">
        <v>565</v>
      </c>
      <c r="AU1683" s="459">
        <v>617</v>
      </c>
      <c r="AV1683" s="459">
        <v>578</v>
      </c>
      <c r="AW1683" s="459">
        <v>604</v>
      </c>
      <c r="AX1683" s="459">
        <v>542</v>
      </c>
      <c r="AY1683" s="459">
        <v>582</v>
      </c>
      <c r="AZ1683" s="459">
        <v>560</v>
      </c>
      <c r="BA1683" s="459">
        <v>536</v>
      </c>
      <c r="BB1683" s="459">
        <v>554</v>
      </c>
      <c r="BC1683" s="459">
        <v>611</v>
      </c>
      <c r="BD1683" s="459">
        <v>635</v>
      </c>
      <c r="BE1683" s="459">
        <v>572</v>
      </c>
      <c r="BF1683" s="459">
        <v>480</v>
      </c>
      <c r="BG1683" s="459">
        <v>557</v>
      </c>
      <c r="BH1683" s="459">
        <v>553</v>
      </c>
      <c r="BI1683" s="459">
        <v>568</v>
      </c>
      <c r="BJ1683" s="459">
        <v>609</v>
      </c>
      <c r="BK1683" s="459">
        <v>686</v>
      </c>
      <c r="BL1683" s="459">
        <v>796</v>
      </c>
      <c r="BM1683" s="459">
        <v>785</v>
      </c>
      <c r="BN1683" s="459">
        <v>751</v>
      </c>
      <c r="BO1683" s="459">
        <v>815</v>
      </c>
      <c r="BP1683" s="459">
        <v>781</v>
      </c>
      <c r="BQ1683" s="459">
        <v>835</v>
      </c>
      <c r="BR1683" s="459">
        <v>891</v>
      </c>
      <c r="BS1683" s="459">
        <v>894</v>
      </c>
      <c r="BT1683" s="459">
        <v>874</v>
      </c>
      <c r="BU1683" s="459">
        <v>890</v>
      </c>
      <c r="BV1683" s="459">
        <v>891</v>
      </c>
      <c r="BW1683" s="459">
        <v>898</v>
      </c>
      <c r="BX1683" s="459">
        <v>890</v>
      </c>
      <c r="BY1683" s="459">
        <v>826</v>
      </c>
      <c r="BZ1683" s="459">
        <v>798</v>
      </c>
      <c r="CA1683" s="459">
        <v>792</v>
      </c>
      <c r="CB1683" s="459">
        <v>749</v>
      </c>
      <c r="CC1683" s="459">
        <v>712</v>
      </c>
      <c r="CD1683" s="459">
        <v>775</v>
      </c>
      <c r="CE1683" s="459">
        <v>742</v>
      </c>
      <c r="CF1683" s="459">
        <v>726</v>
      </c>
      <c r="CG1683" s="459">
        <v>759</v>
      </c>
      <c r="CH1683" s="459">
        <v>718</v>
      </c>
      <c r="CI1683" s="459">
        <v>807</v>
      </c>
      <c r="CJ1683" s="459">
        <v>844</v>
      </c>
      <c r="CK1683" s="459">
        <v>825</v>
      </c>
      <c r="CL1683" s="459">
        <v>658</v>
      </c>
      <c r="CM1683" s="459">
        <v>602</v>
      </c>
      <c r="CN1683" s="459">
        <v>563</v>
      </c>
      <c r="CO1683" s="459">
        <v>509</v>
      </c>
      <c r="CP1683" s="459">
        <v>456</v>
      </c>
      <c r="CQ1683" s="459">
        <v>381</v>
      </c>
      <c r="CR1683" s="459">
        <v>343</v>
      </c>
      <c r="CS1683" s="459">
        <v>344</v>
      </c>
      <c r="CT1683" s="459">
        <v>264</v>
      </c>
      <c r="CU1683" s="459">
        <v>245</v>
      </c>
      <c r="CV1683" s="459">
        <v>228</v>
      </c>
      <c r="CW1683" s="459">
        <v>226</v>
      </c>
      <c r="CX1683" s="459">
        <v>166</v>
      </c>
      <c r="CY1683" s="459">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3">
      <c r="A1684" s="29" t="s">
        <v>34</v>
      </c>
      <c r="B1684" s="1" t="s">
        <v>432</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459">
        <v>401</v>
      </c>
      <c r="N1684" s="459">
        <v>464</v>
      </c>
      <c r="O1684" s="459">
        <v>512</v>
      </c>
      <c r="P1684" s="459">
        <v>526</v>
      </c>
      <c r="Q1684" s="459">
        <v>494</v>
      </c>
      <c r="R1684" s="459">
        <v>503</v>
      </c>
      <c r="S1684" s="459">
        <v>548</v>
      </c>
      <c r="T1684" s="459">
        <v>535</v>
      </c>
      <c r="U1684" s="459">
        <v>564</v>
      </c>
      <c r="V1684" s="459">
        <v>534</v>
      </c>
      <c r="W1684" s="459">
        <v>578</v>
      </c>
      <c r="X1684" s="459">
        <v>560</v>
      </c>
      <c r="Y1684" s="459">
        <v>600</v>
      </c>
      <c r="Z1684" s="459">
        <v>625</v>
      </c>
      <c r="AA1684" s="459">
        <v>616</v>
      </c>
      <c r="AB1684" s="459">
        <v>624</v>
      </c>
      <c r="AC1684" s="459">
        <v>599</v>
      </c>
      <c r="AD1684" s="459">
        <v>600</v>
      </c>
      <c r="AE1684" s="459">
        <v>622</v>
      </c>
      <c r="AF1684" s="459">
        <v>448</v>
      </c>
      <c r="AG1684" s="459">
        <v>447</v>
      </c>
      <c r="AH1684" s="459">
        <v>401</v>
      </c>
      <c r="AI1684" s="459">
        <v>463</v>
      </c>
      <c r="AJ1684" s="459">
        <v>442</v>
      </c>
      <c r="AK1684" s="459">
        <v>460</v>
      </c>
      <c r="AL1684" s="459">
        <v>490</v>
      </c>
      <c r="AM1684" s="459">
        <v>505</v>
      </c>
      <c r="AN1684" s="459">
        <v>514</v>
      </c>
      <c r="AO1684" s="459">
        <v>484</v>
      </c>
      <c r="AP1684" s="459">
        <v>524</v>
      </c>
      <c r="AQ1684" s="459">
        <v>480</v>
      </c>
      <c r="AR1684" s="459">
        <v>514</v>
      </c>
      <c r="AS1684" s="459">
        <v>537</v>
      </c>
      <c r="AT1684" s="459">
        <v>539</v>
      </c>
      <c r="AU1684" s="459">
        <v>492</v>
      </c>
      <c r="AV1684" s="459">
        <v>534</v>
      </c>
      <c r="AW1684" s="459">
        <v>529</v>
      </c>
      <c r="AX1684" s="459">
        <v>505</v>
      </c>
      <c r="AY1684" s="459">
        <v>491</v>
      </c>
      <c r="AZ1684" s="459">
        <v>520</v>
      </c>
      <c r="BA1684" s="459">
        <v>453</v>
      </c>
      <c r="BB1684" s="459">
        <v>497</v>
      </c>
      <c r="BC1684" s="459">
        <v>492</v>
      </c>
      <c r="BD1684" s="459">
        <v>506</v>
      </c>
      <c r="BE1684" s="459">
        <v>470</v>
      </c>
      <c r="BF1684" s="459">
        <v>424</v>
      </c>
      <c r="BG1684" s="459">
        <v>467</v>
      </c>
      <c r="BH1684" s="459">
        <v>512</v>
      </c>
      <c r="BI1684" s="459">
        <v>538</v>
      </c>
      <c r="BJ1684" s="459">
        <v>533</v>
      </c>
      <c r="BK1684" s="459">
        <v>551</v>
      </c>
      <c r="BL1684" s="459">
        <v>641</v>
      </c>
      <c r="BM1684" s="459">
        <v>668</v>
      </c>
      <c r="BN1684" s="459">
        <v>666</v>
      </c>
      <c r="BO1684" s="459">
        <v>668</v>
      </c>
      <c r="BP1684" s="459">
        <v>655</v>
      </c>
      <c r="BQ1684" s="459">
        <v>730</v>
      </c>
      <c r="BR1684" s="459">
        <v>672</v>
      </c>
      <c r="BS1684" s="459">
        <v>765</v>
      </c>
      <c r="BT1684" s="459">
        <v>757</v>
      </c>
      <c r="BU1684" s="459">
        <v>717</v>
      </c>
      <c r="BV1684" s="459">
        <v>753</v>
      </c>
      <c r="BW1684" s="459">
        <v>656</v>
      </c>
      <c r="BX1684" s="459">
        <v>699</v>
      </c>
      <c r="BY1684" s="459">
        <v>663</v>
      </c>
      <c r="BZ1684" s="459">
        <v>644</v>
      </c>
      <c r="CA1684" s="459">
        <v>637</v>
      </c>
      <c r="CB1684" s="459">
        <v>610</v>
      </c>
      <c r="CC1684" s="459">
        <v>595</v>
      </c>
      <c r="CD1684" s="459">
        <v>599</v>
      </c>
      <c r="CE1684" s="459">
        <v>582</v>
      </c>
      <c r="CF1684" s="459">
        <v>534</v>
      </c>
      <c r="CG1684" s="459">
        <v>543</v>
      </c>
      <c r="CH1684" s="459">
        <v>590</v>
      </c>
      <c r="CI1684" s="459">
        <v>638</v>
      </c>
      <c r="CJ1684" s="459">
        <v>658</v>
      </c>
      <c r="CK1684" s="459">
        <v>651</v>
      </c>
      <c r="CL1684" s="459">
        <v>445</v>
      </c>
      <c r="CM1684" s="459">
        <v>418</v>
      </c>
      <c r="CN1684" s="459">
        <v>441</v>
      </c>
      <c r="CO1684" s="459">
        <v>416</v>
      </c>
      <c r="CP1684" s="459">
        <v>329</v>
      </c>
      <c r="CQ1684" s="459">
        <v>319</v>
      </c>
      <c r="CR1684" s="459">
        <v>263</v>
      </c>
      <c r="CS1684" s="459">
        <v>231</v>
      </c>
      <c r="CT1684" s="459">
        <v>211</v>
      </c>
      <c r="CU1684" s="459">
        <v>197</v>
      </c>
      <c r="CV1684" s="459">
        <v>160</v>
      </c>
      <c r="CW1684" s="459">
        <v>148</v>
      </c>
      <c r="CX1684" s="459">
        <v>105</v>
      </c>
      <c r="CY1684" s="459">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3">
      <c r="A1685" s="29" t="s">
        <v>34</v>
      </c>
      <c r="B1685" s="1" t="s">
        <v>433</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459">
        <v>698</v>
      </c>
      <c r="N1685" s="459">
        <v>720</v>
      </c>
      <c r="O1685" s="459">
        <v>806</v>
      </c>
      <c r="P1685" s="459">
        <v>775</v>
      </c>
      <c r="Q1685" s="459">
        <v>793</v>
      </c>
      <c r="R1685" s="459">
        <v>823</v>
      </c>
      <c r="S1685" s="459">
        <v>841</v>
      </c>
      <c r="T1685" s="459">
        <v>864</v>
      </c>
      <c r="U1685" s="459">
        <v>911</v>
      </c>
      <c r="V1685" s="459">
        <v>911</v>
      </c>
      <c r="W1685" s="459">
        <v>903</v>
      </c>
      <c r="X1685" s="459">
        <v>976</v>
      </c>
      <c r="Y1685" s="459">
        <v>949</v>
      </c>
      <c r="Z1685" s="459">
        <v>1013</v>
      </c>
      <c r="AA1685" s="459">
        <v>950</v>
      </c>
      <c r="AB1685" s="459">
        <v>1048</v>
      </c>
      <c r="AC1685" s="459">
        <v>976</v>
      </c>
      <c r="AD1685" s="459">
        <v>901</v>
      </c>
      <c r="AE1685" s="459">
        <v>898</v>
      </c>
      <c r="AF1685" s="459">
        <v>756</v>
      </c>
      <c r="AG1685" s="459">
        <v>647</v>
      </c>
      <c r="AH1685" s="459">
        <v>684</v>
      </c>
      <c r="AI1685" s="459">
        <v>712</v>
      </c>
      <c r="AJ1685" s="459">
        <v>744</v>
      </c>
      <c r="AK1685" s="459">
        <v>876</v>
      </c>
      <c r="AL1685" s="459">
        <v>855</v>
      </c>
      <c r="AM1685" s="459">
        <v>832</v>
      </c>
      <c r="AN1685" s="459">
        <v>824</v>
      </c>
      <c r="AO1685" s="459">
        <v>834</v>
      </c>
      <c r="AP1685" s="459">
        <v>859</v>
      </c>
      <c r="AQ1685" s="459">
        <v>913</v>
      </c>
      <c r="AR1685" s="459">
        <v>1003</v>
      </c>
      <c r="AS1685" s="459">
        <v>902</v>
      </c>
      <c r="AT1685" s="459">
        <v>907</v>
      </c>
      <c r="AU1685" s="459">
        <v>948</v>
      </c>
      <c r="AV1685" s="459">
        <v>984</v>
      </c>
      <c r="AW1685" s="459">
        <v>951</v>
      </c>
      <c r="AX1685" s="459">
        <v>993</v>
      </c>
      <c r="AY1685" s="459">
        <v>910</v>
      </c>
      <c r="AZ1685" s="459">
        <v>865</v>
      </c>
      <c r="BA1685" s="459">
        <v>894</v>
      </c>
      <c r="BB1685" s="459">
        <v>945</v>
      </c>
      <c r="BC1685" s="459">
        <v>931</v>
      </c>
      <c r="BD1685" s="459">
        <v>937</v>
      </c>
      <c r="BE1685" s="459">
        <v>899</v>
      </c>
      <c r="BF1685" s="459">
        <v>863</v>
      </c>
      <c r="BG1685" s="459">
        <v>807</v>
      </c>
      <c r="BH1685" s="459">
        <v>843</v>
      </c>
      <c r="BI1685" s="459">
        <v>929</v>
      </c>
      <c r="BJ1685" s="459">
        <v>962</v>
      </c>
      <c r="BK1685" s="459">
        <v>993</v>
      </c>
      <c r="BL1685" s="459">
        <v>1135</v>
      </c>
      <c r="BM1685" s="459">
        <v>1166</v>
      </c>
      <c r="BN1685" s="459">
        <v>1169</v>
      </c>
      <c r="BO1685" s="459">
        <v>1223</v>
      </c>
      <c r="BP1685" s="459">
        <v>1217</v>
      </c>
      <c r="BQ1685" s="459">
        <v>1120</v>
      </c>
      <c r="BR1685" s="459">
        <v>1125</v>
      </c>
      <c r="BS1685" s="459">
        <v>1152</v>
      </c>
      <c r="BT1685" s="459">
        <v>1196</v>
      </c>
      <c r="BU1685" s="459">
        <v>1088</v>
      </c>
      <c r="BV1685" s="459">
        <v>1143</v>
      </c>
      <c r="BW1685" s="459">
        <v>1056</v>
      </c>
      <c r="BX1685" s="459">
        <v>1016</v>
      </c>
      <c r="BY1685" s="459">
        <v>1023</v>
      </c>
      <c r="BZ1685" s="459">
        <v>899</v>
      </c>
      <c r="CA1685" s="459">
        <v>872</v>
      </c>
      <c r="CB1685" s="459">
        <v>867</v>
      </c>
      <c r="CC1685" s="459">
        <v>780</v>
      </c>
      <c r="CD1685" s="459">
        <v>796</v>
      </c>
      <c r="CE1685" s="459">
        <v>831</v>
      </c>
      <c r="CF1685" s="459">
        <v>750</v>
      </c>
      <c r="CG1685" s="459">
        <v>867</v>
      </c>
      <c r="CH1685" s="459">
        <v>820</v>
      </c>
      <c r="CI1685" s="459">
        <v>855</v>
      </c>
      <c r="CJ1685" s="459">
        <v>885</v>
      </c>
      <c r="CK1685" s="459">
        <v>975</v>
      </c>
      <c r="CL1685" s="459">
        <v>604</v>
      </c>
      <c r="CM1685" s="459">
        <v>620</v>
      </c>
      <c r="CN1685" s="459">
        <v>617</v>
      </c>
      <c r="CO1685" s="459">
        <v>525</v>
      </c>
      <c r="CP1685" s="459">
        <v>445</v>
      </c>
      <c r="CQ1685" s="459">
        <v>397</v>
      </c>
      <c r="CR1685" s="459">
        <v>393</v>
      </c>
      <c r="CS1685" s="459">
        <v>316</v>
      </c>
      <c r="CT1685" s="459">
        <v>324</v>
      </c>
      <c r="CU1685" s="459">
        <v>263</v>
      </c>
      <c r="CV1685" s="459">
        <v>217</v>
      </c>
      <c r="CW1685" s="459">
        <v>188</v>
      </c>
      <c r="CX1685" s="459">
        <v>137</v>
      </c>
      <c r="CY1685" s="459">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3">
      <c r="A1686" s="29" t="s">
        <v>34</v>
      </c>
      <c r="B1686" s="1" t="s">
        <v>434</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459">
        <v>505</v>
      </c>
      <c r="N1686" s="459">
        <v>565</v>
      </c>
      <c r="O1686" s="459">
        <v>523</v>
      </c>
      <c r="P1686" s="459">
        <v>553</v>
      </c>
      <c r="Q1686" s="459">
        <v>564</v>
      </c>
      <c r="R1686" s="459">
        <v>601</v>
      </c>
      <c r="S1686" s="459">
        <v>557</v>
      </c>
      <c r="T1686" s="459">
        <v>674</v>
      </c>
      <c r="U1686" s="459">
        <v>595</v>
      </c>
      <c r="V1686" s="459">
        <v>673</v>
      </c>
      <c r="W1686" s="459">
        <v>651</v>
      </c>
      <c r="X1686" s="459">
        <v>667</v>
      </c>
      <c r="Y1686" s="459">
        <v>658</v>
      </c>
      <c r="Z1686" s="459">
        <v>728</v>
      </c>
      <c r="AA1686" s="459">
        <v>669</v>
      </c>
      <c r="AB1686" s="459">
        <v>671</v>
      </c>
      <c r="AC1686" s="459">
        <v>676</v>
      </c>
      <c r="AD1686" s="459">
        <v>643</v>
      </c>
      <c r="AE1686" s="459">
        <v>629</v>
      </c>
      <c r="AF1686" s="459">
        <v>788</v>
      </c>
      <c r="AG1686" s="459">
        <v>949</v>
      </c>
      <c r="AH1686" s="459">
        <v>929</v>
      </c>
      <c r="AI1686" s="459">
        <v>902</v>
      </c>
      <c r="AJ1686" s="459">
        <v>887</v>
      </c>
      <c r="AK1686" s="459">
        <v>831</v>
      </c>
      <c r="AL1686" s="459">
        <v>730</v>
      </c>
      <c r="AM1686" s="459">
        <v>671</v>
      </c>
      <c r="AN1686" s="459">
        <v>661</v>
      </c>
      <c r="AO1686" s="459">
        <v>662</v>
      </c>
      <c r="AP1686" s="459">
        <v>665</v>
      </c>
      <c r="AQ1686" s="459">
        <v>662</v>
      </c>
      <c r="AR1686" s="459">
        <v>698</v>
      </c>
      <c r="AS1686" s="459">
        <v>676</v>
      </c>
      <c r="AT1686" s="459">
        <v>695</v>
      </c>
      <c r="AU1686" s="459">
        <v>693</v>
      </c>
      <c r="AV1686" s="459">
        <v>688</v>
      </c>
      <c r="AW1686" s="459">
        <v>703</v>
      </c>
      <c r="AX1686" s="459">
        <v>619</v>
      </c>
      <c r="AY1686" s="459">
        <v>613</v>
      </c>
      <c r="AZ1686" s="459">
        <v>586</v>
      </c>
      <c r="BA1686" s="459">
        <v>606</v>
      </c>
      <c r="BB1686" s="459">
        <v>606</v>
      </c>
      <c r="BC1686" s="459">
        <v>609</v>
      </c>
      <c r="BD1686" s="459">
        <v>613</v>
      </c>
      <c r="BE1686" s="459">
        <v>572</v>
      </c>
      <c r="BF1686" s="459">
        <v>558</v>
      </c>
      <c r="BG1686" s="459">
        <v>579</v>
      </c>
      <c r="BH1686" s="459">
        <v>617</v>
      </c>
      <c r="BI1686" s="459">
        <v>615</v>
      </c>
      <c r="BJ1686" s="459">
        <v>673</v>
      </c>
      <c r="BK1686" s="459">
        <v>721</v>
      </c>
      <c r="BL1686" s="459">
        <v>782</v>
      </c>
      <c r="BM1686" s="459">
        <v>832</v>
      </c>
      <c r="BN1686" s="459">
        <v>804</v>
      </c>
      <c r="BO1686" s="459">
        <v>784</v>
      </c>
      <c r="BP1686" s="459">
        <v>800</v>
      </c>
      <c r="BQ1686" s="459">
        <v>837</v>
      </c>
      <c r="BR1686" s="459">
        <v>872</v>
      </c>
      <c r="BS1686" s="459">
        <v>868</v>
      </c>
      <c r="BT1686" s="459">
        <v>882</v>
      </c>
      <c r="BU1686" s="459">
        <v>885</v>
      </c>
      <c r="BV1686" s="459">
        <v>876</v>
      </c>
      <c r="BW1686" s="459">
        <v>851</v>
      </c>
      <c r="BX1686" s="459">
        <v>774</v>
      </c>
      <c r="BY1686" s="459">
        <v>760</v>
      </c>
      <c r="BZ1686" s="459">
        <v>811</v>
      </c>
      <c r="CA1686" s="459">
        <v>751</v>
      </c>
      <c r="CB1686" s="459">
        <v>716</v>
      </c>
      <c r="CC1686" s="459">
        <v>721</v>
      </c>
      <c r="CD1686" s="459">
        <v>670</v>
      </c>
      <c r="CE1686" s="459">
        <v>707</v>
      </c>
      <c r="CF1686" s="459">
        <v>639</v>
      </c>
      <c r="CG1686" s="459">
        <v>622</v>
      </c>
      <c r="CH1686" s="459">
        <v>631</v>
      </c>
      <c r="CI1686" s="459">
        <v>708</v>
      </c>
      <c r="CJ1686" s="459">
        <v>740</v>
      </c>
      <c r="CK1686" s="459">
        <v>700</v>
      </c>
      <c r="CL1686" s="459">
        <v>565</v>
      </c>
      <c r="CM1686" s="459">
        <v>496</v>
      </c>
      <c r="CN1686" s="459">
        <v>504</v>
      </c>
      <c r="CO1686" s="459">
        <v>451</v>
      </c>
      <c r="CP1686" s="459">
        <v>360</v>
      </c>
      <c r="CQ1686" s="459">
        <v>283</v>
      </c>
      <c r="CR1686" s="459">
        <v>309</v>
      </c>
      <c r="CS1686" s="459">
        <v>303</v>
      </c>
      <c r="CT1686" s="459">
        <v>230</v>
      </c>
      <c r="CU1686" s="459">
        <v>233</v>
      </c>
      <c r="CV1686" s="459">
        <v>208</v>
      </c>
      <c r="CW1686" s="459">
        <v>169</v>
      </c>
      <c r="CX1686" s="459">
        <v>129</v>
      </c>
      <c r="CY1686" s="459">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3">
      <c r="A1687" s="29" t="s">
        <v>34</v>
      </c>
      <c r="B1687" s="1" t="s">
        <v>435</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459">
        <v>264</v>
      </c>
      <c r="N1687" s="459">
        <v>280</v>
      </c>
      <c r="O1687" s="459">
        <v>322</v>
      </c>
      <c r="P1687" s="459">
        <v>308</v>
      </c>
      <c r="Q1687" s="459">
        <v>320</v>
      </c>
      <c r="R1687" s="459">
        <v>344</v>
      </c>
      <c r="S1687" s="459">
        <v>395</v>
      </c>
      <c r="T1687" s="459">
        <v>401</v>
      </c>
      <c r="U1687" s="459">
        <v>365</v>
      </c>
      <c r="V1687" s="459">
        <v>394</v>
      </c>
      <c r="W1687" s="459">
        <v>421</v>
      </c>
      <c r="X1687" s="459">
        <v>400</v>
      </c>
      <c r="Y1687" s="459">
        <v>441</v>
      </c>
      <c r="Z1687" s="459">
        <v>413</v>
      </c>
      <c r="AA1687" s="459">
        <v>437</v>
      </c>
      <c r="AB1687" s="459">
        <v>381</v>
      </c>
      <c r="AC1687" s="459">
        <v>394</v>
      </c>
      <c r="AD1687" s="459">
        <v>397</v>
      </c>
      <c r="AE1687" s="459">
        <v>373</v>
      </c>
      <c r="AF1687" s="459">
        <v>298</v>
      </c>
      <c r="AG1687" s="459">
        <v>289</v>
      </c>
      <c r="AH1687" s="459">
        <v>327</v>
      </c>
      <c r="AI1687" s="459">
        <v>296</v>
      </c>
      <c r="AJ1687" s="459">
        <v>278</v>
      </c>
      <c r="AK1687" s="459">
        <v>364</v>
      </c>
      <c r="AL1687" s="459">
        <v>298</v>
      </c>
      <c r="AM1687" s="459">
        <v>306</v>
      </c>
      <c r="AN1687" s="459">
        <v>324</v>
      </c>
      <c r="AO1687" s="459">
        <v>329</v>
      </c>
      <c r="AP1687" s="459">
        <v>360</v>
      </c>
      <c r="AQ1687" s="459">
        <v>346</v>
      </c>
      <c r="AR1687" s="459">
        <v>341</v>
      </c>
      <c r="AS1687" s="459">
        <v>340</v>
      </c>
      <c r="AT1687" s="459">
        <v>357</v>
      </c>
      <c r="AU1687" s="459">
        <v>356</v>
      </c>
      <c r="AV1687" s="459">
        <v>390</v>
      </c>
      <c r="AW1687" s="459">
        <v>375</v>
      </c>
      <c r="AX1687" s="459">
        <v>326</v>
      </c>
      <c r="AY1687" s="459">
        <v>353</v>
      </c>
      <c r="AZ1687" s="459">
        <v>372</v>
      </c>
      <c r="BA1687" s="459">
        <v>339</v>
      </c>
      <c r="BB1687" s="459">
        <v>325</v>
      </c>
      <c r="BC1687" s="459">
        <v>345</v>
      </c>
      <c r="BD1687" s="459">
        <v>369</v>
      </c>
      <c r="BE1687" s="459">
        <v>381</v>
      </c>
      <c r="BF1687" s="459">
        <v>328</v>
      </c>
      <c r="BG1687" s="459">
        <v>317</v>
      </c>
      <c r="BH1687" s="459">
        <v>325</v>
      </c>
      <c r="BI1687" s="459">
        <v>353</v>
      </c>
      <c r="BJ1687" s="459">
        <v>370</v>
      </c>
      <c r="BK1687" s="459">
        <v>436</v>
      </c>
      <c r="BL1687" s="459">
        <v>456</v>
      </c>
      <c r="BM1687" s="459">
        <v>494</v>
      </c>
      <c r="BN1687" s="459">
        <v>445</v>
      </c>
      <c r="BO1687" s="459">
        <v>474</v>
      </c>
      <c r="BP1687" s="459">
        <v>484</v>
      </c>
      <c r="BQ1687" s="459">
        <v>523</v>
      </c>
      <c r="BR1687" s="459">
        <v>492</v>
      </c>
      <c r="BS1687" s="459">
        <v>546</v>
      </c>
      <c r="BT1687" s="459">
        <v>544</v>
      </c>
      <c r="BU1687" s="459">
        <v>582</v>
      </c>
      <c r="BV1687" s="459">
        <v>524</v>
      </c>
      <c r="BW1687" s="459">
        <v>519</v>
      </c>
      <c r="BX1687" s="459">
        <v>551</v>
      </c>
      <c r="BY1687" s="459">
        <v>529</v>
      </c>
      <c r="BZ1687" s="459">
        <v>489</v>
      </c>
      <c r="CA1687" s="459">
        <v>466</v>
      </c>
      <c r="CB1687" s="459">
        <v>489</v>
      </c>
      <c r="CC1687" s="459">
        <v>477</v>
      </c>
      <c r="CD1687" s="459">
        <v>463</v>
      </c>
      <c r="CE1687" s="459">
        <v>456</v>
      </c>
      <c r="CF1687" s="459">
        <v>448</v>
      </c>
      <c r="CG1687" s="459">
        <v>427</v>
      </c>
      <c r="CH1687" s="459">
        <v>465</v>
      </c>
      <c r="CI1687" s="459">
        <v>476</v>
      </c>
      <c r="CJ1687" s="459">
        <v>488</v>
      </c>
      <c r="CK1687" s="459">
        <v>474</v>
      </c>
      <c r="CL1687" s="459">
        <v>336</v>
      </c>
      <c r="CM1687" s="459">
        <v>344</v>
      </c>
      <c r="CN1687" s="459">
        <v>356</v>
      </c>
      <c r="CO1687" s="459">
        <v>322</v>
      </c>
      <c r="CP1687" s="459">
        <v>249</v>
      </c>
      <c r="CQ1687" s="459">
        <v>225</v>
      </c>
      <c r="CR1687" s="459">
        <v>215</v>
      </c>
      <c r="CS1687" s="459">
        <v>230</v>
      </c>
      <c r="CT1687" s="459">
        <v>174</v>
      </c>
      <c r="CU1687" s="459">
        <v>163</v>
      </c>
      <c r="CV1687" s="459">
        <v>124</v>
      </c>
      <c r="CW1687" s="459">
        <v>97</v>
      </c>
      <c r="CX1687" s="459">
        <v>73</v>
      </c>
      <c r="CY1687" s="459">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3">
      <c r="A1688" s="29" t="s">
        <v>34</v>
      </c>
      <c r="B1688" s="1" t="s">
        <v>436</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459">
        <v>324</v>
      </c>
      <c r="N1688" s="459">
        <v>330</v>
      </c>
      <c r="O1688" s="459">
        <v>336</v>
      </c>
      <c r="P1688" s="459">
        <v>335</v>
      </c>
      <c r="Q1688" s="459">
        <v>319</v>
      </c>
      <c r="R1688" s="459">
        <v>374</v>
      </c>
      <c r="S1688" s="459">
        <v>406</v>
      </c>
      <c r="T1688" s="459">
        <v>392</v>
      </c>
      <c r="U1688" s="459">
        <v>364</v>
      </c>
      <c r="V1688" s="459">
        <v>351</v>
      </c>
      <c r="W1688" s="459">
        <v>355</v>
      </c>
      <c r="X1688" s="459">
        <v>379</v>
      </c>
      <c r="Y1688" s="459">
        <v>408</v>
      </c>
      <c r="Z1688" s="459">
        <v>353</v>
      </c>
      <c r="AA1688" s="459">
        <v>367</v>
      </c>
      <c r="AB1688" s="459">
        <v>373</v>
      </c>
      <c r="AC1688" s="459">
        <v>375</v>
      </c>
      <c r="AD1688" s="459">
        <v>343</v>
      </c>
      <c r="AE1688" s="459">
        <v>298</v>
      </c>
      <c r="AF1688" s="459">
        <v>288</v>
      </c>
      <c r="AG1688" s="459">
        <v>325</v>
      </c>
      <c r="AH1688" s="459">
        <v>284</v>
      </c>
      <c r="AI1688" s="459">
        <v>281</v>
      </c>
      <c r="AJ1688" s="459">
        <v>335</v>
      </c>
      <c r="AK1688" s="459">
        <v>323</v>
      </c>
      <c r="AL1688" s="459">
        <v>328</v>
      </c>
      <c r="AM1688" s="459">
        <v>367</v>
      </c>
      <c r="AN1688" s="459">
        <v>351</v>
      </c>
      <c r="AO1688" s="459">
        <v>332</v>
      </c>
      <c r="AP1688" s="459">
        <v>370</v>
      </c>
      <c r="AQ1688" s="459">
        <v>364</v>
      </c>
      <c r="AR1688" s="459">
        <v>359</v>
      </c>
      <c r="AS1688" s="459">
        <v>386</v>
      </c>
      <c r="AT1688" s="459">
        <v>392</v>
      </c>
      <c r="AU1688" s="459">
        <v>365</v>
      </c>
      <c r="AV1688" s="459">
        <v>390</v>
      </c>
      <c r="AW1688" s="459">
        <v>400</v>
      </c>
      <c r="AX1688" s="459">
        <v>415</v>
      </c>
      <c r="AY1688" s="459">
        <v>443</v>
      </c>
      <c r="AZ1688" s="459">
        <v>404</v>
      </c>
      <c r="BA1688" s="459">
        <v>340</v>
      </c>
      <c r="BB1688" s="459">
        <v>352</v>
      </c>
      <c r="BC1688" s="459">
        <v>383</v>
      </c>
      <c r="BD1688" s="459">
        <v>384</v>
      </c>
      <c r="BE1688" s="459">
        <v>339</v>
      </c>
      <c r="BF1688" s="459">
        <v>282</v>
      </c>
      <c r="BG1688" s="459">
        <v>275</v>
      </c>
      <c r="BH1688" s="459">
        <v>319</v>
      </c>
      <c r="BI1688" s="459">
        <v>327</v>
      </c>
      <c r="BJ1688" s="459">
        <v>293</v>
      </c>
      <c r="BK1688" s="459">
        <v>329</v>
      </c>
      <c r="BL1688" s="459">
        <v>355</v>
      </c>
      <c r="BM1688" s="459">
        <v>387</v>
      </c>
      <c r="BN1688" s="459">
        <v>361</v>
      </c>
      <c r="BO1688" s="459">
        <v>411</v>
      </c>
      <c r="BP1688" s="459">
        <v>384</v>
      </c>
      <c r="BQ1688" s="459">
        <v>380</v>
      </c>
      <c r="BR1688" s="459">
        <v>420</v>
      </c>
      <c r="BS1688" s="459">
        <v>416</v>
      </c>
      <c r="BT1688" s="459">
        <v>425</v>
      </c>
      <c r="BU1688" s="459">
        <v>373</v>
      </c>
      <c r="BV1688" s="459">
        <v>394</v>
      </c>
      <c r="BW1688" s="459">
        <v>360</v>
      </c>
      <c r="BX1688" s="459">
        <v>376</v>
      </c>
      <c r="BY1688" s="459">
        <v>402</v>
      </c>
      <c r="BZ1688" s="459">
        <v>387</v>
      </c>
      <c r="CA1688" s="459">
        <v>318</v>
      </c>
      <c r="CB1688" s="459">
        <v>301</v>
      </c>
      <c r="CC1688" s="459">
        <v>292</v>
      </c>
      <c r="CD1688" s="459">
        <v>317</v>
      </c>
      <c r="CE1688" s="459">
        <v>281</v>
      </c>
      <c r="CF1688" s="459">
        <v>286</v>
      </c>
      <c r="CG1688" s="459">
        <v>288</v>
      </c>
      <c r="CH1688" s="459">
        <v>267</v>
      </c>
      <c r="CI1688" s="459">
        <v>309</v>
      </c>
      <c r="CJ1688" s="459">
        <v>297</v>
      </c>
      <c r="CK1688" s="459">
        <v>242</v>
      </c>
      <c r="CL1688" s="459">
        <v>195</v>
      </c>
      <c r="CM1688" s="459">
        <v>213</v>
      </c>
      <c r="CN1688" s="459">
        <v>203</v>
      </c>
      <c r="CO1688" s="459">
        <v>177</v>
      </c>
      <c r="CP1688" s="459">
        <v>164</v>
      </c>
      <c r="CQ1688" s="459">
        <v>109</v>
      </c>
      <c r="CR1688" s="459">
        <v>113</v>
      </c>
      <c r="CS1688" s="459">
        <v>109</v>
      </c>
      <c r="CT1688" s="459">
        <v>113</v>
      </c>
      <c r="CU1688" s="459">
        <v>76</v>
      </c>
      <c r="CV1688" s="459">
        <v>61</v>
      </c>
      <c r="CW1688" s="459">
        <v>67</v>
      </c>
      <c r="CX1688" s="459">
        <v>42</v>
      </c>
      <c r="CY1688" s="459">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3">
      <c r="A1689" s="29" t="s">
        <v>34</v>
      </c>
      <c r="B1689" s="1" t="s">
        <v>437</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459">
        <v>354</v>
      </c>
      <c r="N1689" s="459">
        <v>391</v>
      </c>
      <c r="O1689" s="459">
        <v>411</v>
      </c>
      <c r="P1689" s="459">
        <v>441</v>
      </c>
      <c r="Q1689" s="459">
        <v>402</v>
      </c>
      <c r="R1689" s="459">
        <v>455</v>
      </c>
      <c r="S1689" s="459">
        <v>488</v>
      </c>
      <c r="T1689" s="459">
        <v>496</v>
      </c>
      <c r="U1689" s="459">
        <v>504</v>
      </c>
      <c r="V1689" s="459">
        <v>507</v>
      </c>
      <c r="W1689" s="459">
        <v>510</v>
      </c>
      <c r="X1689" s="459">
        <v>540</v>
      </c>
      <c r="Y1689" s="459">
        <v>542</v>
      </c>
      <c r="Z1689" s="459">
        <v>520</v>
      </c>
      <c r="AA1689" s="459">
        <v>570</v>
      </c>
      <c r="AB1689" s="459">
        <v>571</v>
      </c>
      <c r="AC1689" s="459">
        <v>576</v>
      </c>
      <c r="AD1689" s="459">
        <v>517</v>
      </c>
      <c r="AE1689" s="459">
        <v>509</v>
      </c>
      <c r="AF1689" s="459">
        <v>359</v>
      </c>
      <c r="AG1689" s="459">
        <v>271</v>
      </c>
      <c r="AH1689" s="459">
        <v>359</v>
      </c>
      <c r="AI1689" s="459">
        <v>389</v>
      </c>
      <c r="AJ1689" s="459">
        <v>436</v>
      </c>
      <c r="AK1689" s="459">
        <v>476</v>
      </c>
      <c r="AL1689" s="459">
        <v>433</v>
      </c>
      <c r="AM1689" s="459">
        <v>508</v>
      </c>
      <c r="AN1689" s="459">
        <v>469</v>
      </c>
      <c r="AO1689" s="459">
        <v>470</v>
      </c>
      <c r="AP1689" s="459">
        <v>490</v>
      </c>
      <c r="AQ1689" s="459">
        <v>454</v>
      </c>
      <c r="AR1689" s="459">
        <v>531</v>
      </c>
      <c r="AS1689" s="459">
        <v>565</v>
      </c>
      <c r="AT1689" s="459">
        <v>516</v>
      </c>
      <c r="AU1689" s="459">
        <v>515</v>
      </c>
      <c r="AV1689" s="459">
        <v>485</v>
      </c>
      <c r="AW1689" s="459">
        <v>515</v>
      </c>
      <c r="AX1689" s="459">
        <v>481</v>
      </c>
      <c r="AY1689" s="459">
        <v>486</v>
      </c>
      <c r="AZ1689" s="459">
        <v>500</v>
      </c>
      <c r="BA1689" s="459">
        <v>512</v>
      </c>
      <c r="BB1689" s="459">
        <v>485</v>
      </c>
      <c r="BC1689" s="459">
        <v>470</v>
      </c>
      <c r="BD1689" s="459">
        <v>519</v>
      </c>
      <c r="BE1689" s="459">
        <v>521</v>
      </c>
      <c r="BF1689" s="459">
        <v>468</v>
      </c>
      <c r="BG1689" s="459">
        <v>528</v>
      </c>
      <c r="BH1689" s="459">
        <v>501</v>
      </c>
      <c r="BI1689" s="459">
        <v>548</v>
      </c>
      <c r="BJ1689" s="459">
        <v>544</v>
      </c>
      <c r="BK1689" s="459">
        <v>606</v>
      </c>
      <c r="BL1689" s="459">
        <v>670</v>
      </c>
      <c r="BM1689" s="459">
        <v>705</v>
      </c>
      <c r="BN1689" s="459">
        <v>652</v>
      </c>
      <c r="BO1689" s="459">
        <v>695</v>
      </c>
      <c r="BP1689" s="459">
        <v>766</v>
      </c>
      <c r="BQ1689" s="459">
        <v>752</v>
      </c>
      <c r="BR1689" s="459">
        <v>781</v>
      </c>
      <c r="BS1689" s="459">
        <v>754</v>
      </c>
      <c r="BT1689" s="459">
        <v>756</v>
      </c>
      <c r="BU1689" s="459">
        <v>776</v>
      </c>
      <c r="BV1689" s="459">
        <v>719</v>
      </c>
      <c r="BW1689" s="459">
        <v>715</v>
      </c>
      <c r="BX1689" s="459">
        <v>664</v>
      </c>
      <c r="BY1689" s="459">
        <v>631</v>
      </c>
      <c r="BZ1689" s="459">
        <v>679</v>
      </c>
      <c r="CA1689" s="459">
        <v>623</v>
      </c>
      <c r="CB1689" s="459">
        <v>575</v>
      </c>
      <c r="CC1689" s="459">
        <v>599</v>
      </c>
      <c r="CD1689" s="459">
        <v>561</v>
      </c>
      <c r="CE1689" s="459">
        <v>597</v>
      </c>
      <c r="CF1689" s="459">
        <v>600</v>
      </c>
      <c r="CG1689" s="459">
        <v>564</v>
      </c>
      <c r="CH1689" s="459">
        <v>619</v>
      </c>
      <c r="CI1689" s="459">
        <v>586</v>
      </c>
      <c r="CJ1689" s="459">
        <v>582</v>
      </c>
      <c r="CK1689" s="459">
        <v>641</v>
      </c>
      <c r="CL1689" s="459">
        <v>477</v>
      </c>
      <c r="CM1689" s="459">
        <v>455</v>
      </c>
      <c r="CN1689" s="459">
        <v>468</v>
      </c>
      <c r="CO1689" s="459">
        <v>410</v>
      </c>
      <c r="CP1689" s="459">
        <v>349</v>
      </c>
      <c r="CQ1689" s="459">
        <v>293</v>
      </c>
      <c r="CR1689" s="459">
        <v>318</v>
      </c>
      <c r="CS1689" s="459">
        <v>263</v>
      </c>
      <c r="CT1689" s="459">
        <v>221</v>
      </c>
      <c r="CU1689" s="459">
        <v>198</v>
      </c>
      <c r="CV1689" s="459">
        <v>191</v>
      </c>
      <c r="CW1689" s="459">
        <v>149</v>
      </c>
      <c r="CX1689" s="459">
        <v>137</v>
      </c>
      <c r="CY1689" s="459">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3">
      <c r="A1690" s="29" t="s">
        <v>34</v>
      </c>
      <c r="B1690" s="1" t="s">
        <v>438</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459">
        <v>619</v>
      </c>
      <c r="N1690" s="459">
        <v>647</v>
      </c>
      <c r="O1690" s="459">
        <v>662</v>
      </c>
      <c r="P1690" s="459">
        <v>656</v>
      </c>
      <c r="Q1690" s="459">
        <v>714</v>
      </c>
      <c r="R1690" s="459">
        <v>779</v>
      </c>
      <c r="S1690" s="459">
        <v>782</v>
      </c>
      <c r="T1690" s="459">
        <v>821</v>
      </c>
      <c r="U1690" s="459">
        <v>822</v>
      </c>
      <c r="V1690" s="459">
        <v>830</v>
      </c>
      <c r="W1690" s="459">
        <v>797</v>
      </c>
      <c r="X1690" s="459">
        <v>927</v>
      </c>
      <c r="Y1690" s="459">
        <v>928</v>
      </c>
      <c r="Z1690" s="459">
        <v>867</v>
      </c>
      <c r="AA1690" s="459">
        <v>870</v>
      </c>
      <c r="AB1690" s="459">
        <v>876</v>
      </c>
      <c r="AC1690" s="459">
        <v>850</v>
      </c>
      <c r="AD1690" s="459">
        <v>858</v>
      </c>
      <c r="AE1690" s="459">
        <v>1006</v>
      </c>
      <c r="AF1690" s="459">
        <v>1747</v>
      </c>
      <c r="AG1690" s="459">
        <v>932</v>
      </c>
      <c r="AH1690" s="459">
        <v>866</v>
      </c>
      <c r="AI1690" s="459">
        <v>586</v>
      </c>
      <c r="AJ1690" s="459">
        <v>608</v>
      </c>
      <c r="AK1690" s="459">
        <v>672</v>
      </c>
      <c r="AL1690" s="459">
        <v>707</v>
      </c>
      <c r="AM1690" s="459">
        <v>788</v>
      </c>
      <c r="AN1690" s="459">
        <v>800</v>
      </c>
      <c r="AO1690" s="459">
        <v>814</v>
      </c>
      <c r="AP1690" s="459">
        <v>799</v>
      </c>
      <c r="AQ1690" s="459">
        <v>859</v>
      </c>
      <c r="AR1690" s="459">
        <v>911</v>
      </c>
      <c r="AS1690" s="459">
        <v>868</v>
      </c>
      <c r="AT1690" s="459">
        <v>869</v>
      </c>
      <c r="AU1690" s="459">
        <v>859</v>
      </c>
      <c r="AV1690" s="459">
        <v>835</v>
      </c>
      <c r="AW1690" s="459">
        <v>847</v>
      </c>
      <c r="AX1690" s="459">
        <v>917</v>
      </c>
      <c r="AY1690" s="459">
        <v>882</v>
      </c>
      <c r="AZ1690" s="459">
        <v>884</v>
      </c>
      <c r="BA1690" s="459">
        <v>840</v>
      </c>
      <c r="BB1690" s="459">
        <v>830</v>
      </c>
      <c r="BC1690" s="459">
        <v>824</v>
      </c>
      <c r="BD1690" s="459">
        <v>817</v>
      </c>
      <c r="BE1690" s="459">
        <v>864</v>
      </c>
      <c r="BF1690" s="459">
        <v>816</v>
      </c>
      <c r="BG1690" s="459">
        <v>750</v>
      </c>
      <c r="BH1690" s="459">
        <v>734</v>
      </c>
      <c r="BI1690" s="459">
        <v>817</v>
      </c>
      <c r="BJ1690" s="459">
        <v>770</v>
      </c>
      <c r="BK1690" s="459">
        <v>857</v>
      </c>
      <c r="BL1690" s="459">
        <v>860</v>
      </c>
      <c r="BM1690" s="459">
        <v>958</v>
      </c>
      <c r="BN1690" s="459">
        <v>900</v>
      </c>
      <c r="BO1690" s="459">
        <v>942</v>
      </c>
      <c r="BP1690" s="459">
        <v>998</v>
      </c>
      <c r="BQ1690" s="459">
        <v>956</v>
      </c>
      <c r="BR1690" s="459">
        <v>991</v>
      </c>
      <c r="BS1690" s="459">
        <v>999</v>
      </c>
      <c r="BT1690" s="459">
        <v>1046</v>
      </c>
      <c r="BU1690" s="459">
        <v>982</v>
      </c>
      <c r="BV1690" s="459">
        <v>965</v>
      </c>
      <c r="BW1690" s="459">
        <v>934</v>
      </c>
      <c r="BX1690" s="459">
        <v>956</v>
      </c>
      <c r="BY1690" s="459">
        <v>878</v>
      </c>
      <c r="BZ1690" s="459">
        <v>985</v>
      </c>
      <c r="CA1690" s="459">
        <v>869</v>
      </c>
      <c r="CB1690" s="459">
        <v>790</v>
      </c>
      <c r="CC1690" s="459">
        <v>786</v>
      </c>
      <c r="CD1690" s="459">
        <v>774</v>
      </c>
      <c r="CE1690" s="459">
        <v>795</v>
      </c>
      <c r="CF1690" s="459">
        <v>752</v>
      </c>
      <c r="CG1690" s="459">
        <v>699</v>
      </c>
      <c r="CH1690" s="459">
        <v>763</v>
      </c>
      <c r="CI1690" s="459">
        <v>726</v>
      </c>
      <c r="CJ1690" s="459">
        <v>807</v>
      </c>
      <c r="CK1690" s="459">
        <v>778</v>
      </c>
      <c r="CL1690" s="459">
        <v>554</v>
      </c>
      <c r="CM1690" s="459">
        <v>548</v>
      </c>
      <c r="CN1690" s="459">
        <v>529</v>
      </c>
      <c r="CO1690" s="459">
        <v>478</v>
      </c>
      <c r="CP1690" s="459">
        <v>413</v>
      </c>
      <c r="CQ1690" s="459">
        <v>336</v>
      </c>
      <c r="CR1690" s="459">
        <v>345</v>
      </c>
      <c r="CS1690" s="459">
        <v>292</v>
      </c>
      <c r="CT1690" s="459">
        <v>260</v>
      </c>
      <c r="CU1690" s="459">
        <v>231</v>
      </c>
      <c r="CV1690" s="459">
        <v>207</v>
      </c>
      <c r="CW1690" s="459">
        <v>150</v>
      </c>
      <c r="CX1690" s="459">
        <v>147</v>
      </c>
      <c r="CY1690" s="459">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3">
      <c r="A1691" s="29" t="s">
        <v>34</v>
      </c>
      <c r="B1691" s="1" t="s">
        <v>439</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459">
        <v>935</v>
      </c>
      <c r="N1691" s="459">
        <v>1016</v>
      </c>
      <c r="O1691" s="459">
        <v>1007</v>
      </c>
      <c r="P1691" s="459">
        <v>1009</v>
      </c>
      <c r="Q1691" s="459">
        <v>1067</v>
      </c>
      <c r="R1691" s="459">
        <v>1039</v>
      </c>
      <c r="S1691" s="459">
        <v>1035</v>
      </c>
      <c r="T1691" s="459">
        <v>1224</v>
      </c>
      <c r="U1691" s="459">
        <v>1104</v>
      </c>
      <c r="V1691" s="459">
        <v>1054</v>
      </c>
      <c r="W1691" s="459">
        <v>1100</v>
      </c>
      <c r="X1691" s="459">
        <v>1042</v>
      </c>
      <c r="Y1691" s="459">
        <v>1081</v>
      </c>
      <c r="Z1691" s="459">
        <v>1049</v>
      </c>
      <c r="AA1691" s="459">
        <v>1137</v>
      </c>
      <c r="AB1691" s="459">
        <v>1129</v>
      </c>
      <c r="AC1691" s="459">
        <v>958</v>
      </c>
      <c r="AD1691" s="459">
        <v>957</v>
      </c>
      <c r="AE1691" s="459">
        <v>959</v>
      </c>
      <c r="AF1691" s="459">
        <v>850</v>
      </c>
      <c r="AG1691" s="459">
        <v>751</v>
      </c>
      <c r="AH1691" s="459">
        <v>735</v>
      </c>
      <c r="AI1691" s="459">
        <v>769</v>
      </c>
      <c r="AJ1691" s="459">
        <v>894</v>
      </c>
      <c r="AK1691" s="459">
        <v>1005</v>
      </c>
      <c r="AL1691" s="459">
        <v>1025</v>
      </c>
      <c r="AM1691" s="459">
        <v>1092</v>
      </c>
      <c r="AN1691" s="459">
        <v>1091</v>
      </c>
      <c r="AO1691" s="459">
        <v>1099</v>
      </c>
      <c r="AP1691" s="459">
        <v>1142</v>
      </c>
      <c r="AQ1691" s="459">
        <v>1308</v>
      </c>
      <c r="AR1691" s="459">
        <v>1286</v>
      </c>
      <c r="AS1691" s="459">
        <v>1324</v>
      </c>
      <c r="AT1691" s="459">
        <v>1217</v>
      </c>
      <c r="AU1691" s="459">
        <v>1325</v>
      </c>
      <c r="AV1691" s="459">
        <v>1387</v>
      </c>
      <c r="AW1691" s="459">
        <v>1245</v>
      </c>
      <c r="AX1691" s="459">
        <v>1190</v>
      </c>
      <c r="AY1691" s="459">
        <v>1291</v>
      </c>
      <c r="AZ1691" s="459">
        <v>1168</v>
      </c>
      <c r="BA1691" s="459">
        <v>1049</v>
      </c>
      <c r="BB1691" s="459">
        <v>1062</v>
      </c>
      <c r="BC1691" s="459">
        <v>1069</v>
      </c>
      <c r="BD1691" s="459">
        <v>1123</v>
      </c>
      <c r="BE1691" s="459">
        <v>1050</v>
      </c>
      <c r="BF1691" s="459">
        <v>962</v>
      </c>
      <c r="BG1691" s="459">
        <v>915</v>
      </c>
      <c r="BH1691" s="459">
        <v>925</v>
      </c>
      <c r="BI1691" s="459">
        <v>956</v>
      </c>
      <c r="BJ1691" s="459">
        <v>945</v>
      </c>
      <c r="BK1691" s="459">
        <v>1005</v>
      </c>
      <c r="BL1691" s="459">
        <v>980</v>
      </c>
      <c r="BM1691" s="459">
        <v>1087</v>
      </c>
      <c r="BN1691" s="459">
        <v>1072</v>
      </c>
      <c r="BO1691" s="459">
        <v>1118</v>
      </c>
      <c r="BP1691" s="459">
        <v>929</v>
      </c>
      <c r="BQ1691" s="459">
        <v>1068</v>
      </c>
      <c r="BR1691" s="459">
        <v>1043</v>
      </c>
      <c r="BS1691" s="459">
        <v>1035</v>
      </c>
      <c r="BT1691" s="459">
        <v>1016</v>
      </c>
      <c r="BU1691" s="459">
        <v>1017</v>
      </c>
      <c r="BV1691" s="459">
        <v>915</v>
      </c>
      <c r="BW1691" s="459">
        <v>967</v>
      </c>
      <c r="BX1691" s="459">
        <v>878</v>
      </c>
      <c r="BY1691" s="459">
        <v>955</v>
      </c>
      <c r="BZ1691" s="459">
        <v>826</v>
      </c>
      <c r="CA1691" s="459">
        <v>782</v>
      </c>
      <c r="CB1691" s="459">
        <v>662</v>
      </c>
      <c r="CC1691" s="459">
        <v>663</v>
      </c>
      <c r="CD1691" s="459">
        <v>706</v>
      </c>
      <c r="CE1691" s="459">
        <v>734</v>
      </c>
      <c r="CF1691" s="459">
        <v>662</v>
      </c>
      <c r="CG1691" s="459">
        <v>588</v>
      </c>
      <c r="CH1691" s="459">
        <v>632</v>
      </c>
      <c r="CI1691" s="459">
        <v>601</v>
      </c>
      <c r="CJ1691" s="459">
        <v>678</v>
      </c>
      <c r="CK1691" s="459">
        <v>722</v>
      </c>
      <c r="CL1691" s="459">
        <v>491</v>
      </c>
      <c r="CM1691" s="459">
        <v>489</v>
      </c>
      <c r="CN1691" s="459">
        <v>471</v>
      </c>
      <c r="CO1691" s="459">
        <v>428</v>
      </c>
      <c r="CP1691" s="459">
        <v>358</v>
      </c>
      <c r="CQ1691" s="459">
        <v>296</v>
      </c>
      <c r="CR1691" s="459">
        <v>291</v>
      </c>
      <c r="CS1691" s="459">
        <v>281</v>
      </c>
      <c r="CT1691" s="459">
        <v>226</v>
      </c>
      <c r="CU1691" s="459">
        <v>209</v>
      </c>
      <c r="CV1691" s="459">
        <v>199</v>
      </c>
      <c r="CW1691" s="459">
        <v>141</v>
      </c>
      <c r="CX1691" s="459">
        <v>118</v>
      </c>
      <c r="CY1691" s="459">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3">
      <c r="A1692" s="29" t="s">
        <v>34</v>
      </c>
      <c r="B1692" s="1" t="s">
        <v>440</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459">
        <v>527</v>
      </c>
      <c r="N1692" s="459">
        <v>557</v>
      </c>
      <c r="O1692" s="459">
        <v>555</v>
      </c>
      <c r="P1692" s="459">
        <v>581</v>
      </c>
      <c r="Q1692" s="459">
        <v>606</v>
      </c>
      <c r="R1692" s="459">
        <v>651</v>
      </c>
      <c r="S1692" s="459">
        <v>642</v>
      </c>
      <c r="T1692" s="459">
        <v>679</v>
      </c>
      <c r="U1692" s="459">
        <v>704</v>
      </c>
      <c r="V1692" s="459">
        <v>714</v>
      </c>
      <c r="W1692" s="459">
        <v>705</v>
      </c>
      <c r="X1692" s="459">
        <v>709</v>
      </c>
      <c r="Y1692" s="459">
        <v>757</v>
      </c>
      <c r="Z1692" s="459">
        <v>735</v>
      </c>
      <c r="AA1692" s="459">
        <v>698</v>
      </c>
      <c r="AB1692" s="459">
        <v>780</v>
      </c>
      <c r="AC1692" s="459">
        <v>696</v>
      </c>
      <c r="AD1692" s="459">
        <v>764</v>
      </c>
      <c r="AE1692" s="459">
        <v>721</v>
      </c>
      <c r="AF1692" s="459">
        <v>587</v>
      </c>
      <c r="AG1692" s="459">
        <v>490</v>
      </c>
      <c r="AH1692" s="459">
        <v>500</v>
      </c>
      <c r="AI1692" s="459">
        <v>596</v>
      </c>
      <c r="AJ1692" s="459">
        <v>641</v>
      </c>
      <c r="AK1692" s="459">
        <v>603</v>
      </c>
      <c r="AL1692" s="459">
        <v>650</v>
      </c>
      <c r="AM1692" s="459">
        <v>669</v>
      </c>
      <c r="AN1692" s="459">
        <v>616</v>
      </c>
      <c r="AO1692" s="459">
        <v>532</v>
      </c>
      <c r="AP1692" s="459">
        <v>583</v>
      </c>
      <c r="AQ1692" s="459">
        <v>655</v>
      </c>
      <c r="AR1692" s="459">
        <v>732</v>
      </c>
      <c r="AS1692" s="459">
        <v>702</v>
      </c>
      <c r="AT1692" s="459">
        <v>647</v>
      </c>
      <c r="AU1692" s="459">
        <v>607</v>
      </c>
      <c r="AV1692" s="459">
        <v>714</v>
      </c>
      <c r="AW1692" s="459">
        <v>658</v>
      </c>
      <c r="AX1692" s="459">
        <v>651</v>
      </c>
      <c r="AY1692" s="459">
        <v>619</v>
      </c>
      <c r="AZ1692" s="459">
        <v>628</v>
      </c>
      <c r="BA1692" s="459">
        <v>616</v>
      </c>
      <c r="BB1692" s="459">
        <v>626</v>
      </c>
      <c r="BC1692" s="459">
        <v>619</v>
      </c>
      <c r="BD1692" s="459">
        <v>667</v>
      </c>
      <c r="BE1692" s="459">
        <v>608</v>
      </c>
      <c r="BF1692" s="459">
        <v>582</v>
      </c>
      <c r="BG1692" s="459">
        <v>557</v>
      </c>
      <c r="BH1692" s="459">
        <v>583</v>
      </c>
      <c r="BI1692" s="459">
        <v>621</v>
      </c>
      <c r="BJ1692" s="459">
        <v>660</v>
      </c>
      <c r="BK1692" s="459">
        <v>725</v>
      </c>
      <c r="BL1692" s="459">
        <v>748</v>
      </c>
      <c r="BM1692" s="459">
        <v>771</v>
      </c>
      <c r="BN1692" s="459">
        <v>821</v>
      </c>
      <c r="BO1692" s="459">
        <v>820</v>
      </c>
      <c r="BP1692" s="459">
        <v>859</v>
      </c>
      <c r="BQ1692" s="459">
        <v>918</v>
      </c>
      <c r="BR1692" s="459">
        <v>929</v>
      </c>
      <c r="BS1692" s="459">
        <v>940</v>
      </c>
      <c r="BT1692" s="459">
        <v>906</v>
      </c>
      <c r="BU1692" s="459">
        <v>1025</v>
      </c>
      <c r="BV1692" s="459">
        <v>987</v>
      </c>
      <c r="BW1692" s="459">
        <v>922</v>
      </c>
      <c r="BX1692" s="459">
        <v>902</v>
      </c>
      <c r="BY1692" s="459">
        <v>979</v>
      </c>
      <c r="BZ1692" s="459">
        <v>904</v>
      </c>
      <c r="CA1692" s="459">
        <v>858</v>
      </c>
      <c r="CB1692" s="459">
        <v>861</v>
      </c>
      <c r="CC1692" s="459">
        <v>859</v>
      </c>
      <c r="CD1692" s="459">
        <v>881</v>
      </c>
      <c r="CE1692" s="459">
        <v>858</v>
      </c>
      <c r="CF1692" s="459">
        <v>788</v>
      </c>
      <c r="CG1692" s="459">
        <v>819</v>
      </c>
      <c r="CH1692" s="459">
        <v>819</v>
      </c>
      <c r="CI1692" s="459">
        <v>769</v>
      </c>
      <c r="CJ1692" s="459">
        <v>808</v>
      </c>
      <c r="CK1692" s="459">
        <v>861</v>
      </c>
      <c r="CL1692" s="459">
        <v>588</v>
      </c>
      <c r="CM1692" s="459">
        <v>613</v>
      </c>
      <c r="CN1692" s="459">
        <v>589</v>
      </c>
      <c r="CO1692" s="459">
        <v>511</v>
      </c>
      <c r="CP1692" s="459">
        <v>462</v>
      </c>
      <c r="CQ1692" s="459">
        <v>433</v>
      </c>
      <c r="CR1692" s="459">
        <v>384</v>
      </c>
      <c r="CS1692" s="459">
        <v>345</v>
      </c>
      <c r="CT1692" s="459">
        <v>297</v>
      </c>
      <c r="CU1692" s="459">
        <v>234</v>
      </c>
      <c r="CV1692" s="459">
        <v>223</v>
      </c>
      <c r="CW1692" s="459">
        <v>188</v>
      </c>
      <c r="CX1692" s="459">
        <v>113</v>
      </c>
      <c r="CY1692" s="459">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3">
      <c r="A1693" s="29" t="s">
        <v>34</v>
      </c>
      <c r="B1693" s="1" t="s">
        <v>441</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459">
        <v>500</v>
      </c>
      <c r="N1693" s="459">
        <v>567</v>
      </c>
      <c r="O1693" s="459">
        <v>567</v>
      </c>
      <c r="P1693" s="459">
        <v>565</v>
      </c>
      <c r="Q1693" s="459">
        <v>628</v>
      </c>
      <c r="R1693" s="459">
        <v>679</v>
      </c>
      <c r="S1693" s="459">
        <v>663</v>
      </c>
      <c r="T1693" s="459">
        <v>649</v>
      </c>
      <c r="U1693" s="459">
        <v>706</v>
      </c>
      <c r="V1693" s="459">
        <v>704</v>
      </c>
      <c r="W1693" s="459">
        <v>721</v>
      </c>
      <c r="X1693" s="459">
        <v>696</v>
      </c>
      <c r="Y1693" s="459">
        <v>721</v>
      </c>
      <c r="Z1693" s="459">
        <v>714</v>
      </c>
      <c r="AA1693" s="459">
        <v>729</v>
      </c>
      <c r="AB1693" s="459">
        <v>832</v>
      </c>
      <c r="AC1693" s="459">
        <v>724</v>
      </c>
      <c r="AD1693" s="459">
        <v>726</v>
      </c>
      <c r="AE1693" s="459">
        <v>743</v>
      </c>
      <c r="AF1693" s="459">
        <v>546</v>
      </c>
      <c r="AG1693" s="459">
        <v>499</v>
      </c>
      <c r="AH1693" s="459">
        <v>488</v>
      </c>
      <c r="AI1693" s="459">
        <v>542</v>
      </c>
      <c r="AJ1693" s="459">
        <v>618</v>
      </c>
      <c r="AK1693" s="459">
        <v>731</v>
      </c>
      <c r="AL1693" s="459">
        <v>629</v>
      </c>
      <c r="AM1693" s="459">
        <v>657</v>
      </c>
      <c r="AN1693" s="459">
        <v>702</v>
      </c>
      <c r="AO1693" s="459">
        <v>637</v>
      </c>
      <c r="AP1693" s="459">
        <v>685</v>
      </c>
      <c r="AQ1693" s="459">
        <v>668</v>
      </c>
      <c r="AR1693" s="459">
        <v>675</v>
      </c>
      <c r="AS1693" s="459">
        <v>697</v>
      </c>
      <c r="AT1693" s="459">
        <v>686</v>
      </c>
      <c r="AU1693" s="459">
        <v>676</v>
      </c>
      <c r="AV1693" s="459">
        <v>708</v>
      </c>
      <c r="AW1693" s="459">
        <v>618</v>
      </c>
      <c r="AX1693" s="459">
        <v>646</v>
      </c>
      <c r="AY1693" s="459">
        <v>707</v>
      </c>
      <c r="AZ1693" s="459">
        <v>646</v>
      </c>
      <c r="BA1693" s="459">
        <v>628</v>
      </c>
      <c r="BB1693" s="459">
        <v>688</v>
      </c>
      <c r="BC1693" s="459">
        <v>664</v>
      </c>
      <c r="BD1693" s="459">
        <v>683</v>
      </c>
      <c r="BE1693" s="459">
        <v>662</v>
      </c>
      <c r="BF1693" s="459">
        <v>629</v>
      </c>
      <c r="BG1693" s="459">
        <v>651</v>
      </c>
      <c r="BH1693" s="459">
        <v>664</v>
      </c>
      <c r="BI1693" s="459">
        <v>737</v>
      </c>
      <c r="BJ1693" s="459">
        <v>727</v>
      </c>
      <c r="BK1693" s="459">
        <v>742</v>
      </c>
      <c r="BL1693" s="459">
        <v>939</v>
      </c>
      <c r="BM1693" s="459">
        <v>931</v>
      </c>
      <c r="BN1693" s="459">
        <v>885</v>
      </c>
      <c r="BO1693" s="459">
        <v>995</v>
      </c>
      <c r="BP1693" s="459">
        <v>947</v>
      </c>
      <c r="BQ1693" s="459">
        <v>1071</v>
      </c>
      <c r="BR1693" s="459">
        <v>1051</v>
      </c>
      <c r="BS1693" s="459">
        <v>1105</v>
      </c>
      <c r="BT1693" s="459">
        <v>1052</v>
      </c>
      <c r="BU1693" s="459">
        <v>1097</v>
      </c>
      <c r="BV1693" s="459">
        <v>1105</v>
      </c>
      <c r="BW1693" s="459">
        <v>1093</v>
      </c>
      <c r="BX1693" s="459">
        <v>1092</v>
      </c>
      <c r="BY1693" s="459">
        <v>1073</v>
      </c>
      <c r="BZ1693" s="459">
        <v>974</v>
      </c>
      <c r="CA1693" s="459">
        <v>1011</v>
      </c>
      <c r="CB1693" s="459">
        <v>1034</v>
      </c>
      <c r="CC1693" s="459">
        <v>919</v>
      </c>
      <c r="CD1693" s="459">
        <v>973</v>
      </c>
      <c r="CE1693" s="459">
        <v>971</v>
      </c>
      <c r="CF1693" s="459">
        <v>935</v>
      </c>
      <c r="CG1693" s="459">
        <v>898</v>
      </c>
      <c r="CH1693" s="459">
        <v>940</v>
      </c>
      <c r="CI1693" s="459">
        <v>949</v>
      </c>
      <c r="CJ1693" s="459">
        <v>1019</v>
      </c>
      <c r="CK1693" s="459">
        <v>991</v>
      </c>
      <c r="CL1693" s="459">
        <v>736</v>
      </c>
      <c r="CM1693" s="459">
        <v>674</v>
      </c>
      <c r="CN1693" s="459">
        <v>776</v>
      </c>
      <c r="CO1693" s="459">
        <v>629</v>
      </c>
      <c r="CP1693" s="459">
        <v>531</v>
      </c>
      <c r="CQ1693" s="459">
        <v>455</v>
      </c>
      <c r="CR1693" s="459">
        <v>447</v>
      </c>
      <c r="CS1693" s="459">
        <v>377</v>
      </c>
      <c r="CT1693" s="459">
        <v>377</v>
      </c>
      <c r="CU1693" s="459">
        <v>326</v>
      </c>
      <c r="CV1693" s="459">
        <v>256</v>
      </c>
      <c r="CW1693" s="459">
        <v>251</v>
      </c>
      <c r="CX1693" s="459">
        <v>205</v>
      </c>
      <c r="CY1693" s="459">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3">
      <c r="A1694" s="29" t="s">
        <v>34</v>
      </c>
      <c r="B1694" s="1" t="s">
        <v>442</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459">
        <v>1140</v>
      </c>
      <c r="N1694" s="459">
        <v>1193</v>
      </c>
      <c r="O1694" s="459">
        <v>1210</v>
      </c>
      <c r="P1694" s="459">
        <v>1259</v>
      </c>
      <c r="Q1694" s="459">
        <v>1323</v>
      </c>
      <c r="R1694" s="459">
        <v>1394</v>
      </c>
      <c r="S1694" s="459">
        <v>1347</v>
      </c>
      <c r="T1694" s="459">
        <v>1353</v>
      </c>
      <c r="U1694" s="459">
        <v>1441</v>
      </c>
      <c r="V1694" s="459">
        <v>1459</v>
      </c>
      <c r="W1694" s="459">
        <v>1469</v>
      </c>
      <c r="X1694" s="459">
        <v>1475</v>
      </c>
      <c r="Y1694" s="459">
        <v>1526</v>
      </c>
      <c r="Z1694" s="459">
        <v>1426</v>
      </c>
      <c r="AA1694" s="459">
        <v>1603</v>
      </c>
      <c r="AB1694" s="459">
        <v>1474</v>
      </c>
      <c r="AC1694" s="459">
        <v>1488</v>
      </c>
      <c r="AD1694" s="459">
        <v>1401</v>
      </c>
      <c r="AE1694" s="459">
        <v>1439</v>
      </c>
      <c r="AF1694" s="459">
        <v>1327</v>
      </c>
      <c r="AG1694" s="459">
        <v>1440</v>
      </c>
      <c r="AH1694" s="459">
        <v>1440</v>
      </c>
      <c r="AI1694" s="459">
        <v>1500</v>
      </c>
      <c r="AJ1694" s="459">
        <v>1367</v>
      </c>
      <c r="AK1694" s="459">
        <v>1559</v>
      </c>
      <c r="AL1694" s="459">
        <v>1408</v>
      </c>
      <c r="AM1694" s="459">
        <v>1581</v>
      </c>
      <c r="AN1694" s="459">
        <v>1460</v>
      </c>
      <c r="AO1694" s="459">
        <v>1582</v>
      </c>
      <c r="AP1694" s="459">
        <v>1538</v>
      </c>
      <c r="AQ1694" s="459">
        <v>1616</v>
      </c>
      <c r="AR1694" s="459">
        <v>1610</v>
      </c>
      <c r="AS1694" s="459">
        <v>1537</v>
      </c>
      <c r="AT1694" s="459">
        <v>1739</v>
      </c>
      <c r="AU1694" s="459">
        <v>1696</v>
      </c>
      <c r="AV1694" s="459">
        <v>1559</v>
      </c>
      <c r="AW1694" s="459">
        <v>1589</v>
      </c>
      <c r="AX1694" s="459">
        <v>1564</v>
      </c>
      <c r="AY1694" s="459">
        <v>1593</v>
      </c>
      <c r="AZ1694" s="459">
        <v>1551</v>
      </c>
      <c r="BA1694" s="459">
        <v>1502</v>
      </c>
      <c r="BB1694" s="459">
        <v>1496</v>
      </c>
      <c r="BC1694" s="459">
        <v>1401</v>
      </c>
      <c r="BD1694" s="459">
        <v>1480</v>
      </c>
      <c r="BE1694" s="459">
        <v>1460</v>
      </c>
      <c r="BF1694" s="459">
        <v>1318</v>
      </c>
      <c r="BG1694" s="459">
        <v>1264</v>
      </c>
      <c r="BH1694" s="459">
        <v>1238</v>
      </c>
      <c r="BI1694" s="459">
        <v>1355</v>
      </c>
      <c r="BJ1694" s="459">
        <v>1271</v>
      </c>
      <c r="BK1694" s="459">
        <v>1523</v>
      </c>
      <c r="BL1694" s="459">
        <v>1620</v>
      </c>
      <c r="BM1694" s="459">
        <v>1690</v>
      </c>
      <c r="BN1694" s="459">
        <v>1562</v>
      </c>
      <c r="BO1694" s="459">
        <v>1621</v>
      </c>
      <c r="BP1694" s="459">
        <v>1659</v>
      </c>
      <c r="BQ1694" s="459">
        <v>1650</v>
      </c>
      <c r="BR1694" s="459">
        <v>1681</v>
      </c>
      <c r="BS1694" s="459">
        <v>1724</v>
      </c>
      <c r="BT1694" s="459">
        <v>1621</v>
      </c>
      <c r="BU1694" s="459">
        <v>1572</v>
      </c>
      <c r="BV1694" s="459">
        <v>1600</v>
      </c>
      <c r="BW1694" s="459">
        <v>1483</v>
      </c>
      <c r="BX1694" s="459">
        <v>1337</v>
      </c>
      <c r="BY1694" s="459">
        <v>1422</v>
      </c>
      <c r="BZ1694" s="459">
        <v>1370</v>
      </c>
      <c r="CA1694" s="459">
        <v>1353</v>
      </c>
      <c r="CB1694" s="459">
        <v>1253</v>
      </c>
      <c r="CC1694" s="459">
        <v>1168</v>
      </c>
      <c r="CD1694" s="459">
        <v>1192</v>
      </c>
      <c r="CE1694" s="459">
        <v>1131</v>
      </c>
      <c r="CF1694" s="459">
        <v>1211</v>
      </c>
      <c r="CG1694" s="459">
        <v>1146</v>
      </c>
      <c r="CH1694" s="459">
        <v>1188</v>
      </c>
      <c r="CI1694" s="459">
        <v>1207</v>
      </c>
      <c r="CJ1694" s="459">
        <v>1233</v>
      </c>
      <c r="CK1694" s="459">
        <v>1235</v>
      </c>
      <c r="CL1694" s="459">
        <v>1028</v>
      </c>
      <c r="CM1694" s="459">
        <v>956</v>
      </c>
      <c r="CN1694" s="459">
        <v>790</v>
      </c>
      <c r="CO1694" s="459">
        <v>668</v>
      </c>
      <c r="CP1694" s="459">
        <v>634</v>
      </c>
      <c r="CQ1694" s="459">
        <v>539</v>
      </c>
      <c r="CR1694" s="459">
        <v>489</v>
      </c>
      <c r="CS1694" s="459">
        <v>429</v>
      </c>
      <c r="CT1694" s="459">
        <v>400</v>
      </c>
      <c r="CU1694" s="459">
        <v>325</v>
      </c>
      <c r="CV1694" s="459">
        <v>310</v>
      </c>
      <c r="CW1694" s="459">
        <v>259</v>
      </c>
      <c r="CX1694" s="459">
        <v>199</v>
      </c>
      <c r="CY1694" s="459">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3">
      <c r="A1695" s="29" t="s">
        <v>34</v>
      </c>
      <c r="B1695" s="1" t="s">
        <v>443</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459">
        <v>1058</v>
      </c>
      <c r="N1695" s="459">
        <v>1165</v>
      </c>
      <c r="O1695" s="459">
        <v>1112</v>
      </c>
      <c r="P1695" s="459">
        <v>1172</v>
      </c>
      <c r="Q1695" s="459">
        <v>1276</v>
      </c>
      <c r="R1695" s="459">
        <v>1280</v>
      </c>
      <c r="S1695" s="459">
        <v>1294</v>
      </c>
      <c r="T1695" s="459">
        <v>1422</v>
      </c>
      <c r="U1695" s="459">
        <v>1400</v>
      </c>
      <c r="V1695" s="459">
        <v>1380</v>
      </c>
      <c r="W1695" s="459">
        <v>1437</v>
      </c>
      <c r="X1695" s="459">
        <v>1491</v>
      </c>
      <c r="Y1695" s="459">
        <v>1515</v>
      </c>
      <c r="Z1695" s="459">
        <v>1424</v>
      </c>
      <c r="AA1695" s="459">
        <v>1475</v>
      </c>
      <c r="AB1695" s="459">
        <v>1559</v>
      </c>
      <c r="AC1695" s="459">
        <v>1400</v>
      </c>
      <c r="AD1695" s="459">
        <v>1416</v>
      </c>
      <c r="AE1695" s="459">
        <v>1531</v>
      </c>
      <c r="AF1695" s="459">
        <v>1930</v>
      </c>
      <c r="AG1695" s="459">
        <v>2567</v>
      </c>
      <c r="AH1695" s="459">
        <v>2891</v>
      </c>
      <c r="AI1695" s="459">
        <v>2711</v>
      </c>
      <c r="AJ1695" s="459">
        <v>2259</v>
      </c>
      <c r="AK1695" s="459">
        <v>1905</v>
      </c>
      <c r="AL1695" s="459">
        <v>1512</v>
      </c>
      <c r="AM1695" s="459">
        <v>1601</v>
      </c>
      <c r="AN1695" s="459">
        <v>1579</v>
      </c>
      <c r="AO1695" s="459">
        <v>1461</v>
      </c>
      <c r="AP1695" s="459">
        <v>1487</v>
      </c>
      <c r="AQ1695" s="459">
        <v>1489</v>
      </c>
      <c r="AR1695" s="459">
        <v>1578</v>
      </c>
      <c r="AS1695" s="459">
        <v>1618</v>
      </c>
      <c r="AT1695" s="459">
        <v>1710</v>
      </c>
      <c r="AU1695" s="459">
        <v>1510</v>
      </c>
      <c r="AV1695" s="459">
        <v>1561</v>
      </c>
      <c r="AW1695" s="459">
        <v>1551</v>
      </c>
      <c r="AX1695" s="459">
        <v>1529</v>
      </c>
      <c r="AY1695" s="459">
        <v>1639</v>
      </c>
      <c r="AZ1695" s="459">
        <v>1427</v>
      </c>
      <c r="BA1695" s="459">
        <v>1494</v>
      </c>
      <c r="BB1695" s="459">
        <v>1424</v>
      </c>
      <c r="BC1695" s="459">
        <v>1458</v>
      </c>
      <c r="BD1695" s="459">
        <v>1607</v>
      </c>
      <c r="BE1695" s="459">
        <v>1342</v>
      </c>
      <c r="BF1695" s="459">
        <v>1281</v>
      </c>
      <c r="BG1695" s="459">
        <v>1291</v>
      </c>
      <c r="BH1695" s="459">
        <v>1360</v>
      </c>
      <c r="BI1695" s="459">
        <v>1382</v>
      </c>
      <c r="BJ1695" s="459">
        <v>1354</v>
      </c>
      <c r="BK1695" s="459">
        <v>1335</v>
      </c>
      <c r="BL1695" s="459">
        <v>1459</v>
      </c>
      <c r="BM1695" s="459">
        <v>1490</v>
      </c>
      <c r="BN1695" s="459">
        <v>1528</v>
      </c>
      <c r="BO1695" s="459">
        <v>1692</v>
      </c>
      <c r="BP1695" s="459">
        <v>1545</v>
      </c>
      <c r="BQ1695" s="459">
        <v>1520</v>
      </c>
      <c r="BR1695" s="459">
        <v>1533</v>
      </c>
      <c r="BS1695" s="459">
        <v>1670</v>
      </c>
      <c r="BT1695" s="459">
        <v>1629</v>
      </c>
      <c r="BU1695" s="459">
        <v>1477</v>
      </c>
      <c r="BV1695" s="459">
        <v>1504</v>
      </c>
      <c r="BW1695" s="459">
        <v>1450</v>
      </c>
      <c r="BX1695" s="459">
        <v>1418</v>
      </c>
      <c r="BY1695" s="459">
        <v>1382</v>
      </c>
      <c r="BZ1695" s="459">
        <v>1341</v>
      </c>
      <c r="CA1695" s="459">
        <v>1262</v>
      </c>
      <c r="CB1695" s="459">
        <v>1231</v>
      </c>
      <c r="CC1695" s="459">
        <v>1184</v>
      </c>
      <c r="CD1695" s="459">
        <v>1167</v>
      </c>
      <c r="CE1695" s="459">
        <v>1199</v>
      </c>
      <c r="CF1695" s="459">
        <v>1144</v>
      </c>
      <c r="CG1695" s="459">
        <v>1062</v>
      </c>
      <c r="CH1695" s="459">
        <v>1162</v>
      </c>
      <c r="CI1695" s="459">
        <v>1152</v>
      </c>
      <c r="CJ1695" s="459">
        <v>1198</v>
      </c>
      <c r="CK1695" s="459">
        <v>1296</v>
      </c>
      <c r="CL1695" s="459">
        <v>839</v>
      </c>
      <c r="CM1695" s="459">
        <v>878</v>
      </c>
      <c r="CN1695" s="459">
        <v>862</v>
      </c>
      <c r="CO1695" s="459">
        <v>807</v>
      </c>
      <c r="CP1695" s="459">
        <v>699</v>
      </c>
      <c r="CQ1695" s="459">
        <v>561</v>
      </c>
      <c r="CR1695" s="459">
        <v>554</v>
      </c>
      <c r="CS1695" s="459">
        <v>483</v>
      </c>
      <c r="CT1695" s="459">
        <v>465</v>
      </c>
      <c r="CU1695" s="459">
        <v>399</v>
      </c>
      <c r="CV1695" s="459">
        <v>354</v>
      </c>
      <c r="CW1695" s="459">
        <v>304</v>
      </c>
      <c r="CX1695" s="459">
        <v>227</v>
      </c>
      <c r="CY1695" s="459">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3">
      <c r="A1696" s="29" t="s">
        <v>34</v>
      </c>
      <c r="B1696" s="1" t="s">
        <v>444</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459">
        <v>488</v>
      </c>
      <c r="N1696" s="459">
        <v>536</v>
      </c>
      <c r="O1696" s="459">
        <v>477</v>
      </c>
      <c r="P1696" s="459">
        <v>559</v>
      </c>
      <c r="Q1696" s="459">
        <v>552</v>
      </c>
      <c r="R1696" s="459">
        <v>510</v>
      </c>
      <c r="S1696" s="459">
        <v>560</v>
      </c>
      <c r="T1696" s="459">
        <v>595</v>
      </c>
      <c r="U1696" s="459">
        <v>520</v>
      </c>
      <c r="V1696" s="459">
        <v>560</v>
      </c>
      <c r="W1696" s="459">
        <v>568</v>
      </c>
      <c r="X1696" s="459">
        <v>600</v>
      </c>
      <c r="Y1696" s="459">
        <v>617</v>
      </c>
      <c r="Z1696" s="459">
        <v>583</v>
      </c>
      <c r="AA1696" s="459">
        <v>632</v>
      </c>
      <c r="AB1696" s="459">
        <v>587</v>
      </c>
      <c r="AC1696" s="459">
        <v>566</v>
      </c>
      <c r="AD1696" s="459">
        <v>602</v>
      </c>
      <c r="AE1696" s="459">
        <v>574</v>
      </c>
      <c r="AF1696" s="459">
        <v>433</v>
      </c>
      <c r="AG1696" s="459">
        <v>417</v>
      </c>
      <c r="AH1696" s="459">
        <v>415</v>
      </c>
      <c r="AI1696" s="459">
        <v>426</v>
      </c>
      <c r="AJ1696" s="459">
        <v>473</v>
      </c>
      <c r="AK1696" s="459">
        <v>478</v>
      </c>
      <c r="AL1696" s="459">
        <v>522</v>
      </c>
      <c r="AM1696" s="459">
        <v>600</v>
      </c>
      <c r="AN1696" s="459">
        <v>548</v>
      </c>
      <c r="AO1696" s="459">
        <v>607</v>
      </c>
      <c r="AP1696" s="459">
        <v>562</v>
      </c>
      <c r="AQ1696" s="459">
        <v>542</v>
      </c>
      <c r="AR1696" s="459">
        <v>610</v>
      </c>
      <c r="AS1696" s="459">
        <v>637</v>
      </c>
      <c r="AT1696" s="459">
        <v>624</v>
      </c>
      <c r="AU1696" s="459">
        <v>628</v>
      </c>
      <c r="AV1696" s="459">
        <v>575</v>
      </c>
      <c r="AW1696" s="459">
        <v>605</v>
      </c>
      <c r="AX1696" s="459">
        <v>611</v>
      </c>
      <c r="AY1696" s="459">
        <v>580</v>
      </c>
      <c r="AZ1696" s="459">
        <v>541</v>
      </c>
      <c r="BA1696" s="459">
        <v>549</v>
      </c>
      <c r="BB1696" s="459">
        <v>563</v>
      </c>
      <c r="BC1696" s="459">
        <v>482</v>
      </c>
      <c r="BD1696" s="459">
        <v>532</v>
      </c>
      <c r="BE1696" s="459">
        <v>542</v>
      </c>
      <c r="BF1696" s="459">
        <v>440</v>
      </c>
      <c r="BG1696" s="459">
        <v>519</v>
      </c>
      <c r="BH1696" s="459">
        <v>436</v>
      </c>
      <c r="BI1696" s="459">
        <v>496</v>
      </c>
      <c r="BJ1696" s="459">
        <v>490</v>
      </c>
      <c r="BK1696" s="459">
        <v>555</v>
      </c>
      <c r="BL1696" s="459">
        <v>579</v>
      </c>
      <c r="BM1696" s="459">
        <v>638</v>
      </c>
      <c r="BN1696" s="459">
        <v>629</v>
      </c>
      <c r="BO1696" s="459">
        <v>591</v>
      </c>
      <c r="BP1696" s="459">
        <v>589</v>
      </c>
      <c r="BQ1696" s="459">
        <v>629</v>
      </c>
      <c r="BR1696" s="459">
        <v>632</v>
      </c>
      <c r="BS1696" s="459">
        <v>712</v>
      </c>
      <c r="BT1696" s="459">
        <v>639</v>
      </c>
      <c r="BU1696" s="459">
        <v>673</v>
      </c>
      <c r="BV1696" s="459">
        <v>662</v>
      </c>
      <c r="BW1696" s="459">
        <v>647</v>
      </c>
      <c r="BX1696" s="459">
        <v>569</v>
      </c>
      <c r="BY1696" s="459">
        <v>570</v>
      </c>
      <c r="BZ1696" s="459">
        <v>582</v>
      </c>
      <c r="CA1696" s="459">
        <v>509</v>
      </c>
      <c r="CB1696" s="459">
        <v>481</v>
      </c>
      <c r="CC1696" s="459">
        <v>468</v>
      </c>
      <c r="CD1696" s="459">
        <v>525</v>
      </c>
      <c r="CE1696" s="459">
        <v>460</v>
      </c>
      <c r="CF1696" s="459">
        <v>473</v>
      </c>
      <c r="CG1696" s="459">
        <v>453</v>
      </c>
      <c r="CH1696" s="459">
        <v>449</v>
      </c>
      <c r="CI1696" s="459">
        <v>461</v>
      </c>
      <c r="CJ1696" s="459">
        <v>450</v>
      </c>
      <c r="CK1696" s="459">
        <v>525</v>
      </c>
      <c r="CL1696" s="459">
        <v>373</v>
      </c>
      <c r="CM1696" s="459">
        <v>376</v>
      </c>
      <c r="CN1696" s="459">
        <v>334</v>
      </c>
      <c r="CO1696" s="459">
        <v>283</v>
      </c>
      <c r="CP1696" s="459">
        <v>254</v>
      </c>
      <c r="CQ1696" s="459">
        <v>226</v>
      </c>
      <c r="CR1696" s="459">
        <v>201</v>
      </c>
      <c r="CS1696" s="459">
        <v>207</v>
      </c>
      <c r="CT1696" s="459">
        <v>181</v>
      </c>
      <c r="CU1696" s="459">
        <v>135</v>
      </c>
      <c r="CV1696" s="459">
        <v>127</v>
      </c>
      <c r="CW1696" s="459">
        <v>100</v>
      </c>
      <c r="CX1696" s="459">
        <v>101</v>
      </c>
      <c r="CY1696" s="459">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3">
      <c r="A1697" s="29" t="s">
        <v>34</v>
      </c>
      <c r="B1697" s="1" t="s">
        <v>445</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459">
        <v>594</v>
      </c>
      <c r="N1697" s="459">
        <v>672</v>
      </c>
      <c r="O1697" s="459">
        <v>677</v>
      </c>
      <c r="P1697" s="459">
        <v>712</v>
      </c>
      <c r="Q1697" s="459">
        <v>754</v>
      </c>
      <c r="R1697" s="459">
        <v>738</v>
      </c>
      <c r="S1697" s="459">
        <v>825</v>
      </c>
      <c r="T1697" s="459">
        <v>782</v>
      </c>
      <c r="U1697" s="459">
        <v>774</v>
      </c>
      <c r="V1697" s="459">
        <v>814</v>
      </c>
      <c r="W1697" s="459">
        <v>875</v>
      </c>
      <c r="X1697" s="459">
        <v>899</v>
      </c>
      <c r="Y1697" s="459">
        <v>880</v>
      </c>
      <c r="Z1697" s="459">
        <v>900</v>
      </c>
      <c r="AA1697" s="459">
        <v>906</v>
      </c>
      <c r="AB1697" s="459">
        <v>863</v>
      </c>
      <c r="AC1697" s="459">
        <v>859</v>
      </c>
      <c r="AD1697" s="459">
        <v>772</v>
      </c>
      <c r="AE1697" s="459">
        <v>733</v>
      </c>
      <c r="AF1697" s="459">
        <v>597</v>
      </c>
      <c r="AG1697" s="459">
        <v>564</v>
      </c>
      <c r="AH1697" s="459">
        <v>512</v>
      </c>
      <c r="AI1697" s="459">
        <v>663</v>
      </c>
      <c r="AJ1697" s="459">
        <v>713</v>
      </c>
      <c r="AK1697" s="459">
        <v>713</v>
      </c>
      <c r="AL1697" s="459">
        <v>669</v>
      </c>
      <c r="AM1697" s="459">
        <v>723</v>
      </c>
      <c r="AN1697" s="459">
        <v>699</v>
      </c>
      <c r="AO1697" s="459">
        <v>711</v>
      </c>
      <c r="AP1697" s="459">
        <v>745</v>
      </c>
      <c r="AQ1697" s="459">
        <v>703</v>
      </c>
      <c r="AR1697" s="459">
        <v>734</v>
      </c>
      <c r="AS1697" s="459">
        <v>736</v>
      </c>
      <c r="AT1697" s="459">
        <v>729</v>
      </c>
      <c r="AU1697" s="459">
        <v>809</v>
      </c>
      <c r="AV1697" s="459">
        <v>846</v>
      </c>
      <c r="AW1697" s="459">
        <v>831</v>
      </c>
      <c r="AX1697" s="459">
        <v>887</v>
      </c>
      <c r="AY1697" s="459">
        <v>751</v>
      </c>
      <c r="AZ1697" s="459">
        <v>763</v>
      </c>
      <c r="BA1697" s="459">
        <v>823</v>
      </c>
      <c r="BB1697" s="459">
        <v>841</v>
      </c>
      <c r="BC1697" s="459">
        <v>930</v>
      </c>
      <c r="BD1697" s="459">
        <v>904</v>
      </c>
      <c r="BE1697" s="459">
        <v>833</v>
      </c>
      <c r="BF1697" s="459">
        <v>696</v>
      </c>
      <c r="BG1697" s="459">
        <v>730</v>
      </c>
      <c r="BH1697" s="459">
        <v>733</v>
      </c>
      <c r="BI1697" s="459">
        <v>808</v>
      </c>
      <c r="BJ1697" s="459">
        <v>779</v>
      </c>
      <c r="BK1697" s="459">
        <v>823</v>
      </c>
      <c r="BL1697" s="459">
        <v>856</v>
      </c>
      <c r="BM1697" s="459">
        <v>879</v>
      </c>
      <c r="BN1697" s="459">
        <v>870</v>
      </c>
      <c r="BO1697" s="459">
        <v>912</v>
      </c>
      <c r="BP1697" s="459">
        <v>884</v>
      </c>
      <c r="BQ1697" s="459">
        <v>932</v>
      </c>
      <c r="BR1697" s="459">
        <v>862</v>
      </c>
      <c r="BS1697" s="459">
        <v>889</v>
      </c>
      <c r="BT1697" s="459">
        <v>947</v>
      </c>
      <c r="BU1697" s="459">
        <v>906</v>
      </c>
      <c r="BV1697" s="459">
        <v>916</v>
      </c>
      <c r="BW1697" s="459">
        <v>915</v>
      </c>
      <c r="BX1697" s="459">
        <v>827</v>
      </c>
      <c r="BY1697" s="459">
        <v>849</v>
      </c>
      <c r="BZ1697" s="459">
        <v>747</v>
      </c>
      <c r="CA1697" s="459">
        <v>787</v>
      </c>
      <c r="CB1697" s="459">
        <v>746</v>
      </c>
      <c r="CC1697" s="459">
        <v>747</v>
      </c>
      <c r="CD1697" s="459">
        <v>737</v>
      </c>
      <c r="CE1697" s="459">
        <v>745</v>
      </c>
      <c r="CF1697" s="459">
        <v>680</v>
      </c>
      <c r="CG1697" s="459">
        <v>701</v>
      </c>
      <c r="CH1697" s="459">
        <v>697</v>
      </c>
      <c r="CI1697" s="459">
        <v>697</v>
      </c>
      <c r="CJ1697" s="459">
        <v>718</v>
      </c>
      <c r="CK1697" s="459">
        <v>744</v>
      </c>
      <c r="CL1697" s="459">
        <v>543</v>
      </c>
      <c r="CM1697" s="459">
        <v>528</v>
      </c>
      <c r="CN1697" s="459">
        <v>542</v>
      </c>
      <c r="CO1697" s="459">
        <v>437</v>
      </c>
      <c r="CP1697" s="459">
        <v>390</v>
      </c>
      <c r="CQ1697" s="459">
        <v>363</v>
      </c>
      <c r="CR1697" s="459">
        <v>328</v>
      </c>
      <c r="CS1697" s="459">
        <v>306</v>
      </c>
      <c r="CT1697" s="459">
        <v>271</v>
      </c>
      <c r="CU1697" s="459">
        <v>211</v>
      </c>
      <c r="CV1697" s="459">
        <v>208</v>
      </c>
      <c r="CW1697" s="459">
        <v>147</v>
      </c>
      <c r="CX1697" s="459">
        <v>131</v>
      </c>
      <c r="CY1697" s="459">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3">
      <c r="A1698" s="29" t="s">
        <v>34</v>
      </c>
      <c r="B1698" s="1" t="s">
        <v>446</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459">
        <v>645</v>
      </c>
      <c r="N1698" s="459">
        <v>694</v>
      </c>
      <c r="O1698" s="459">
        <v>669</v>
      </c>
      <c r="P1698" s="459">
        <v>760</v>
      </c>
      <c r="Q1698" s="459">
        <v>740</v>
      </c>
      <c r="R1698" s="459">
        <v>727</v>
      </c>
      <c r="S1698" s="459">
        <v>786</v>
      </c>
      <c r="T1698" s="459">
        <v>791</v>
      </c>
      <c r="U1698" s="459">
        <v>773</v>
      </c>
      <c r="V1698" s="459">
        <v>817</v>
      </c>
      <c r="W1698" s="459">
        <v>873</v>
      </c>
      <c r="X1698" s="459">
        <v>853</v>
      </c>
      <c r="Y1698" s="459">
        <v>858</v>
      </c>
      <c r="Z1698" s="459">
        <v>867</v>
      </c>
      <c r="AA1698" s="459">
        <v>882</v>
      </c>
      <c r="AB1698" s="459">
        <v>828</v>
      </c>
      <c r="AC1698" s="459">
        <v>852</v>
      </c>
      <c r="AD1698" s="459">
        <v>834</v>
      </c>
      <c r="AE1698" s="459">
        <v>822</v>
      </c>
      <c r="AF1698" s="459">
        <v>691</v>
      </c>
      <c r="AG1698" s="459">
        <v>622</v>
      </c>
      <c r="AH1698" s="459">
        <v>632</v>
      </c>
      <c r="AI1698" s="459">
        <v>665</v>
      </c>
      <c r="AJ1698" s="459">
        <v>726</v>
      </c>
      <c r="AK1698" s="459">
        <v>779</v>
      </c>
      <c r="AL1698" s="459">
        <v>786</v>
      </c>
      <c r="AM1698" s="459">
        <v>814</v>
      </c>
      <c r="AN1698" s="459">
        <v>776</v>
      </c>
      <c r="AO1698" s="459">
        <v>844</v>
      </c>
      <c r="AP1698" s="459">
        <v>828</v>
      </c>
      <c r="AQ1698" s="459">
        <v>844</v>
      </c>
      <c r="AR1698" s="459">
        <v>781</v>
      </c>
      <c r="AS1698" s="459">
        <v>903</v>
      </c>
      <c r="AT1698" s="459">
        <v>892</v>
      </c>
      <c r="AU1698" s="459">
        <v>864</v>
      </c>
      <c r="AV1698" s="459">
        <v>903</v>
      </c>
      <c r="AW1698" s="459">
        <v>886</v>
      </c>
      <c r="AX1698" s="459">
        <v>939</v>
      </c>
      <c r="AY1698" s="459">
        <v>912</v>
      </c>
      <c r="AZ1698" s="459">
        <v>855</v>
      </c>
      <c r="BA1698" s="459">
        <v>853</v>
      </c>
      <c r="BB1698" s="459">
        <v>823</v>
      </c>
      <c r="BC1698" s="459">
        <v>886</v>
      </c>
      <c r="BD1698" s="459">
        <v>921</v>
      </c>
      <c r="BE1698" s="459">
        <v>882</v>
      </c>
      <c r="BF1698" s="459">
        <v>726</v>
      </c>
      <c r="BG1698" s="459">
        <v>757</v>
      </c>
      <c r="BH1698" s="459">
        <v>801</v>
      </c>
      <c r="BI1698" s="459">
        <v>794</v>
      </c>
      <c r="BJ1698" s="459">
        <v>783</v>
      </c>
      <c r="BK1698" s="459">
        <v>908</v>
      </c>
      <c r="BL1698" s="459">
        <v>954</v>
      </c>
      <c r="BM1698" s="459">
        <v>1009</v>
      </c>
      <c r="BN1698" s="459">
        <v>1001</v>
      </c>
      <c r="BO1698" s="459">
        <v>1001</v>
      </c>
      <c r="BP1698" s="459">
        <v>969</v>
      </c>
      <c r="BQ1698" s="459">
        <v>962</v>
      </c>
      <c r="BR1698" s="459">
        <v>993</v>
      </c>
      <c r="BS1698" s="459">
        <v>983</v>
      </c>
      <c r="BT1698" s="459">
        <v>975</v>
      </c>
      <c r="BU1698" s="459">
        <v>962</v>
      </c>
      <c r="BV1698" s="459">
        <v>895</v>
      </c>
      <c r="BW1698" s="459">
        <v>892</v>
      </c>
      <c r="BX1698" s="459">
        <v>838</v>
      </c>
      <c r="BY1698" s="459">
        <v>735</v>
      </c>
      <c r="BZ1698" s="459">
        <v>787</v>
      </c>
      <c r="CA1698" s="459">
        <v>784</v>
      </c>
      <c r="CB1698" s="459">
        <v>763</v>
      </c>
      <c r="CC1698" s="459">
        <v>694</v>
      </c>
      <c r="CD1698" s="459">
        <v>683</v>
      </c>
      <c r="CE1698" s="459">
        <v>703</v>
      </c>
      <c r="CF1698" s="459">
        <v>668</v>
      </c>
      <c r="CG1698" s="459">
        <v>663</v>
      </c>
      <c r="CH1698" s="459">
        <v>662</v>
      </c>
      <c r="CI1698" s="459">
        <v>675</v>
      </c>
      <c r="CJ1698" s="459">
        <v>680</v>
      </c>
      <c r="CK1698" s="459">
        <v>725</v>
      </c>
      <c r="CL1698" s="459">
        <v>549</v>
      </c>
      <c r="CM1698" s="459">
        <v>478</v>
      </c>
      <c r="CN1698" s="459">
        <v>487</v>
      </c>
      <c r="CO1698" s="459">
        <v>472</v>
      </c>
      <c r="CP1698" s="459">
        <v>402</v>
      </c>
      <c r="CQ1698" s="459">
        <v>321</v>
      </c>
      <c r="CR1698" s="459">
        <v>281</v>
      </c>
      <c r="CS1698" s="459">
        <v>251</v>
      </c>
      <c r="CT1698" s="459">
        <v>253</v>
      </c>
      <c r="CU1698" s="459">
        <v>212</v>
      </c>
      <c r="CV1698" s="459">
        <v>195</v>
      </c>
      <c r="CW1698" s="459">
        <v>135</v>
      </c>
      <c r="CX1698" s="459">
        <v>112</v>
      </c>
      <c r="CY1698" s="459">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x14ac:dyDescent="0.3">
      <c r="A1699" s="102"/>
      <c r="B1699" s="109"/>
      <c r="C1699" s="102"/>
      <c r="D1699" s="123">
        <f>SUM(D1677:D1698)</f>
        <v>1234873</v>
      </c>
      <c r="E1699" s="123">
        <f t="shared" ref="E1699:L1699" si="345">SUM(E1677:E1698)</f>
        <v>1309563</v>
      </c>
      <c r="F1699" s="123">
        <f t="shared" si="345"/>
        <v>3164404</v>
      </c>
      <c r="G1699" s="123">
        <f t="shared" si="345"/>
        <v>1552918</v>
      </c>
      <c r="H1699" s="123">
        <f t="shared" si="345"/>
        <v>1611486</v>
      </c>
      <c r="I1699" s="123">
        <f t="shared" si="345"/>
        <v>1234873</v>
      </c>
      <c r="J1699" s="123">
        <f t="shared" si="345"/>
        <v>1309563</v>
      </c>
      <c r="K1699" s="123">
        <f t="shared" si="345"/>
        <v>318045</v>
      </c>
      <c r="L1699" s="123">
        <f t="shared" si="345"/>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3">
      <c r="A1700" s="29" t="s">
        <v>38</v>
      </c>
      <c r="B1700" s="1" t="s">
        <v>447</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3">
      <c r="A1701" s="29" t="s">
        <v>38</v>
      </c>
      <c r="B1701" s="1" t="s">
        <v>448</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3">
      <c r="A1702" s="29" t="s">
        <v>38</v>
      </c>
      <c r="B1702" s="1" t="s">
        <v>449</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3">
      <c r="A1703" s="29" t="s">
        <v>38</v>
      </c>
      <c r="B1703" s="1" t="s">
        <v>450</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3">
      <c r="A1704" s="29" t="s">
        <v>38</v>
      </c>
      <c r="B1704" s="1" t="s">
        <v>451</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3">
      <c r="A1705" s="29" t="s">
        <v>38</v>
      </c>
      <c r="B1705" s="1" t="s">
        <v>452</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3">
      <c r="A1706" s="29" t="s">
        <v>38</v>
      </c>
      <c r="B1706" s="1" t="s">
        <v>453</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3">
      <c r="A1707" s="29" t="s">
        <v>38</v>
      </c>
      <c r="B1707" s="1" t="s">
        <v>454</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3">
      <c r="A1708" s="29" t="s">
        <v>38</v>
      </c>
      <c r="B1708" s="1" t="s">
        <v>455</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3">
      <c r="A1709" s="29" t="s">
        <v>38</v>
      </c>
      <c r="B1709" s="1" t="s">
        <v>456</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3">
      <c r="A1710" s="29" t="s">
        <v>38</v>
      </c>
      <c r="B1710" s="1" t="s">
        <v>457</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x14ac:dyDescent="0.3">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53">SUM(I1700:I1710)</f>
        <v>721849</v>
      </c>
      <c r="J1711" s="123">
        <f t="shared" si="353"/>
        <v>761911</v>
      </c>
      <c r="K1711" s="123">
        <f t="shared" si="353"/>
        <v>223636</v>
      </c>
      <c r="L1711" s="123">
        <f t="shared" si="353"/>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3">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597" t="s">
        <v>458</v>
      </c>
      <c r="B1714" s="598"/>
      <c r="C1714" s="599"/>
      <c r="D1714" s="596"/>
      <c r="E1714" s="596"/>
      <c r="F1714" s="596"/>
      <c r="G1714" s="596"/>
      <c r="H1714" s="596"/>
      <c r="I1714" s="596"/>
      <c r="J1714" s="596"/>
      <c r="K1714" s="596"/>
      <c r="L1714" s="596"/>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479" t="s">
        <v>459</v>
      </c>
      <c r="E1716" s="480" t="s">
        <v>460</v>
      </c>
      <c r="F1716" s="479" t="s">
        <v>461</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481" t="s">
        <v>462</v>
      </c>
      <c r="E1717" s="481" t="s">
        <v>462</v>
      </c>
      <c r="F1717" s="481" t="s">
        <v>462</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481">
        <v>2023</v>
      </c>
      <c r="E1718" s="482">
        <v>2024</v>
      </c>
      <c r="F1718" s="481">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2100</v>
      </c>
      <c r="D1719" s="483">
        <v>57690323</v>
      </c>
      <c r="E1719" s="484"/>
      <c r="F1719" s="485"/>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486" t="s">
        <v>463</v>
      </c>
      <c r="D1720" s="487"/>
      <c r="E1720" s="488"/>
      <c r="F1720" s="483">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486" t="s">
        <v>464</v>
      </c>
      <c r="D1721" s="487"/>
      <c r="E1721" s="489"/>
      <c r="F1721" s="579">
        <f>(F1720-D1719)/D1719</f>
        <v>2.5222393017282987E-2</v>
      </c>
      <c r="G1721" s="581">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486" t="s">
        <v>465</v>
      </c>
      <c r="D1722" s="487"/>
      <c r="E1722" s="490"/>
      <c r="F1722" s="483">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486" t="s">
        <v>466</v>
      </c>
      <c r="D1723" s="487"/>
      <c r="E1723" s="490"/>
      <c r="F1723" s="483">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597" t="s">
        <v>467</v>
      </c>
      <c r="B1726" s="598"/>
      <c r="C1726" s="599"/>
      <c r="D1726" s="596"/>
      <c r="E1726" s="596"/>
      <c r="F1726" s="596"/>
      <c r="G1726" s="596"/>
      <c r="H1726" s="596"/>
      <c r="I1726" s="596"/>
      <c r="J1726" s="596"/>
      <c r="K1726" s="596"/>
      <c r="L1726" s="596"/>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80"/>
      <c r="E1727" s="80"/>
      <c r="F1727" s="80"/>
      <c r="G1727" s="80"/>
      <c r="H1727" s="80"/>
      <c r="I1727" s="80"/>
      <c r="J1727" s="491"/>
      <c r="K1727" s="492" t="s">
        <v>468</v>
      </c>
      <c r="L1727" s="493"/>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475"/>
      <c r="B1728" s="476"/>
      <c r="C1728" s="19" t="s">
        <v>469</v>
      </c>
      <c r="D1728" s="126" t="s">
        <v>470</v>
      </c>
      <c r="E1728" s="126" t="s">
        <v>471</v>
      </c>
      <c r="F1728" s="126" t="s">
        <v>472</v>
      </c>
      <c r="G1728" s="126" t="s">
        <v>473</v>
      </c>
      <c r="H1728" s="126" t="s">
        <v>474</v>
      </c>
      <c r="I1728" s="126" t="s">
        <v>475</v>
      </c>
      <c r="J1728" s="583" t="s">
        <v>476</v>
      </c>
      <c r="K1728" s="584" t="s">
        <v>477</v>
      </c>
      <c r="L1728" s="297" t="s">
        <v>478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477"/>
      <c r="C1729" s="19" t="s">
        <v>479</v>
      </c>
      <c r="D1729" s="863" t="s">
        <v>480</v>
      </c>
      <c r="E1729" s="864"/>
      <c r="F1729" s="864"/>
      <c r="G1729" s="864"/>
      <c r="H1729" s="864"/>
      <c r="I1729" s="865"/>
      <c r="J1729" s="585"/>
      <c r="K1729" s="585"/>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477"/>
      <c r="B1730" s="9">
        <v>0</v>
      </c>
      <c r="C1730" s="125" t="s">
        <v>481</v>
      </c>
      <c r="D1730" s="129"/>
      <c r="E1730" s="129"/>
      <c r="F1730" s="129"/>
      <c r="G1730" s="129"/>
      <c r="H1730" s="129"/>
      <c r="I1730" s="129"/>
      <c r="J1730" s="585"/>
      <c r="K1730" s="585"/>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477"/>
      <c r="B1731" s="9">
        <v>1</v>
      </c>
      <c r="C1731" s="672" t="s">
        <v>482</v>
      </c>
      <c r="D1731" s="425"/>
      <c r="E1731" s="425">
        <v>1.0083396326386167</v>
      </c>
      <c r="F1731" s="425">
        <v>1.0068144721288348</v>
      </c>
      <c r="G1731" s="425">
        <v>1.0052783852289084</v>
      </c>
      <c r="H1731" s="425">
        <v>1.005159569821475</v>
      </c>
      <c r="I1731" s="425">
        <v>1.005034244714381</v>
      </c>
      <c r="J1731" s="586">
        <f>(I1731-100%)/5</f>
        <v>1.0068489428761928E-3</v>
      </c>
      <c r="K1731" s="587">
        <f t="shared" ref="K1731:K1741" si="354">(I1731/100%)^(1/5)-1</f>
        <v>1.0048275559169095E-3</v>
      </c>
      <c r="L1731" s="478">
        <v>1.0048275559169095E-3</v>
      </c>
      <c r="M1731" s="11"/>
      <c r="N1731" s="426"/>
      <c r="O1731" s="427"/>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477" t="s">
        <v>483</v>
      </c>
      <c r="B1732" s="9">
        <v>2</v>
      </c>
      <c r="C1732" s="179" t="s">
        <v>484</v>
      </c>
      <c r="D1732" s="129"/>
      <c r="E1732" s="129">
        <v>0.99220867160133164</v>
      </c>
      <c r="F1732" s="129">
        <v>0.99099332816200558</v>
      </c>
      <c r="G1732" s="129">
        <v>0.99149832442765373</v>
      </c>
      <c r="H1732" s="129">
        <v>0.99306376744162606</v>
      </c>
      <c r="I1732" s="129">
        <v>0.99322960389630777</v>
      </c>
      <c r="J1732" s="586">
        <f t="shared" ref="J1732:J1741" si="355">(I1732-100%)/5</f>
        <v>-1.3540792207384466E-3</v>
      </c>
      <c r="K1732" s="587">
        <f t="shared" si="354"/>
        <v>-1.357761249247913E-3</v>
      </c>
      <c r="L1732" s="430">
        <v>-1.357761249247913E-3</v>
      </c>
      <c r="M1732" s="11"/>
      <c r="N1732" s="426"/>
      <c r="O1732" s="427"/>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477" t="s">
        <v>483</v>
      </c>
      <c r="B1733" s="9">
        <v>3</v>
      </c>
      <c r="C1733" s="179" t="s">
        <v>485</v>
      </c>
      <c r="D1733" s="129"/>
      <c r="E1733" s="129">
        <v>1.0143809141680851</v>
      </c>
      <c r="F1733" s="129">
        <v>1.0083971212477236</v>
      </c>
      <c r="G1733" s="129">
        <v>1.003626338830879</v>
      </c>
      <c r="H1733" s="129">
        <v>1.0019091820289452</v>
      </c>
      <c r="I1733" s="129">
        <v>1.0029969851890055</v>
      </c>
      <c r="J1733" s="586">
        <f t="shared" si="355"/>
        <v>5.993970378010971E-4</v>
      </c>
      <c r="K1733" s="587">
        <f t="shared" si="354"/>
        <v>5.9867977357552782E-4</v>
      </c>
      <c r="L1733" s="430">
        <v>5.9867977357552782E-4</v>
      </c>
      <c r="M1733" s="11"/>
      <c r="N1733" s="426"/>
      <c r="O1733" s="427"/>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477" t="s">
        <v>483</v>
      </c>
      <c r="B1734" s="9">
        <v>4</v>
      </c>
      <c r="C1734" s="179" t="s">
        <v>486</v>
      </c>
      <c r="D1734" s="129"/>
      <c r="E1734" s="129">
        <v>1.0119831388235714</v>
      </c>
      <c r="F1734" s="129">
        <v>1.0123152749187849</v>
      </c>
      <c r="G1734" s="129">
        <v>1.0092966846901532</v>
      </c>
      <c r="H1734" s="129">
        <v>1.0093024499843755</v>
      </c>
      <c r="I1734" s="129">
        <v>1.0058607612889943</v>
      </c>
      <c r="J1734" s="586">
        <f t="shared" si="355"/>
        <v>1.1721522577988531E-3</v>
      </c>
      <c r="K1734" s="587">
        <f t="shared" si="354"/>
        <v>1.1694139993094765E-3</v>
      </c>
      <c r="L1734" s="430">
        <v>1.1694139993094765E-3</v>
      </c>
      <c r="M1734" s="11"/>
      <c r="N1734" s="426"/>
      <c r="O1734" s="427"/>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477" t="s">
        <v>483</v>
      </c>
      <c r="B1735" s="9">
        <v>5</v>
      </c>
      <c r="C1735" s="179" t="s">
        <v>487</v>
      </c>
      <c r="D1735" s="129"/>
      <c r="E1735" s="129">
        <v>0.99868810197260138</v>
      </c>
      <c r="F1735" s="129">
        <v>0.99777419677997459</v>
      </c>
      <c r="G1735" s="129">
        <v>0.99863727568848948</v>
      </c>
      <c r="H1735" s="129">
        <v>0.99899133935284168</v>
      </c>
      <c r="I1735" s="129">
        <v>1.0032834988438057</v>
      </c>
      <c r="J1735" s="586">
        <f t="shared" si="355"/>
        <v>6.5669976876114866E-4</v>
      </c>
      <c r="K1735" s="587">
        <f t="shared" si="354"/>
        <v>6.5583895492138389E-4</v>
      </c>
      <c r="L1735" s="430">
        <v>6.5583895492138389E-4</v>
      </c>
      <c r="M1735" s="11"/>
      <c r="N1735" s="426"/>
      <c r="O1735" s="427"/>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477" t="s">
        <v>483</v>
      </c>
      <c r="B1736" s="9">
        <v>6</v>
      </c>
      <c r="C1736" s="179" t="s">
        <v>488</v>
      </c>
      <c r="D1736" s="129"/>
      <c r="E1736" s="129">
        <v>1.0185737392830623</v>
      </c>
      <c r="F1736" s="129">
        <v>1.018863566736369</v>
      </c>
      <c r="G1736" s="129">
        <v>1.0165082772965106</v>
      </c>
      <c r="H1736" s="129">
        <v>1.0156627003170711</v>
      </c>
      <c r="I1736" s="129">
        <v>1.0139248252188859</v>
      </c>
      <c r="J1736" s="586">
        <f t="shared" si="355"/>
        <v>2.784965043777188E-3</v>
      </c>
      <c r="K1736" s="587">
        <f t="shared" si="354"/>
        <v>2.7695813347723419E-3</v>
      </c>
      <c r="L1736" s="430">
        <v>2.7695813347723419E-3</v>
      </c>
      <c r="M1736" s="11"/>
      <c r="N1736" s="426"/>
      <c r="O1736" s="427"/>
      <c r="P1736" s="11"/>
      <c r="Q1736" s="428"/>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477" t="s">
        <v>483</v>
      </c>
      <c r="B1737" s="9">
        <v>7</v>
      </c>
      <c r="C1737" s="179" t="s">
        <v>489</v>
      </c>
      <c r="D1737" s="129"/>
      <c r="E1737" s="129">
        <v>1.0186430018515642</v>
      </c>
      <c r="F1737" s="129">
        <v>1.016281083830104</v>
      </c>
      <c r="G1737" s="129">
        <v>1.0168046783204194</v>
      </c>
      <c r="H1737" s="129">
        <v>1.0163751107042418</v>
      </c>
      <c r="I1737" s="129">
        <v>1.0143846521681685</v>
      </c>
      <c r="J1737" s="586">
        <f t="shared" si="355"/>
        <v>2.8769304336337064E-3</v>
      </c>
      <c r="K1737" s="587">
        <f t="shared" si="354"/>
        <v>2.8605184225896085E-3</v>
      </c>
      <c r="L1737" s="430">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477" t="s">
        <v>483</v>
      </c>
      <c r="B1738" s="9">
        <v>8</v>
      </c>
      <c r="C1738" s="672" t="s">
        <v>490</v>
      </c>
      <c r="D1738" s="425"/>
      <c r="E1738" s="425">
        <v>1.0115317316189907</v>
      </c>
      <c r="F1738" s="425">
        <v>1.0098854557273558</v>
      </c>
      <c r="G1738" s="425">
        <v>1.0079031437924768</v>
      </c>
      <c r="H1738" s="425">
        <v>1.0074260195736053</v>
      </c>
      <c r="I1738" s="425">
        <v>1.0072146044968846</v>
      </c>
      <c r="J1738" s="586">
        <f t="shared" si="355"/>
        <v>1.4429208993769205E-3</v>
      </c>
      <c r="K1738" s="587">
        <f t="shared" si="354"/>
        <v>1.4387747925457273E-3</v>
      </c>
      <c r="L1738" s="47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477" t="s">
        <v>483</v>
      </c>
      <c r="B1739" s="9">
        <v>9</v>
      </c>
      <c r="C1739" s="179" t="s">
        <v>491</v>
      </c>
      <c r="D1739" s="129"/>
      <c r="E1739" s="129">
        <f>E1732</f>
        <v>0.99220867160133164</v>
      </c>
      <c r="F1739" s="129">
        <f t="shared" ref="F1739:I1739" si="356">F1732</f>
        <v>0.99099332816200558</v>
      </c>
      <c r="G1739" s="129">
        <f t="shared" si="356"/>
        <v>0.99149832442765373</v>
      </c>
      <c r="H1739" s="129">
        <f t="shared" si="356"/>
        <v>0.99306376744162606</v>
      </c>
      <c r="I1739" s="129">
        <f t="shared" si="356"/>
        <v>0.99322960389630777</v>
      </c>
      <c r="J1739" s="586">
        <f t="shared" si="355"/>
        <v>-1.3540792207384466E-3</v>
      </c>
      <c r="K1739" s="587">
        <f t="shared" si="354"/>
        <v>-1.357761249247913E-3</v>
      </c>
      <c r="L1739" s="430">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477" t="s">
        <v>483</v>
      </c>
      <c r="B1740" s="9">
        <v>10</v>
      </c>
      <c r="C1740" s="179" t="s">
        <v>492</v>
      </c>
      <c r="D1740" s="129"/>
      <c r="E1740" s="129">
        <v>1.0101622336917053</v>
      </c>
      <c r="F1740" s="129">
        <v>1.0086801518353343</v>
      </c>
      <c r="G1740" s="129">
        <v>1.0069295256394797</v>
      </c>
      <c r="H1740" s="129">
        <v>1.0064889037252818</v>
      </c>
      <c r="I1740" s="129">
        <v>1.0062891385473149</v>
      </c>
      <c r="J1740" s="586">
        <f t="shared" si="355"/>
        <v>1.2578277094629886E-3</v>
      </c>
      <c r="K1740" s="587">
        <f t="shared" si="354"/>
        <v>1.2546753363396057E-3</v>
      </c>
      <c r="L1740" s="430">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477" t="s">
        <v>483</v>
      </c>
      <c r="B1741" s="9">
        <v>11</v>
      </c>
      <c r="C1741" s="179" t="s">
        <v>493</v>
      </c>
      <c r="D1741" s="129"/>
      <c r="E1741" s="129">
        <v>1.0095905530762708</v>
      </c>
      <c r="F1741" s="129">
        <v>1.0083132699804231</v>
      </c>
      <c r="G1741" s="129">
        <v>1.006695740502793</v>
      </c>
      <c r="H1741" s="129">
        <v>1.0063437323937274</v>
      </c>
      <c r="I1741" s="129">
        <v>1.0061665544670078</v>
      </c>
      <c r="J1741" s="586">
        <f t="shared" si="355"/>
        <v>1.2333108934015514E-3</v>
      </c>
      <c r="K1741" s="587">
        <f t="shared" si="354"/>
        <v>1.2302799891306115E-3</v>
      </c>
      <c r="L1741" s="430">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477" t="s">
        <v>483</v>
      </c>
      <c r="B1742" s="9">
        <v>12</v>
      </c>
      <c r="C1742" s="179"/>
      <c r="D1742" s="125"/>
      <c r="E1742" s="125"/>
      <c r="F1742" s="125"/>
      <c r="G1742" s="125"/>
      <c r="H1742" s="125"/>
      <c r="I1742" s="125"/>
      <c r="J1742" s="586"/>
      <c r="K1742" s="587"/>
      <c r="L1742" s="588"/>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477" t="s">
        <v>483</v>
      </c>
      <c r="B1743" s="9">
        <v>13</v>
      </c>
      <c r="C1743" s="125"/>
      <c r="D1743" s="125"/>
      <c r="E1743" s="125"/>
      <c r="F1743" s="125"/>
      <c r="G1743" s="125"/>
      <c r="H1743" s="125"/>
      <c r="I1743" s="125"/>
      <c r="J1743" s="586"/>
      <c r="K1743" s="587"/>
      <c r="L1743" s="588"/>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56"/>
      <c r="B1744" s="346">
        <v>14</v>
      </c>
      <c r="C1744" s="125"/>
      <c r="D1744" s="125"/>
      <c r="E1744" s="125"/>
      <c r="F1744" s="125"/>
      <c r="G1744" s="125"/>
      <c r="H1744" s="125"/>
      <c r="I1744" s="125"/>
      <c r="J1744" s="586"/>
      <c r="K1744" s="587"/>
      <c r="L1744" s="588"/>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125"/>
      <c r="D1745" s="125"/>
      <c r="E1745" s="125"/>
      <c r="F1745" s="125"/>
      <c r="G1745" s="125"/>
      <c r="H1745" s="125"/>
      <c r="I1745" s="125"/>
      <c r="J1745" s="582" t="s">
        <v>494</v>
      </c>
      <c r="K1745" s="585"/>
      <c r="L1745" s="296" t="s">
        <v>495</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582" t="s">
        <v>496</v>
      </c>
      <c r="K1746" s="585"/>
      <c r="L1746" s="296" t="s">
        <v>497</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436" t="s">
        <v>498</v>
      </c>
      <c r="F1747" s="595"/>
      <c r="G1747" s="595"/>
      <c r="H1747" s="595"/>
      <c r="I1747" s="595"/>
      <c r="J1747" s="582" t="s">
        <v>499</v>
      </c>
      <c r="K1747" s="585"/>
      <c r="L1747" s="296" t="s">
        <v>500</v>
      </c>
      <c r="M1747" s="11"/>
      <c r="N1747" s="11"/>
      <c r="O1747" s="11"/>
      <c r="P1747" s="11"/>
      <c r="Q1747" s="11"/>
      <c r="R1747" s="429"/>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296" t="s">
        <v>501</v>
      </c>
      <c r="M1748" s="11"/>
      <c r="N1748" s="11"/>
      <c r="O1748" s="11"/>
      <c r="P1748" s="11"/>
      <c r="Q1748" s="11"/>
      <c r="R1748" s="429"/>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296" t="s">
        <v>502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296"/>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296" t="s">
        <v>503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296" t="s">
        <v>504</v>
      </c>
      <c r="M1752" s="11"/>
      <c r="N1752" s="11"/>
      <c r="O1752" s="491"/>
      <c r="P1752" s="492" t="s">
        <v>505</v>
      </c>
      <c r="Q1752" s="493"/>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 hidden="1" customHeight="1" x14ac:dyDescent="0.3">
      <c r="C1753" s="9"/>
      <c r="M1753" s="11"/>
      <c r="N1753" s="11"/>
      <c r="O1753" s="594" t="s">
        <v>476</v>
      </c>
      <c r="P1753" s="594" t="s">
        <v>477</v>
      </c>
      <c r="Q1753" s="592" t="s">
        <v>478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475"/>
      <c r="B1754" s="476"/>
      <c r="C1754" s="672" t="s">
        <v>482</v>
      </c>
      <c r="D1754" s="425"/>
      <c r="E1754" s="425">
        <f>E1731</f>
        <v>1.0083396326386167</v>
      </c>
      <c r="F1754" s="425">
        <f t="shared" ref="F1754:I1754" si="357">F1731</f>
        <v>1.0068144721288348</v>
      </c>
      <c r="G1754" s="425">
        <f t="shared" si="357"/>
        <v>1.0052783852289084</v>
      </c>
      <c r="H1754" s="425">
        <f t="shared" si="357"/>
        <v>1.005159569821475</v>
      </c>
      <c r="I1754" s="425">
        <f t="shared" si="357"/>
        <v>1.005034244714381</v>
      </c>
      <c r="J1754" s="425">
        <v>1.0049046476669568</v>
      </c>
      <c r="K1754" s="425">
        <v>1.0047743417635073</v>
      </c>
      <c r="L1754" s="425">
        <v>1.0046496264171023</v>
      </c>
      <c r="M1754" s="425">
        <v>1.0045344880171496</v>
      </c>
      <c r="N1754" s="425">
        <v>1.0044234456443373</v>
      </c>
      <c r="O1754" s="586">
        <f>(N1754-100%)/10</f>
        <v>4.4234456443372763E-4</v>
      </c>
      <c r="P1754" s="587">
        <f>(N1754/100%)^(1/10)-1</f>
        <v>4.4146651409882054E-4</v>
      </c>
      <c r="Q1754" s="435">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477" t="s">
        <v>506</v>
      </c>
      <c r="C1755" s="125" t="s">
        <v>484</v>
      </c>
      <c r="D1755" s="589"/>
      <c r="E1755" s="129">
        <f t="shared" ref="E1755:I1764" si="358">E1732</f>
        <v>0.99220867160133164</v>
      </c>
      <c r="F1755" s="129">
        <f t="shared" si="358"/>
        <v>0.99099332816200558</v>
      </c>
      <c r="G1755" s="129">
        <f t="shared" si="358"/>
        <v>0.99149832442765373</v>
      </c>
      <c r="H1755" s="129">
        <f t="shared" si="358"/>
        <v>0.99306376744162606</v>
      </c>
      <c r="I1755" s="129">
        <f t="shared" si="358"/>
        <v>0.99322960389630777</v>
      </c>
      <c r="J1755" s="129">
        <v>0.99236209142521536</v>
      </c>
      <c r="K1755" s="129">
        <v>0.99402742199053329</v>
      </c>
      <c r="L1755" s="129">
        <v>0.99546716277190817</v>
      </c>
      <c r="M1755" s="129">
        <v>0.99621360090423539</v>
      </c>
      <c r="N1755" s="129">
        <v>0.99725045732322648</v>
      </c>
      <c r="O1755" s="586">
        <f t="shared" ref="O1755:O1764" si="359">(N1755-100%)/10</f>
        <v>-2.7495426767735196E-4</v>
      </c>
      <c r="P1755" s="587">
        <f t="shared" ref="P1755:P1764" si="360">(N1755/100%)^(1/10)-1</f>
        <v>-2.7529506059797981E-4</v>
      </c>
      <c r="Q1755" s="593">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477" t="s">
        <v>506</v>
      </c>
      <c r="C1756" s="125" t="s">
        <v>485</v>
      </c>
      <c r="D1756" s="589"/>
      <c r="E1756" s="129">
        <f t="shared" si="358"/>
        <v>1.0143809141680851</v>
      </c>
      <c r="F1756" s="129">
        <f t="shared" si="358"/>
        <v>1.0083971212477236</v>
      </c>
      <c r="G1756" s="129">
        <f t="shared" si="358"/>
        <v>1.003626338830879</v>
      </c>
      <c r="H1756" s="129">
        <f t="shared" si="358"/>
        <v>1.0019091820289452</v>
      </c>
      <c r="I1756" s="129">
        <f t="shared" si="358"/>
        <v>1.0029969851890055</v>
      </c>
      <c r="J1756" s="129">
        <v>1.0042219276236541</v>
      </c>
      <c r="K1756" s="129">
        <v>1.0024496879255318</v>
      </c>
      <c r="L1756" s="129">
        <v>1.000539835747325</v>
      </c>
      <c r="M1756" s="129">
        <v>0.99868630040969919</v>
      </c>
      <c r="N1756" s="129">
        <v>0.99816018524569949</v>
      </c>
      <c r="O1756" s="586">
        <f t="shared" si="359"/>
        <v>-1.8398147543005061E-4</v>
      </c>
      <c r="P1756" s="587">
        <f t="shared" si="360"/>
        <v>-1.8413397447925028E-4</v>
      </c>
      <c r="Q1756" s="593">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477" t="s">
        <v>506</v>
      </c>
      <c r="C1757" s="125" t="s">
        <v>486</v>
      </c>
      <c r="D1757" s="589"/>
      <c r="E1757" s="129">
        <f t="shared" si="358"/>
        <v>1.0119831388235714</v>
      </c>
      <c r="F1757" s="129">
        <f t="shared" si="358"/>
        <v>1.0123152749187849</v>
      </c>
      <c r="G1757" s="129">
        <f t="shared" si="358"/>
        <v>1.0092966846901532</v>
      </c>
      <c r="H1757" s="129">
        <f t="shared" si="358"/>
        <v>1.0093024499843755</v>
      </c>
      <c r="I1757" s="129">
        <f t="shared" si="358"/>
        <v>1.0058607612889943</v>
      </c>
      <c r="J1757" s="129">
        <v>1.0046741825753627</v>
      </c>
      <c r="K1757" s="129">
        <v>1.0040655187652219</v>
      </c>
      <c r="L1757" s="129">
        <v>1.0028066468146803</v>
      </c>
      <c r="M1757" s="129">
        <v>1.0040927405326865</v>
      </c>
      <c r="N1757" s="129">
        <v>1.0028297433769999</v>
      </c>
      <c r="O1757" s="586">
        <f t="shared" si="359"/>
        <v>2.8297433769999272E-4</v>
      </c>
      <c r="P1757" s="587">
        <f t="shared" si="360"/>
        <v>2.8261464701917483E-4</v>
      </c>
      <c r="Q1757" s="593">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477" t="s">
        <v>506</v>
      </c>
      <c r="C1758" s="125" t="s">
        <v>487</v>
      </c>
      <c r="D1758" s="589"/>
      <c r="E1758" s="129">
        <f t="shared" si="358"/>
        <v>0.99868810197260138</v>
      </c>
      <c r="F1758" s="129">
        <f t="shared" si="358"/>
        <v>0.99777419677997459</v>
      </c>
      <c r="G1758" s="129">
        <f t="shared" si="358"/>
        <v>0.99863727568848948</v>
      </c>
      <c r="H1758" s="129">
        <f t="shared" si="358"/>
        <v>0.99899133935284168</v>
      </c>
      <c r="I1758" s="129">
        <f t="shared" si="358"/>
        <v>1.0032834988438057</v>
      </c>
      <c r="J1758" s="129">
        <v>1.0025211828474903</v>
      </c>
      <c r="K1758" s="129">
        <v>1.0061987307502627</v>
      </c>
      <c r="L1758" s="129">
        <v>1.0108614511292535</v>
      </c>
      <c r="M1758" s="129">
        <v>1.0130027519178399</v>
      </c>
      <c r="N1758" s="129">
        <v>1.0147226591821301</v>
      </c>
      <c r="O1758" s="586">
        <f t="shared" si="359"/>
        <v>1.4722659182130116E-3</v>
      </c>
      <c r="P1758" s="587">
        <f t="shared" si="360"/>
        <v>1.4626018574257493E-3</v>
      </c>
      <c r="Q1758" s="593">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477" t="s">
        <v>506</v>
      </c>
      <c r="C1759" s="125" t="s">
        <v>488</v>
      </c>
      <c r="D1759" s="589"/>
      <c r="E1759" s="129">
        <f t="shared" si="358"/>
        <v>1.0185737392830623</v>
      </c>
      <c r="F1759" s="129">
        <f t="shared" si="358"/>
        <v>1.018863566736369</v>
      </c>
      <c r="G1759" s="129">
        <f t="shared" si="358"/>
        <v>1.0165082772965106</v>
      </c>
      <c r="H1759" s="129">
        <f t="shared" si="358"/>
        <v>1.0156627003170711</v>
      </c>
      <c r="I1759" s="129">
        <f t="shared" si="358"/>
        <v>1.0139248252188859</v>
      </c>
      <c r="J1759" s="129">
        <v>1.0137393541531157</v>
      </c>
      <c r="K1759" s="129">
        <v>1.0090610270988314</v>
      </c>
      <c r="L1759" s="129">
        <v>1.0044579014368722</v>
      </c>
      <c r="M1759" s="129">
        <v>1.0006466931414433</v>
      </c>
      <c r="N1759" s="129">
        <v>0.99872930478466071</v>
      </c>
      <c r="O1759" s="586">
        <f t="shared" si="359"/>
        <v>-1.2706952153392903E-4</v>
      </c>
      <c r="P1759" s="587">
        <f t="shared" si="360"/>
        <v>-1.2714224004750641E-4</v>
      </c>
      <c r="Q1759" s="593">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477" t="s">
        <v>506</v>
      </c>
      <c r="C1760" s="125" t="s">
        <v>489</v>
      </c>
      <c r="D1760" s="589"/>
      <c r="E1760" s="129">
        <f t="shared" si="358"/>
        <v>1.0186430018515642</v>
      </c>
      <c r="F1760" s="129">
        <f t="shared" si="358"/>
        <v>1.016281083830104</v>
      </c>
      <c r="G1760" s="129">
        <f t="shared" si="358"/>
        <v>1.0168046783204194</v>
      </c>
      <c r="H1760" s="129">
        <f t="shared" si="358"/>
        <v>1.0163751107042418</v>
      </c>
      <c r="I1760" s="129">
        <f t="shared" si="358"/>
        <v>1.0143846521681685</v>
      </c>
      <c r="J1760" s="129">
        <v>1.0158477764534428</v>
      </c>
      <c r="K1760" s="129">
        <v>1.017287039308961</v>
      </c>
      <c r="L1760" s="129">
        <v>1.0189817214001011</v>
      </c>
      <c r="M1760" s="129">
        <v>1.0195229921033415</v>
      </c>
      <c r="N1760" s="129">
        <v>1.0199714464880305</v>
      </c>
      <c r="O1760" s="586">
        <f t="shared" si="359"/>
        <v>1.997144648803051E-3</v>
      </c>
      <c r="P1760" s="587">
        <f t="shared" si="360"/>
        <v>1.9794197965237181E-3</v>
      </c>
      <c r="Q1760" s="593">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477" t="s">
        <v>506</v>
      </c>
      <c r="C1761" s="672" t="s">
        <v>490</v>
      </c>
      <c r="D1761" s="425"/>
      <c r="E1761" s="425">
        <f t="shared" si="358"/>
        <v>1.0115317316189907</v>
      </c>
      <c r="F1761" s="425">
        <f t="shared" si="358"/>
        <v>1.0098854557273558</v>
      </c>
      <c r="G1761" s="425">
        <f t="shared" si="358"/>
        <v>1.0079031437924768</v>
      </c>
      <c r="H1761" s="425">
        <f t="shared" si="358"/>
        <v>1.0074260195736053</v>
      </c>
      <c r="I1761" s="425">
        <f t="shared" si="358"/>
        <v>1.0072146044968846</v>
      </c>
      <c r="J1761" s="425">
        <v>1.0071891367326733</v>
      </c>
      <c r="K1761" s="425">
        <v>1.0067029595434946</v>
      </c>
      <c r="L1761" s="425">
        <v>1.0062767419722747</v>
      </c>
      <c r="M1761" s="425">
        <v>1.005993095083189</v>
      </c>
      <c r="N1761" s="425">
        <v>1.0056686088348645</v>
      </c>
      <c r="O1761" s="586">
        <f t="shared" si="359"/>
        <v>5.6686088348645303E-4</v>
      </c>
      <c r="P1761" s="587">
        <f t="shared" si="360"/>
        <v>5.6542006284843183E-4</v>
      </c>
      <c r="Q1761" s="435">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477" t="s">
        <v>506</v>
      </c>
      <c r="C1762" s="125" t="s">
        <v>491</v>
      </c>
      <c r="D1762" s="589"/>
      <c r="E1762" s="129">
        <f t="shared" si="358"/>
        <v>0.99220867160133164</v>
      </c>
      <c r="F1762" s="129">
        <f t="shared" si="358"/>
        <v>0.99099332816200558</v>
      </c>
      <c r="G1762" s="129">
        <f t="shared" si="358"/>
        <v>0.99149832442765373</v>
      </c>
      <c r="H1762" s="129">
        <f t="shared" si="358"/>
        <v>0.99306376744162606</v>
      </c>
      <c r="I1762" s="129">
        <f t="shared" si="358"/>
        <v>0.99322960389630777</v>
      </c>
      <c r="J1762" s="129">
        <v>0.99236209142521536</v>
      </c>
      <c r="K1762" s="129">
        <v>0.99402742199053329</v>
      </c>
      <c r="L1762" s="129">
        <v>0.99546716277190817</v>
      </c>
      <c r="M1762" s="129">
        <v>0.99621360090423539</v>
      </c>
      <c r="N1762" s="129">
        <v>0.99725045732322648</v>
      </c>
      <c r="O1762" s="586">
        <f t="shared" si="359"/>
        <v>-2.7495426767735196E-4</v>
      </c>
      <c r="P1762" s="587">
        <f t="shared" si="360"/>
        <v>-2.7529506059797981E-4</v>
      </c>
      <c r="Q1762" s="593">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477" t="s">
        <v>506</v>
      </c>
      <c r="C1763" s="125" t="s">
        <v>492</v>
      </c>
      <c r="D1763" s="589"/>
      <c r="E1763" s="129">
        <f t="shared" si="358"/>
        <v>1.0101622336917053</v>
      </c>
      <c r="F1763" s="129">
        <f t="shared" si="358"/>
        <v>1.0086801518353343</v>
      </c>
      <c r="G1763" s="129">
        <f t="shared" si="358"/>
        <v>1.0069295256394797</v>
      </c>
      <c r="H1763" s="129">
        <f t="shared" si="358"/>
        <v>1.0064889037252818</v>
      </c>
      <c r="I1763" s="129">
        <f t="shared" si="358"/>
        <v>1.0062891385473149</v>
      </c>
      <c r="J1763" s="129">
        <v>1.006294429838275</v>
      </c>
      <c r="K1763" s="129">
        <v>1.0058549926642406</v>
      </c>
      <c r="L1763" s="129">
        <v>1.0055069710128819</v>
      </c>
      <c r="M1763" s="129">
        <v>1.0053041262838514</v>
      </c>
      <c r="N1763" s="129">
        <v>1.0050246174221416</v>
      </c>
      <c r="O1763" s="586">
        <f t="shared" si="359"/>
        <v>5.0246174221415532E-4</v>
      </c>
      <c r="P1763" s="587">
        <f t="shared" si="360"/>
        <v>5.0132923936385687E-4</v>
      </c>
      <c r="Q1763" s="593">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477" t="s">
        <v>506</v>
      </c>
      <c r="C1764" s="125" t="s">
        <v>493</v>
      </c>
      <c r="D1764" s="589"/>
      <c r="E1764" s="129">
        <f t="shared" si="358"/>
        <v>1.0095905530762708</v>
      </c>
      <c r="F1764" s="129">
        <f t="shared" si="358"/>
        <v>1.0083132699804231</v>
      </c>
      <c r="G1764" s="129">
        <f t="shared" si="358"/>
        <v>1.006695740502793</v>
      </c>
      <c r="H1764" s="129">
        <f t="shared" si="358"/>
        <v>1.0063437323937274</v>
      </c>
      <c r="I1764" s="129">
        <f t="shared" si="358"/>
        <v>1.0061665544670078</v>
      </c>
      <c r="J1764" s="129">
        <v>1.0061491154519904</v>
      </c>
      <c r="K1764" s="129">
        <v>1.0057637499382068</v>
      </c>
      <c r="L1764" s="129">
        <v>1.0054183834917874</v>
      </c>
      <c r="M1764" s="129">
        <v>1.0051717019726543</v>
      </c>
      <c r="N1764" s="129">
        <v>1.0049267004020239</v>
      </c>
      <c r="O1764" s="586">
        <f t="shared" si="359"/>
        <v>4.9267004020239205E-4</v>
      </c>
      <c r="P1764" s="587">
        <f t="shared" si="360"/>
        <v>4.9158117922520894E-4</v>
      </c>
      <c r="Q1764" s="593">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477" t="s">
        <v>506</v>
      </c>
      <c r="C1765" s="125"/>
      <c r="D1765" s="589"/>
      <c r="E1765" s="589"/>
      <c r="F1765" s="589"/>
      <c r="G1765" s="589"/>
      <c r="H1765" s="589"/>
      <c r="I1765" s="589"/>
      <c r="J1765" s="589"/>
      <c r="K1765" s="589"/>
      <c r="L1765" s="589"/>
      <c r="M1765" s="589"/>
      <c r="N1765" s="589"/>
      <c r="O1765" s="586"/>
      <c r="P1765" s="587"/>
      <c r="Q1765" s="590"/>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477" t="s">
        <v>506</v>
      </c>
      <c r="C1766" s="125"/>
      <c r="D1766" s="589"/>
      <c r="E1766" s="589"/>
      <c r="F1766" s="589"/>
      <c r="G1766" s="589"/>
      <c r="H1766" s="589"/>
      <c r="I1766" s="589"/>
      <c r="J1766" s="589"/>
      <c r="K1766" s="589"/>
      <c r="L1766" s="589"/>
      <c r="M1766" s="589"/>
      <c r="N1766" s="589"/>
      <c r="O1766" s="586"/>
      <c r="P1766" s="587"/>
      <c r="Q1766" s="590"/>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56"/>
      <c r="B1767" s="346"/>
      <c r="C1767" s="125"/>
      <c r="D1767" s="589"/>
      <c r="E1767" s="589"/>
      <c r="F1767" s="589"/>
      <c r="G1767" s="589"/>
      <c r="H1767" s="589"/>
      <c r="I1767" s="589"/>
      <c r="J1767" s="589"/>
      <c r="K1767" s="589"/>
      <c r="L1767" s="589"/>
      <c r="M1767" s="589"/>
      <c r="N1767" s="589"/>
      <c r="O1767" s="586"/>
      <c r="P1767" s="587"/>
      <c r="Q1767" s="590"/>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582" t="s">
        <v>494</v>
      </c>
      <c r="P1768" s="585"/>
      <c r="Q1768" s="591" t="s">
        <v>495</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436" t="s">
        <v>498</v>
      </c>
      <c r="F1769" s="595"/>
      <c r="G1769" s="436"/>
      <c r="H1769" s="595"/>
      <c r="I1769" s="595"/>
      <c r="M1769" s="11"/>
      <c r="N1769" s="11"/>
      <c r="O1769" s="582" t="s">
        <v>496</v>
      </c>
      <c r="P1769" s="585"/>
      <c r="Q1769" s="591" t="s">
        <v>497</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582" t="s">
        <v>499</v>
      </c>
      <c r="P1770" s="585"/>
      <c r="Q1770" s="591" t="s">
        <v>500</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597" t="s">
        <v>467</v>
      </c>
      <c r="B1771" s="598"/>
      <c r="C1771" s="599"/>
      <c r="D1771" s="596"/>
      <c r="E1771" s="596"/>
      <c r="F1771" s="596"/>
      <c r="G1771" s="596"/>
      <c r="H1771" s="596"/>
      <c r="I1771" s="596"/>
      <c r="J1771" s="596"/>
      <c r="K1771" s="596"/>
      <c r="L1771" s="596"/>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492" t="s">
        <v>468</v>
      </c>
      <c r="E1772" s="492" t="s">
        <v>505</v>
      </c>
      <c r="M1772" s="11"/>
      <c r="N1772" s="11"/>
      <c r="O1772" s="11"/>
      <c r="P1772" s="11"/>
      <c r="Q1772" s="591" t="s">
        <v>502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475"/>
      <c r="B1773" s="476"/>
      <c r="C1773" s="19" t="s">
        <v>469</v>
      </c>
      <c r="D1773" s="297" t="s">
        <v>478</v>
      </c>
      <c r="E1773" s="297" t="s">
        <v>478</v>
      </c>
      <c r="M1773" s="11"/>
      <c r="N1773" s="11"/>
      <c r="O1773" s="11"/>
      <c r="P1773" s="11"/>
      <c r="Q1773" s="59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477"/>
      <c r="C1774" s="19" t="s">
        <v>479</v>
      </c>
      <c r="E1774" s="13"/>
      <c r="M1774" s="11"/>
      <c r="N1774" s="11"/>
      <c r="O1774" s="11"/>
      <c r="P1774" s="11"/>
      <c r="Q1774" s="591" t="s">
        <v>503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477"/>
      <c r="B1775" s="9">
        <v>0</v>
      </c>
      <c r="C1775" s="125" t="s">
        <v>481</v>
      </c>
      <c r="E1775" s="13"/>
      <c r="M1775" s="11"/>
      <c r="N1775" s="11"/>
      <c r="O1775" s="11"/>
      <c r="P1775" s="11"/>
      <c r="Q1775" s="591" t="s">
        <v>504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477"/>
      <c r="B1776" s="9">
        <v>1</v>
      </c>
      <c r="C1776" s="672" t="s">
        <v>482</v>
      </c>
      <c r="D1776" s="678">
        <v>6.1244446078418946E-3</v>
      </c>
      <c r="E1776" s="678">
        <v>5.3906024298502331E-3</v>
      </c>
      <c r="F1776" s="296" t="s">
        <v>2115</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477" t="s">
        <v>483</v>
      </c>
      <c r="B1777" s="9">
        <v>2</v>
      </c>
      <c r="C1777" s="179" t="s">
        <v>484</v>
      </c>
      <c r="D1777" s="677">
        <v>-7.8016393354566338E-3</v>
      </c>
      <c r="E1777" s="677">
        <v>-6.3705142428090999E-3</v>
      </c>
      <c r="F1777" s="296" t="s">
        <v>497</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477" t="s">
        <v>483</v>
      </c>
      <c r="B1778" s="9">
        <v>3</v>
      </c>
      <c r="C1778" s="179" t="s">
        <v>485</v>
      </c>
      <c r="D1778" s="677">
        <v>6.2514987067481265E-3</v>
      </c>
      <c r="E1778" s="677">
        <v>3.5265583166539383E-3</v>
      </c>
      <c r="F1778" s="296" t="s">
        <v>500</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477" t="s">
        <v>483</v>
      </c>
      <c r="B1779" s="9">
        <v>4</v>
      </c>
      <c r="C1779" s="179" t="s">
        <v>486</v>
      </c>
      <c r="D1779" s="677">
        <v>9.748976115757868E-3</v>
      </c>
      <c r="E1779" s="677">
        <v>6.7166791378556745E-3</v>
      </c>
      <c r="F1779" s="296" t="s">
        <v>501</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477" t="s">
        <v>483</v>
      </c>
      <c r="B1780" s="9">
        <v>5</v>
      </c>
      <c r="C1780" s="179" t="s">
        <v>487</v>
      </c>
      <c r="D1780" s="677">
        <v>-5.2701042928582353E-4</v>
      </c>
      <c r="E1780" s="677">
        <v>4.4497734674939782E-3</v>
      </c>
      <c r="F1780" s="296" t="s">
        <v>2116</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477" t="s">
        <v>483</v>
      </c>
      <c r="B1781" s="9">
        <v>6</v>
      </c>
      <c r="C1781" s="179" t="s">
        <v>488</v>
      </c>
      <c r="D1781" s="677">
        <v>1.670494871211603E-2</v>
      </c>
      <c r="E1781" s="677">
        <v>1.0992356943558379E-2</v>
      </c>
      <c r="F1781" s="296"/>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477" t="s">
        <v>483</v>
      </c>
      <c r="B1782" s="9">
        <v>7</v>
      </c>
      <c r="C1782" s="179" t="s">
        <v>489</v>
      </c>
      <c r="D1782" s="677">
        <v>1.649679802463222E-2</v>
      </c>
      <c r="E1782" s="677">
        <v>1.7408508457293692E-2</v>
      </c>
      <c r="F1782" s="296" t="s">
        <v>503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477" t="s">
        <v>483</v>
      </c>
      <c r="B1783" s="9">
        <v>8</v>
      </c>
      <c r="C1783" s="672" t="s">
        <v>490</v>
      </c>
      <c r="D1783" s="678">
        <v>8.7908194773067497E-3</v>
      </c>
      <c r="E1783" s="678">
        <v>7.5776637279063586E-3</v>
      </c>
      <c r="F1783" s="296" t="s">
        <v>504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477" t="s">
        <v>483</v>
      </c>
      <c r="B1784" s="9">
        <v>9</v>
      </c>
      <c r="C1784" s="179" t="s">
        <v>491</v>
      </c>
      <c r="D1784" s="677">
        <f>D1777</f>
        <v>-7.8016393354566338E-3</v>
      </c>
      <c r="E1784" s="677">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477" t="s">
        <v>483</v>
      </c>
      <c r="B1785" s="9">
        <v>10</v>
      </c>
      <c r="C1785" s="179" t="s">
        <v>492</v>
      </c>
      <c r="D1785" s="677">
        <v>9.1877436581744298E-3</v>
      </c>
      <c r="E1785" s="677">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477" t="s">
        <v>483</v>
      </c>
      <c r="B1786" s="9">
        <v>11</v>
      </c>
      <c r="C1786" s="179" t="s">
        <v>493</v>
      </c>
      <c r="D1786" s="677">
        <v>8.4136487204315991E-3</v>
      </c>
      <c r="E1786" s="677">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477" t="s">
        <v>483</v>
      </c>
      <c r="B1787" s="9">
        <v>12</v>
      </c>
      <c r="C1787" s="179"/>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477" t="s">
        <v>483</v>
      </c>
      <c r="B1788" s="9">
        <v>13</v>
      </c>
      <c r="C1788" s="125"/>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56"/>
      <c r="B1789" s="346">
        <v>14</v>
      </c>
      <c r="C1789" s="125"/>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125"/>
      <c r="E1790" s="436" t="s">
        <v>498</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L1794" s="9">
        <f>(100%+D1783)^3</f>
        <v>1.0266049732945732</v>
      </c>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85"/>
  <sheetViews>
    <sheetView showGridLines="0" zoomScale="60" zoomScaleNormal="60" zoomScaleSheetLayoutView="30" workbookViewId="0">
      <selection activeCell="A94" sqref="A94:XFD130"/>
    </sheetView>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24" width="10.81640625" customWidth="1"/>
    <col min="26" max="39" width="0" hidden="1" customWidth="1"/>
  </cols>
  <sheetData>
    <row r="1" spans="1:38" ht="30" customHeight="1" x14ac:dyDescent="0.35">
      <c r="B1" s="440" t="str">
        <f>'Resource impact'!B1</f>
        <v>Digital platforms to support cardiac rehabilitation: early value assessment</v>
      </c>
      <c r="C1" s="114"/>
      <c r="D1" s="114"/>
      <c r="F1" s="114"/>
      <c r="G1" s="114"/>
      <c r="H1" s="114"/>
      <c r="I1" s="114"/>
      <c r="J1" s="114"/>
      <c r="K1" s="114"/>
      <c r="L1" s="114"/>
      <c r="M1" s="114"/>
      <c r="N1" s="114"/>
      <c r="O1" s="114"/>
      <c r="P1" s="114"/>
      <c r="R1" s="114"/>
      <c r="S1" s="114"/>
      <c r="T1" s="114"/>
      <c r="U1" s="114"/>
      <c r="V1" s="114"/>
      <c r="W1" s="114"/>
      <c r="X1" s="114"/>
    </row>
    <row r="2" spans="1:38" ht="42.65" customHeight="1" x14ac:dyDescent="0.35">
      <c r="B2" s="187" t="s">
        <v>707</v>
      </c>
      <c r="C2" s="114" t="s">
        <v>556</v>
      </c>
      <c r="D2" s="114" t="s">
        <v>556</v>
      </c>
      <c r="E2" s="417"/>
      <c r="F2" s="114" t="s">
        <v>556</v>
      </c>
      <c r="G2" s="114" t="s">
        <v>556</v>
      </c>
      <c r="H2" s="114" t="s">
        <v>556</v>
      </c>
      <c r="I2" s="114" t="s">
        <v>556</v>
      </c>
      <c r="J2" s="114"/>
      <c r="K2" s="114"/>
      <c r="L2" s="114"/>
      <c r="M2" s="114"/>
      <c r="N2" s="114"/>
      <c r="O2" s="114"/>
      <c r="P2" s="114"/>
      <c r="Q2" s="114"/>
      <c r="R2" s="114"/>
      <c r="S2" s="114"/>
      <c r="T2" s="114"/>
      <c r="U2" s="114"/>
      <c r="V2" s="114"/>
      <c r="W2" s="114"/>
      <c r="X2" s="114"/>
    </row>
    <row r="3" spans="1:38" ht="14.5" customHeight="1" x14ac:dyDescent="0.35">
      <c r="B3" s="117" t="s">
        <v>556</v>
      </c>
      <c r="C3" s="120" t="s">
        <v>556</v>
      </c>
      <c r="D3" s="120" t="s">
        <v>556</v>
      </c>
      <c r="F3" s="120" t="s">
        <v>556</v>
      </c>
      <c r="G3" s="120" t="s">
        <v>556</v>
      </c>
      <c r="H3" s="120" t="s">
        <v>556</v>
      </c>
      <c r="I3" s="120" t="s">
        <v>556</v>
      </c>
      <c r="J3" s="114"/>
      <c r="K3" s="114"/>
      <c r="L3" s="114"/>
      <c r="M3" s="114"/>
      <c r="N3" s="114"/>
      <c r="O3" s="114"/>
      <c r="P3" s="114"/>
      <c r="Q3" s="120"/>
      <c r="R3" s="120"/>
      <c r="S3" s="120"/>
      <c r="T3" s="120"/>
      <c r="U3" s="120"/>
      <c r="V3" s="120"/>
      <c r="W3" s="120"/>
      <c r="X3" s="120"/>
    </row>
    <row r="4" spans="1:38" ht="14.5" customHeight="1" x14ac:dyDescent="0.35">
      <c r="B4" t="s">
        <v>708</v>
      </c>
      <c r="C4" s="120"/>
      <c r="D4" s="120"/>
      <c r="F4" s="120"/>
      <c r="G4" s="120"/>
      <c r="H4" s="120"/>
      <c r="I4" s="120"/>
      <c r="J4" s="120"/>
      <c r="K4" s="120"/>
      <c r="L4" s="120"/>
      <c r="M4" s="120"/>
      <c r="N4" s="120"/>
      <c r="O4" s="120"/>
      <c r="P4" s="120"/>
      <c r="Q4" s="120"/>
      <c r="R4" s="120"/>
      <c r="S4" s="120"/>
      <c r="T4" s="120"/>
      <c r="U4" s="120"/>
      <c r="V4" s="120"/>
      <c r="W4" s="120"/>
      <c r="X4" s="120"/>
    </row>
    <row r="5" spans="1:38" ht="14.5" customHeight="1" x14ac:dyDescent="0.35">
      <c r="B5" s="5"/>
      <c r="F5" s="120"/>
      <c r="G5" s="120"/>
      <c r="H5" s="120"/>
      <c r="I5" s="120"/>
      <c r="J5" s="120"/>
      <c r="K5" s="120"/>
      <c r="L5" s="120"/>
      <c r="M5" s="120"/>
      <c r="N5" s="120"/>
      <c r="O5" s="120"/>
      <c r="P5" s="120"/>
      <c r="Q5" s="120"/>
      <c r="R5" s="120"/>
      <c r="S5" s="120"/>
      <c r="T5" s="120"/>
      <c r="U5" s="120"/>
      <c r="V5" s="120"/>
      <c r="W5" s="120"/>
      <c r="X5" s="120"/>
    </row>
    <row r="6" spans="1:38" ht="43.5" x14ac:dyDescent="0.35">
      <c r="B6" s="224" t="s">
        <v>676</v>
      </c>
      <c r="C6" s="184"/>
      <c r="D6" s="661" t="s">
        <v>698</v>
      </c>
      <c r="E6" s="222" t="s">
        <v>551</v>
      </c>
      <c r="F6" s="222" t="s">
        <v>552</v>
      </c>
      <c r="G6" s="151" t="s">
        <v>673</v>
      </c>
      <c r="H6" s="151" t="s">
        <v>674</v>
      </c>
      <c r="I6" s="222" t="s">
        <v>675</v>
      </c>
      <c r="L6" s="661" t="s">
        <v>698</v>
      </c>
      <c r="M6" s="222" t="s">
        <v>551</v>
      </c>
      <c r="N6" s="222" t="s">
        <v>552</v>
      </c>
      <c r="O6" s="151" t="s">
        <v>673</v>
      </c>
      <c r="P6" s="151" t="s">
        <v>674</v>
      </c>
      <c r="Q6" s="222" t="s">
        <v>675</v>
      </c>
      <c r="R6" s="120"/>
      <c r="S6" s="120"/>
      <c r="T6" s="120"/>
      <c r="U6" s="120"/>
      <c r="V6" s="120"/>
      <c r="W6" s="120"/>
      <c r="X6" s="120"/>
      <c r="AH6" s="251"/>
      <c r="AI6" s="251"/>
      <c r="AJ6" s="251"/>
      <c r="AK6" s="251"/>
      <c r="AL6" s="251"/>
    </row>
    <row r="7" spans="1:38" x14ac:dyDescent="0.35">
      <c r="B7" s="198" t="s">
        <v>676</v>
      </c>
      <c r="C7" s="154"/>
      <c r="D7" s="326">
        <f>'Resource impact'!E36</f>
        <v>126605.00117543283</v>
      </c>
      <c r="E7" s="326">
        <f>'Resource impact'!G36</f>
        <v>0</v>
      </c>
      <c r="F7" s="326" t="e">
        <f>'Resource impact'!#REF!</f>
        <v>#REF!</v>
      </c>
      <c r="G7" s="326">
        <f>'Resource impact'!H36</f>
        <v>0</v>
      </c>
      <c r="H7" s="326">
        <f>'Resource impact'!I36</f>
        <v>0</v>
      </c>
      <c r="I7" s="326">
        <f>'Resource impact'!J36</f>
        <v>0</v>
      </c>
      <c r="P7" s="120"/>
      <c r="Q7" s="120"/>
      <c r="R7" s="120"/>
      <c r="S7" s="120"/>
      <c r="T7" s="120"/>
      <c r="U7" s="120"/>
      <c r="V7" s="120"/>
      <c r="W7" s="120"/>
      <c r="X7" s="120"/>
      <c r="AH7" s="251"/>
      <c r="AI7" s="251"/>
      <c r="AJ7" s="251"/>
      <c r="AK7" s="251"/>
      <c r="AL7" s="251"/>
    </row>
    <row r="8" spans="1:38" x14ac:dyDescent="0.35">
      <c r="B8"/>
      <c r="P8" s="120"/>
      <c r="Q8" s="120"/>
      <c r="R8" s="120"/>
      <c r="S8" s="120"/>
      <c r="T8" s="120"/>
      <c r="U8" s="120"/>
      <c r="V8" s="120"/>
      <c r="W8" s="120"/>
      <c r="X8" s="120"/>
      <c r="AH8" s="251"/>
      <c r="AI8" s="251"/>
      <c r="AJ8" s="251"/>
      <c r="AK8" s="251"/>
      <c r="AL8" s="251"/>
    </row>
    <row r="9" spans="1:38" x14ac:dyDescent="0.35">
      <c r="B9" s="244" t="s">
        <v>709</v>
      </c>
      <c r="C9" s="353" t="s">
        <v>710</v>
      </c>
      <c r="D9" s="372"/>
      <c r="E9" s="373"/>
      <c r="F9" s="372"/>
      <c r="G9" s="374"/>
      <c r="H9" s="375"/>
      <c r="I9" s="457"/>
      <c r="K9" s="567" t="s">
        <v>711</v>
      </c>
      <c r="L9" s="521" t="s">
        <v>682</v>
      </c>
      <c r="M9" s="521" t="s">
        <v>682</v>
      </c>
      <c r="N9" s="521" t="s">
        <v>682</v>
      </c>
      <c r="O9" s="521" t="s">
        <v>682</v>
      </c>
      <c r="P9" s="521" t="s">
        <v>682</v>
      </c>
      <c r="Q9" s="521" t="s">
        <v>682</v>
      </c>
      <c r="R9" s="120"/>
      <c r="S9" s="120"/>
      <c r="T9" s="120"/>
      <c r="U9" s="120"/>
      <c r="V9" s="120"/>
      <c r="W9" s="120"/>
      <c r="X9" s="120"/>
      <c r="AH9" s="251"/>
      <c r="AI9" s="251"/>
      <c r="AJ9" s="251"/>
      <c r="AK9" s="251"/>
      <c r="AL9" s="251"/>
    </row>
    <row r="10" spans="1:38" x14ac:dyDescent="0.35">
      <c r="A10" s="253"/>
      <c r="B10" s="455" t="str">
        <f>B32</f>
        <v>First attendances</v>
      </c>
      <c r="C10" s="331"/>
      <c r="D10" s="361" t="e">
        <f>D41</f>
        <v>#REF!</v>
      </c>
      <c r="E10" s="361" t="e">
        <f t="shared" ref="E10:I10" si="0">E41</f>
        <v>#REF!</v>
      </c>
      <c r="F10" s="361" t="e">
        <f t="shared" si="0"/>
        <v>#REF!</v>
      </c>
      <c r="G10" s="361" t="e">
        <f t="shared" si="0"/>
        <v>#REF!</v>
      </c>
      <c r="H10" s="361" t="e">
        <f t="shared" si="0"/>
        <v>#REF!</v>
      </c>
      <c r="I10" s="361" t="e">
        <f t="shared" si="0"/>
        <v>#REF!</v>
      </c>
      <c r="K10" s="154"/>
      <c r="L10" s="218"/>
      <c r="M10" s="218"/>
      <c r="N10" s="218"/>
      <c r="O10" s="218"/>
      <c r="P10" s="218"/>
      <c r="Q10" s="218"/>
      <c r="R10" s="120"/>
      <c r="S10" s="120"/>
      <c r="T10" s="120"/>
      <c r="U10" s="120"/>
      <c r="V10" s="120"/>
      <c r="W10" s="120"/>
      <c r="X10" s="120"/>
      <c r="AH10" s="251"/>
      <c r="AI10" s="251"/>
      <c r="AJ10" s="251"/>
      <c r="AK10" s="251"/>
      <c r="AL10" s="251"/>
    </row>
    <row r="11" spans="1:38" x14ac:dyDescent="0.35">
      <c r="A11" s="253"/>
      <c r="B11" s="455" t="str">
        <f>B32&amp;" - hours"</f>
        <v>First attendances - hours</v>
      </c>
      <c r="C11" s="568">
        <f>'Capacity inputs'!F13</f>
        <v>0</v>
      </c>
      <c r="D11" s="361" t="e">
        <f>$C11/60*D10</f>
        <v>#REF!</v>
      </c>
      <c r="E11" s="361" t="e">
        <f t="shared" ref="E11:I11" si="1">$C11/60*E10</f>
        <v>#REF!</v>
      </c>
      <c r="F11" s="361" t="e">
        <f t="shared" si="1"/>
        <v>#REF!</v>
      </c>
      <c r="G11" s="361" t="e">
        <f t="shared" si="1"/>
        <v>#REF!</v>
      </c>
      <c r="H11" s="361" t="e">
        <f t="shared" si="1"/>
        <v>#REF!</v>
      </c>
      <c r="I11" s="361" t="e">
        <f t="shared" si="1"/>
        <v>#REF!</v>
      </c>
      <c r="K11" s="454">
        <f>'Capacity inputs'!P13</f>
        <v>127.43</v>
      </c>
      <c r="L11" s="456" t="e">
        <f>$K11*D11/1000</f>
        <v>#REF!</v>
      </c>
      <c r="M11" s="456" t="e">
        <f t="shared" ref="M11:Q11" si="2">$K11*E11/1000</f>
        <v>#REF!</v>
      </c>
      <c r="N11" s="456" t="e">
        <f t="shared" si="2"/>
        <v>#REF!</v>
      </c>
      <c r="O11" s="456" t="e">
        <f t="shared" si="2"/>
        <v>#REF!</v>
      </c>
      <c r="P11" s="456" t="e">
        <f t="shared" si="2"/>
        <v>#REF!</v>
      </c>
      <c r="Q11" s="456" t="e">
        <f t="shared" si="2"/>
        <v>#REF!</v>
      </c>
      <c r="R11" s="120"/>
      <c r="S11" s="120"/>
      <c r="T11" s="120"/>
      <c r="U11" s="120"/>
      <c r="V11" s="120"/>
      <c r="W11" s="120"/>
      <c r="X11" s="120"/>
      <c r="AH11" s="251"/>
      <c r="AI11" s="251"/>
      <c r="AJ11" s="251"/>
      <c r="AK11" s="251"/>
      <c r="AL11" s="251"/>
    </row>
    <row r="12" spans="1:38" x14ac:dyDescent="0.35">
      <c r="A12" s="253"/>
      <c r="B12" s="455" t="str">
        <f>B44</f>
        <v>Follow up attendances</v>
      </c>
      <c r="C12" s="331"/>
      <c r="D12" s="361" t="e">
        <f>D53</f>
        <v>#REF!</v>
      </c>
      <c r="E12" s="361" t="e">
        <f t="shared" ref="E12:I12" si="3">E53</f>
        <v>#REF!</v>
      </c>
      <c r="F12" s="361" t="e">
        <f t="shared" si="3"/>
        <v>#REF!</v>
      </c>
      <c r="G12" s="361" t="e">
        <f t="shared" si="3"/>
        <v>#REF!</v>
      </c>
      <c r="H12" s="361" t="e">
        <f t="shared" si="3"/>
        <v>#REF!</v>
      </c>
      <c r="I12" s="361" t="e">
        <f t="shared" si="3"/>
        <v>#REF!</v>
      </c>
      <c r="K12" s="154"/>
      <c r="L12" s="218"/>
      <c r="M12" s="218"/>
      <c r="N12" s="218"/>
      <c r="O12" s="218"/>
      <c r="P12" s="218"/>
      <c r="Q12" s="218"/>
      <c r="R12" s="120"/>
      <c r="S12" s="120"/>
      <c r="T12" s="120"/>
      <c r="U12" s="120"/>
      <c r="V12" s="120"/>
      <c r="W12" s="120"/>
      <c r="X12" s="120"/>
      <c r="AH12" s="251"/>
      <c r="AI12" s="251"/>
      <c r="AJ12" s="251"/>
      <c r="AK12" s="251"/>
      <c r="AL12" s="251"/>
    </row>
    <row r="13" spans="1:38" x14ac:dyDescent="0.35">
      <c r="A13" s="253"/>
      <c r="B13" s="455" t="str">
        <f>B44&amp;" - hours"</f>
        <v>Follow up attendances - hours</v>
      </c>
      <c r="C13" s="568">
        <f>'Capacity inputs'!F14</f>
        <v>0</v>
      </c>
      <c r="D13" s="361" t="e">
        <f>$C13/60*D12</f>
        <v>#REF!</v>
      </c>
      <c r="E13" s="361" t="e">
        <f t="shared" ref="E13:I13" si="4">$C13/60*E12</f>
        <v>#REF!</v>
      </c>
      <c r="F13" s="361" t="e">
        <f t="shared" si="4"/>
        <v>#REF!</v>
      </c>
      <c r="G13" s="361" t="e">
        <f t="shared" si="4"/>
        <v>#REF!</v>
      </c>
      <c r="H13" s="361" t="e">
        <f t="shared" si="4"/>
        <v>#REF!</v>
      </c>
      <c r="I13" s="361" t="e">
        <f t="shared" si="4"/>
        <v>#REF!</v>
      </c>
      <c r="K13" s="454">
        <f>'Capacity inputs'!P14</f>
        <v>127.43</v>
      </c>
      <c r="L13" s="456" t="e">
        <f>$K13*D13/1000</f>
        <v>#REF!</v>
      </c>
      <c r="M13" s="456" t="e">
        <f t="shared" ref="M13:Q13" si="5">$K13*E13/1000</f>
        <v>#REF!</v>
      </c>
      <c r="N13" s="456" t="e">
        <f t="shared" si="5"/>
        <v>#REF!</v>
      </c>
      <c r="O13" s="456" t="e">
        <f t="shared" si="5"/>
        <v>#REF!</v>
      </c>
      <c r="P13" s="456" t="e">
        <f t="shared" si="5"/>
        <v>#REF!</v>
      </c>
      <c r="Q13" s="456" t="e">
        <f t="shared" si="5"/>
        <v>#REF!</v>
      </c>
      <c r="R13" s="120"/>
      <c r="S13" s="120"/>
      <c r="T13" s="120"/>
      <c r="U13" s="120"/>
      <c r="V13" s="120"/>
      <c r="W13" s="120"/>
      <c r="X13" s="120"/>
      <c r="AH13" s="251"/>
      <c r="AI13" s="251"/>
      <c r="AJ13" s="251"/>
      <c r="AK13" s="251"/>
      <c r="AL13" s="251"/>
    </row>
    <row r="14" spans="1:38" x14ac:dyDescent="0.35">
      <c r="A14" s="259"/>
      <c r="B14" s="376" t="str">
        <f>B69</f>
        <v>Number of administrations</v>
      </c>
      <c r="C14" s="357"/>
      <c r="D14" s="356" t="e">
        <f>D78</f>
        <v>#REF!</v>
      </c>
      <c r="E14" s="356" t="e">
        <f t="shared" ref="E14:I14" si="6">E78</f>
        <v>#REF!</v>
      </c>
      <c r="F14" s="356" t="e">
        <f t="shared" si="6"/>
        <v>#REF!</v>
      </c>
      <c r="G14" s="356" t="e">
        <f t="shared" si="6"/>
        <v>#REF!</v>
      </c>
      <c r="H14" s="356" t="e">
        <f t="shared" si="6"/>
        <v>#REF!</v>
      </c>
      <c r="I14" s="356" t="e">
        <f t="shared" si="6"/>
        <v>#REF!</v>
      </c>
      <c r="K14" s="580"/>
      <c r="L14" s="183"/>
      <c r="M14" s="183"/>
      <c r="N14" s="183"/>
      <c r="O14" s="183"/>
      <c r="P14" s="355"/>
      <c r="Q14" s="355"/>
      <c r="R14" s="120"/>
      <c r="S14" s="120"/>
      <c r="T14" s="120"/>
      <c r="U14" s="120"/>
      <c r="V14" s="120"/>
      <c r="W14" s="120"/>
      <c r="X14" s="120"/>
      <c r="AH14" s="251"/>
      <c r="AI14" s="251"/>
      <c r="AJ14" s="251"/>
      <c r="AK14" s="251"/>
      <c r="AL14" s="251"/>
    </row>
    <row r="15" spans="1:38" x14ac:dyDescent="0.35">
      <c r="A15" s="252"/>
      <c r="B15" s="377" t="str">
        <f>B82&amp;" - hours"</f>
        <v>Nursing - administration hours - hours</v>
      </c>
      <c r="C15" s="382"/>
      <c r="D15" s="358" t="e">
        <f>($C84*D84)+($C85*D85)+($C86*D86)+($C87*D87)+($C88*D88)+($C89*D89)+($C90*D90)</f>
        <v>#REF!</v>
      </c>
      <c r="E15" s="358" t="e">
        <f t="shared" ref="E15:I15" si="7">($C84*E84)+($C85*E85)+($C86*E86)+($C87*E87)+($C88*E88)+($C89*E89)+($C90*E90)</f>
        <v>#REF!</v>
      </c>
      <c r="F15" s="358" t="e">
        <f t="shared" si="7"/>
        <v>#REF!</v>
      </c>
      <c r="G15" s="358" t="e">
        <f t="shared" si="7"/>
        <v>#REF!</v>
      </c>
      <c r="H15" s="358" t="e">
        <f t="shared" si="7"/>
        <v>#REF!</v>
      </c>
      <c r="I15" s="358" t="e">
        <f t="shared" si="7"/>
        <v>#REF!</v>
      </c>
      <c r="K15" s="454">
        <f>'Capacity inputs'!P15</f>
        <v>44.4</v>
      </c>
      <c r="L15" s="456" t="e">
        <f>$K15*D15/1000</f>
        <v>#REF!</v>
      </c>
      <c r="M15" s="456" t="e">
        <f t="shared" ref="M15:Q15" si="8">$K15*E15/1000</f>
        <v>#REF!</v>
      </c>
      <c r="N15" s="456" t="e">
        <f t="shared" si="8"/>
        <v>#REF!</v>
      </c>
      <c r="O15" s="456" t="e">
        <f t="shared" si="8"/>
        <v>#REF!</v>
      </c>
      <c r="P15" s="456" t="e">
        <f t="shared" si="8"/>
        <v>#REF!</v>
      </c>
      <c r="Q15" s="456" t="e">
        <f t="shared" si="8"/>
        <v>#REF!</v>
      </c>
      <c r="R15" s="120"/>
      <c r="S15" s="120"/>
      <c r="T15" s="120"/>
      <c r="U15" s="120"/>
      <c r="V15" s="120"/>
      <c r="W15" s="120"/>
      <c r="X15" s="120"/>
      <c r="AH15" s="251"/>
      <c r="AI15" s="251"/>
      <c r="AJ15" s="251"/>
      <c r="AK15" s="251"/>
      <c r="AL15" s="251"/>
    </row>
    <row r="16" spans="1:38" x14ac:dyDescent="0.35">
      <c r="A16" s="252"/>
      <c r="B16" s="377" t="str">
        <f>B94&amp;" - hours"</f>
        <v>Nursing patient preparation time - hours</v>
      </c>
      <c r="C16" s="382"/>
      <c r="D16" s="358" t="e">
        <f>($C96*D96)+($C97*D97)+($C98*D98)+($C99*D99)+($C100*D100)+($C101*D101)+($C102*D102)</f>
        <v>#REF!</v>
      </c>
      <c r="E16" s="358" t="e">
        <f t="shared" ref="E16:I16" si="9">($C96*E96)+($C97*E97)+($C98*E98)+($C99*E99)+($C100*E100)+($C101*E101)+($C102*E102)</f>
        <v>#REF!</v>
      </c>
      <c r="F16" s="358" t="e">
        <f t="shared" si="9"/>
        <v>#REF!</v>
      </c>
      <c r="G16" s="358" t="e">
        <f t="shared" si="9"/>
        <v>#REF!</v>
      </c>
      <c r="H16" s="358" t="e">
        <f t="shared" si="9"/>
        <v>#REF!</v>
      </c>
      <c r="I16" s="358" t="e">
        <f t="shared" si="9"/>
        <v>#REF!</v>
      </c>
      <c r="K16" s="454">
        <f>'Capacity inputs'!P16</f>
        <v>44.4</v>
      </c>
      <c r="L16" s="456" t="e">
        <f>$K16*D16/1000</f>
        <v>#REF!</v>
      </c>
      <c r="M16" s="456" t="e">
        <f t="shared" ref="M16:Q16" si="10">$K16*E16/1000</f>
        <v>#REF!</v>
      </c>
      <c r="N16" s="456" t="e">
        <f t="shared" si="10"/>
        <v>#REF!</v>
      </c>
      <c r="O16" s="456" t="e">
        <f t="shared" si="10"/>
        <v>#REF!</v>
      </c>
      <c r="P16" s="456" t="e">
        <f t="shared" si="10"/>
        <v>#REF!</v>
      </c>
      <c r="Q16" s="456" t="e">
        <f t="shared" si="10"/>
        <v>#REF!</v>
      </c>
      <c r="R16" s="120"/>
      <c r="S16" s="120"/>
      <c r="T16" s="120"/>
      <c r="U16" s="120"/>
      <c r="V16" s="120"/>
      <c r="W16" s="120"/>
      <c r="X16" s="120"/>
      <c r="AH16" s="251"/>
      <c r="AI16" s="251"/>
      <c r="AJ16" s="251"/>
      <c r="AK16" s="251"/>
      <c r="AL16" s="251"/>
    </row>
    <row r="17" spans="1:38" x14ac:dyDescent="0.35">
      <c r="A17" s="252"/>
      <c r="B17" s="377" t="str">
        <f>B106&amp;" - hours"</f>
        <v>Post administration nursing time - hours</v>
      </c>
      <c r="C17" s="382"/>
      <c r="D17" s="358" t="e">
        <f>($C108*D108)+($C109*D109)+($C110*D110)+($C111*D111)+($C112*D112)+($C113*D113)+($C114*D114)</f>
        <v>#REF!</v>
      </c>
      <c r="E17" s="358" t="e">
        <f t="shared" ref="E17:I17" si="11">($C108*E108)+($C109*E109)+($C110*E110)+($C111*E111)+($C112*E112)+($C113*E113)+($C114*E114)</f>
        <v>#REF!</v>
      </c>
      <c r="F17" s="358" t="e">
        <f t="shared" si="11"/>
        <v>#REF!</v>
      </c>
      <c r="G17" s="358" t="e">
        <f t="shared" si="11"/>
        <v>#REF!</v>
      </c>
      <c r="H17" s="358" t="e">
        <f t="shared" si="11"/>
        <v>#REF!</v>
      </c>
      <c r="I17" s="358" t="e">
        <f t="shared" si="11"/>
        <v>#REF!</v>
      </c>
      <c r="K17" s="454">
        <f>'Capacity inputs'!P17</f>
        <v>44.4</v>
      </c>
      <c r="L17" s="456" t="e">
        <f>$K17*D17/1000</f>
        <v>#REF!</v>
      </c>
      <c r="M17" s="456" t="e">
        <f t="shared" ref="M17:Q17" si="12">$K17*E17/1000</f>
        <v>#REF!</v>
      </c>
      <c r="N17" s="456" t="e">
        <f t="shared" si="12"/>
        <v>#REF!</v>
      </c>
      <c r="O17" s="456" t="e">
        <f t="shared" si="12"/>
        <v>#REF!</v>
      </c>
      <c r="P17" s="456" t="e">
        <f t="shared" si="12"/>
        <v>#REF!</v>
      </c>
      <c r="Q17" s="456" t="e">
        <f t="shared" si="12"/>
        <v>#REF!</v>
      </c>
      <c r="R17" s="120"/>
      <c r="S17" s="120"/>
      <c r="T17" s="120"/>
      <c r="U17" s="120"/>
      <c r="V17" s="120"/>
      <c r="W17" s="120"/>
      <c r="X17" s="120"/>
      <c r="AH17" s="251"/>
      <c r="AI17" s="251"/>
      <c r="AJ17" s="251"/>
      <c r="AK17" s="251"/>
      <c r="AL17" s="251"/>
    </row>
    <row r="18" spans="1:38" x14ac:dyDescent="0.35">
      <c r="A18" s="254"/>
      <c r="B18" s="378" t="str">
        <f>B119</f>
        <v>Pharmacy support</v>
      </c>
      <c r="C18" s="383"/>
      <c r="D18" s="359" t="e">
        <f>D128</f>
        <v>#REF!</v>
      </c>
      <c r="E18" s="359" t="e">
        <f t="shared" ref="E18:I18" si="13">E128</f>
        <v>#REF!</v>
      </c>
      <c r="F18" s="359" t="e">
        <f t="shared" si="13"/>
        <v>#REF!</v>
      </c>
      <c r="G18" s="359" t="e">
        <f t="shared" si="13"/>
        <v>#REF!</v>
      </c>
      <c r="H18" s="359" t="e">
        <f t="shared" si="13"/>
        <v>#REF!</v>
      </c>
      <c r="I18" s="359" t="e">
        <f t="shared" si="13"/>
        <v>#REF!</v>
      </c>
      <c r="K18" s="154"/>
      <c r="L18" s="218"/>
      <c r="M18" s="218"/>
      <c r="N18" s="218"/>
      <c r="O18" s="218"/>
      <c r="P18" s="218"/>
      <c r="Q18" s="218"/>
      <c r="R18" s="120"/>
      <c r="S18" s="120"/>
      <c r="T18" s="120"/>
      <c r="U18" s="120"/>
      <c r="V18" s="120"/>
      <c r="W18" s="120"/>
      <c r="X18" s="120"/>
      <c r="AH18" s="251"/>
      <c r="AI18" s="251"/>
      <c r="AJ18" s="251"/>
      <c r="AK18" s="251"/>
      <c r="AL18" s="251"/>
    </row>
    <row r="19" spans="1:38" x14ac:dyDescent="0.35">
      <c r="A19" s="254"/>
      <c r="B19" s="378" t="str">
        <f>B119&amp;" - hours"</f>
        <v>Pharmacy support - hours</v>
      </c>
      <c r="C19" s="383"/>
      <c r="D19" s="359" t="e">
        <f>($C121*D121)+($C122*D122)+($C123*D123)+($C124*D124)+($C125*D125)+($C126*D126)+($C127*D127)</f>
        <v>#REF!</v>
      </c>
      <c r="E19" s="359" t="e">
        <f t="shared" ref="E19:I19" si="14">($C121*E121)+($C122*E122)+($C123*E123)+($C124*E124)+($C125*E125)+($C126*E126)+($C127*E127)</f>
        <v>#REF!</v>
      </c>
      <c r="F19" s="359" t="e">
        <f t="shared" si="14"/>
        <v>#REF!</v>
      </c>
      <c r="G19" s="359" t="e">
        <f t="shared" si="14"/>
        <v>#REF!</v>
      </c>
      <c r="H19" s="359" t="e">
        <f t="shared" si="14"/>
        <v>#REF!</v>
      </c>
      <c r="I19" s="359" t="e">
        <f t="shared" si="14"/>
        <v>#REF!</v>
      </c>
      <c r="K19" s="454">
        <f>'Capacity inputs'!P18</f>
        <v>49.24</v>
      </c>
      <c r="L19" s="456" t="e">
        <f>$K19*D19/1000</f>
        <v>#REF!</v>
      </c>
      <c r="M19" s="456" t="e">
        <f t="shared" ref="M19:Q19" si="15">$K19*E19/1000</f>
        <v>#REF!</v>
      </c>
      <c r="N19" s="456" t="e">
        <f t="shared" si="15"/>
        <v>#REF!</v>
      </c>
      <c r="O19" s="456" t="e">
        <f t="shared" si="15"/>
        <v>#REF!</v>
      </c>
      <c r="P19" s="456" t="e">
        <f t="shared" si="15"/>
        <v>#REF!</v>
      </c>
      <c r="Q19" s="456" t="e">
        <f t="shared" si="15"/>
        <v>#REF!</v>
      </c>
      <c r="R19" s="120"/>
      <c r="S19" s="120"/>
      <c r="T19" s="120"/>
      <c r="U19" s="120"/>
      <c r="V19" s="120"/>
      <c r="W19" s="120"/>
      <c r="X19" s="120"/>
      <c r="AH19" s="251"/>
      <c r="AI19" s="251"/>
      <c r="AJ19" s="251"/>
      <c r="AK19" s="251"/>
      <c r="AL19" s="251"/>
    </row>
    <row r="20" spans="1:38" x14ac:dyDescent="0.35">
      <c r="A20" s="288"/>
      <c r="B20" s="380" t="str">
        <f>B132</f>
        <v>Appointments with supporting specialty x</v>
      </c>
      <c r="C20" s="332"/>
      <c r="D20" s="362" t="e">
        <f>D141</f>
        <v>#REF!</v>
      </c>
      <c r="E20" s="362" t="e">
        <f t="shared" ref="E20:I20" si="16">E141</f>
        <v>#REF!</v>
      </c>
      <c r="F20" s="362" t="e">
        <f t="shared" si="16"/>
        <v>#REF!</v>
      </c>
      <c r="G20" s="362" t="e">
        <f t="shared" si="16"/>
        <v>#REF!</v>
      </c>
      <c r="H20" s="362" t="e">
        <f t="shared" si="16"/>
        <v>#REF!</v>
      </c>
      <c r="I20" s="362" t="e">
        <f t="shared" si="16"/>
        <v>#REF!</v>
      </c>
      <c r="K20" s="154"/>
      <c r="L20" s="218"/>
      <c r="M20" s="218"/>
      <c r="N20" s="218"/>
      <c r="O20" s="218"/>
      <c r="P20" s="218"/>
      <c r="Q20" s="218"/>
      <c r="R20" s="120"/>
      <c r="S20" s="120"/>
      <c r="T20" s="120"/>
      <c r="U20" s="120"/>
      <c r="V20" s="120"/>
      <c r="W20" s="120"/>
      <c r="X20" s="120"/>
      <c r="AH20" s="251"/>
      <c r="AI20" s="251"/>
      <c r="AJ20" s="251"/>
      <c r="AK20" s="251"/>
      <c r="AL20" s="251"/>
    </row>
    <row r="21" spans="1:38" x14ac:dyDescent="0.35">
      <c r="A21" s="288"/>
      <c r="B21" s="380" t="str">
        <f>B132&amp;" - hours"</f>
        <v>Appointments with supporting specialty x - hours</v>
      </c>
      <c r="C21" s="573">
        <f>'Capacity inputs'!F19</f>
        <v>0</v>
      </c>
      <c r="D21" s="362" t="e">
        <f>$C21/60*D20</f>
        <v>#REF!</v>
      </c>
      <c r="E21" s="362" t="e">
        <f t="shared" ref="E21:I21" si="17">$C21/60*E20</f>
        <v>#REF!</v>
      </c>
      <c r="F21" s="362" t="e">
        <f t="shared" si="17"/>
        <v>#REF!</v>
      </c>
      <c r="G21" s="362" t="e">
        <f t="shared" si="17"/>
        <v>#REF!</v>
      </c>
      <c r="H21" s="362" t="e">
        <f t="shared" si="17"/>
        <v>#REF!</v>
      </c>
      <c r="I21" s="362" t="e">
        <f t="shared" si="17"/>
        <v>#REF!</v>
      </c>
      <c r="K21" s="454">
        <f>'Capacity inputs'!P19</f>
        <v>127.43</v>
      </c>
      <c r="L21" s="456" t="e">
        <f>$K21*D21/1000</f>
        <v>#REF!</v>
      </c>
      <c r="M21" s="456" t="e">
        <f t="shared" ref="M21:Q21" si="18">$K21*E21/1000</f>
        <v>#REF!</v>
      </c>
      <c r="N21" s="456" t="e">
        <f t="shared" si="18"/>
        <v>#REF!</v>
      </c>
      <c r="O21" s="456" t="e">
        <f t="shared" si="18"/>
        <v>#REF!</v>
      </c>
      <c r="P21" s="456" t="e">
        <f t="shared" si="18"/>
        <v>#REF!</v>
      </c>
      <c r="Q21" s="456" t="e">
        <f t="shared" si="18"/>
        <v>#REF!</v>
      </c>
      <c r="R21" s="120"/>
      <c r="S21" s="120"/>
      <c r="T21" s="120"/>
      <c r="U21" s="120"/>
      <c r="V21" s="120"/>
      <c r="W21" s="120"/>
      <c r="X21" s="120"/>
      <c r="AH21" s="251"/>
      <c r="AI21" s="251"/>
      <c r="AJ21" s="251"/>
      <c r="AK21" s="251"/>
      <c r="AL21" s="251"/>
    </row>
    <row r="22" spans="1:38" x14ac:dyDescent="0.35">
      <c r="A22" s="255"/>
      <c r="B22" s="381" t="str">
        <f>B145</f>
        <v>Imaging scans</v>
      </c>
      <c r="C22" s="371"/>
      <c r="D22" s="363" t="e">
        <f>D154</f>
        <v>#REF!</v>
      </c>
      <c r="E22" s="363" t="e">
        <f t="shared" ref="E22:I22" si="19">E154</f>
        <v>#REF!</v>
      </c>
      <c r="F22" s="363" t="e">
        <f t="shared" si="19"/>
        <v>#REF!</v>
      </c>
      <c r="G22" s="363" t="e">
        <f t="shared" si="19"/>
        <v>#REF!</v>
      </c>
      <c r="H22" s="363" t="e">
        <f t="shared" si="19"/>
        <v>#REF!</v>
      </c>
      <c r="I22" s="363" t="e">
        <f t="shared" si="19"/>
        <v>#REF!</v>
      </c>
      <c r="K22" s="154"/>
      <c r="L22" s="218"/>
      <c r="M22" s="218"/>
      <c r="N22" s="218"/>
      <c r="O22" s="218"/>
      <c r="P22" s="218"/>
      <c r="Q22" s="218"/>
      <c r="R22" s="120"/>
      <c r="S22" s="120"/>
      <c r="T22" s="120"/>
      <c r="U22" s="120"/>
      <c r="V22" s="120"/>
      <c r="W22" s="120"/>
      <c r="X22" s="120"/>
      <c r="AH22" s="251"/>
      <c r="AI22" s="251"/>
      <c r="AJ22" s="251"/>
      <c r="AK22" s="251"/>
      <c r="AL22" s="251"/>
    </row>
    <row r="23" spans="1:38" x14ac:dyDescent="0.35">
      <c r="A23" s="255"/>
      <c r="B23" s="381" t="str">
        <f>B145&amp;" - hours"</f>
        <v>Imaging scans - hours</v>
      </c>
      <c r="C23" s="574">
        <f>'Capacity inputs'!F20</f>
        <v>0</v>
      </c>
      <c r="D23" s="363" t="e">
        <f>D22*$C23/60</f>
        <v>#REF!</v>
      </c>
      <c r="E23" s="363" t="e">
        <f t="shared" ref="E23:I23" si="20">E22*$C23/60</f>
        <v>#REF!</v>
      </c>
      <c r="F23" s="363" t="e">
        <f t="shared" si="20"/>
        <v>#REF!</v>
      </c>
      <c r="G23" s="363" t="e">
        <f t="shared" si="20"/>
        <v>#REF!</v>
      </c>
      <c r="H23" s="363" t="e">
        <f t="shared" si="20"/>
        <v>#REF!</v>
      </c>
      <c r="I23" s="363" t="e">
        <f t="shared" si="20"/>
        <v>#REF!</v>
      </c>
      <c r="K23" s="454">
        <f>'Capacity inputs'!P20</f>
        <v>44.4</v>
      </c>
      <c r="L23" s="456" t="e">
        <f>$K23*D23/1000</f>
        <v>#REF!</v>
      </c>
      <c r="M23" s="456" t="e">
        <f t="shared" ref="M23:Q23" si="21">$K23*E23/1000</f>
        <v>#REF!</v>
      </c>
      <c r="N23" s="456" t="e">
        <f t="shared" si="21"/>
        <v>#REF!</v>
      </c>
      <c r="O23" s="456" t="e">
        <f t="shared" si="21"/>
        <v>#REF!</v>
      </c>
      <c r="P23" s="456" t="e">
        <f t="shared" si="21"/>
        <v>#REF!</v>
      </c>
      <c r="Q23" s="456" t="e">
        <f t="shared" si="21"/>
        <v>#REF!</v>
      </c>
      <c r="R23" s="120"/>
      <c r="S23" s="120"/>
      <c r="T23" s="120"/>
      <c r="U23" s="120"/>
      <c r="V23" s="120"/>
      <c r="W23" s="120"/>
      <c r="X23" s="120"/>
      <c r="AH23" s="251"/>
      <c r="AI23" s="251"/>
      <c r="AJ23" s="251"/>
      <c r="AK23" s="251"/>
      <c r="AL23" s="251"/>
    </row>
    <row r="24" spans="1:38" x14ac:dyDescent="0.35">
      <c r="A24" s="255"/>
      <c r="B24" s="381" t="str">
        <f>B157</f>
        <v>Pathology tests</v>
      </c>
      <c r="C24" s="371"/>
      <c r="D24" s="363" t="e">
        <f>D166</f>
        <v>#REF!</v>
      </c>
      <c r="E24" s="363" t="e">
        <f t="shared" ref="E24:I24" si="22">E166</f>
        <v>#REF!</v>
      </c>
      <c r="F24" s="363" t="e">
        <f t="shared" si="22"/>
        <v>#REF!</v>
      </c>
      <c r="G24" s="363" t="e">
        <f t="shared" si="22"/>
        <v>#REF!</v>
      </c>
      <c r="H24" s="363" t="e">
        <f t="shared" si="22"/>
        <v>#REF!</v>
      </c>
      <c r="I24" s="363" t="e">
        <f t="shared" si="22"/>
        <v>#REF!</v>
      </c>
      <c r="K24" s="154"/>
      <c r="L24" s="218"/>
      <c r="M24" s="218"/>
      <c r="N24" s="218"/>
      <c r="O24" s="218"/>
      <c r="P24" s="218"/>
      <c r="Q24" s="218"/>
      <c r="R24" s="120"/>
      <c r="S24" s="120"/>
      <c r="T24" s="120"/>
      <c r="U24" s="120"/>
      <c r="V24" s="120"/>
      <c r="W24" s="120"/>
      <c r="X24" s="120"/>
      <c r="AH24" s="251"/>
      <c r="AI24" s="251"/>
      <c r="AJ24" s="251"/>
      <c r="AK24" s="251"/>
      <c r="AL24" s="251"/>
    </row>
    <row r="25" spans="1:38" x14ac:dyDescent="0.35">
      <c r="A25" s="255"/>
      <c r="B25" s="381" t="str">
        <f>B157&amp;" - hours"</f>
        <v>Pathology tests - hours</v>
      </c>
      <c r="C25" s="574">
        <f>'Capacity inputs'!F21</f>
        <v>0</v>
      </c>
      <c r="D25" s="363" t="e">
        <f>$C25/60*D24</f>
        <v>#REF!</v>
      </c>
      <c r="E25" s="363" t="e">
        <f t="shared" ref="E25:I25" si="23">$C25/60*E24</f>
        <v>#REF!</v>
      </c>
      <c r="F25" s="363" t="e">
        <f t="shared" si="23"/>
        <v>#REF!</v>
      </c>
      <c r="G25" s="363" t="e">
        <f t="shared" si="23"/>
        <v>#REF!</v>
      </c>
      <c r="H25" s="363" t="e">
        <f t="shared" si="23"/>
        <v>#REF!</v>
      </c>
      <c r="I25" s="363" t="e">
        <f t="shared" si="23"/>
        <v>#REF!</v>
      </c>
      <c r="K25" s="454">
        <f>'Capacity inputs'!P21</f>
        <v>35.97</v>
      </c>
      <c r="L25" s="456" t="e">
        <f>$K25*D25/1000</f>
        <v>#REF!</v>
      </c>
      <c r="M25" s="456" t="e">
        <f t="shared" ref="M25:Q25" si="24">$K25*E25/1000</f>
        <v>#REF!</v>
      </c>
      <c r="N25" s="456" t="e">
        <f t="shared" si="24"/>
        <v>#REF!</v>
      </c>
      <c r="O25" s="456" t="e">
        <f t="shared" si="24"/>
        <v>#REF!</v>
      </c>
      <c r="P25" s="456" t="e">
        <f t="shared" si="24"/>
        <v>#REF!</v>
      </c>
      <c r="Q25" s="456" t="e">
        <f t="shared" si="24"/>
        <v>#REF!</v>
      </c>
      <c r="R25" s="120"/>
      <c r="S25" s="120"/>
      <c r="T25" s="120"/>
      <c r="U25" s="120"/>
      <c r="V25" s="120"/>
      <c r="W25" s="120"/>
      <c r="X25" s="120"/>
      <c r="AH25" s="251"/>
      <c r="AI25" s="251"/>
      <c r="AJ25" s="251"/>
      <c r="AK25" s="251"/>
      <c r="AL25" s="251"/>
    </row>
    <row r="26" spans="1:38" x14ac:dyDescent="0.35">
      <c r="A26" s="255"/>
      <c r="B26" s="381" t="str">
        <f>B169</f>
        <v>Genomic tests</v>
      </c>
      <c r="C26" s="371"/>
      <c r="D26" s="363" t="e">
        <f>D178</f>
        <v>#REF!</v>
      </c>
      <c r="E26" s="363" t="e">
        <f t="shared" ref="E26:I26" si="25">E178</f>
        <v>#REF!</v>
      </c>
      <c r="F26" s="363" t="e">
        <f t="shared" si="25"/>
        <v>#REF!</v>
      </c>
      <c r="G26" s="363" t="e">
        <f t="shared" si="25"/>
        <v>#REF!</v>
      </c>
      <c r="H26" s="363" t="e">
        <f t="shared" si="25"/>
        <v>#REF!</v>
      </c>
      <c r="I26" s="363" t="e">
        <f t="shared" si="25"/>
        <v>#REF!</v>
      </c>
      <c r="K26" s="154"/>
      <c r="L26" s="218"/>
      <c r="M26" s="218"/>
      <c r="N26" s="218"/>
      <c r="O26" s="218"/>
      <c r="P26" s="218"/>
      <c r="Q26" s="218"/>
      <c r="R26" s="120"/>
      <c r="S26" s="120"/>
      <c r="T26" s="120"/>
      <c r="U26" s="120"/>
      <c r="V26" s="120"/>
      <c r="W26" s="120"/>
      <c r="X26" s="120"/>
      <c r="AH26" s="251"/>
      <c r="AI26" s="251"/>
      <c r="AJ26" s="251"/>
      <c r="AK26" s="251"/>
      <c r="AL26" s="251"/>
    </row>
    <row r="27" spans="1:38" x14ac:dyDescent="0.35">
      <c r="A27" s="255"/>
      <c r="B27" s="381" t="str">
        <f>B169&amp;" - hours"</f>
        <v>Genomic tests - hours</v>
      </c>
      <c r="C27" s="574">
        <f>'Capacity inputs'!F22</f>
        <v>0</v>
      </c>
      <c r="D27" s="363" t="e">
        <f>$C27/60*D26</f>
        <v>#REF!</v>
      </c>
      <c r="E27" s="363" t="e">
        <f t="shared" ref="E27:I27" si="26">$C27/60*E26</f>
        <v>#REF!</v>
      </c>
      <c r="F27" s="363" t="e">
        <f t="shared" si="26"/>
        <v>#REF!</v>
      </c>
      <c r="G27" s="363" t="e">
        <f t="shared" si="26"/>
        <v>#REF!</v>
      </c>
      <c r="H27" s="363" t="e">
        <f t="shared" si="26"/>
        <v>#REF!</v>
      </c>
      <c r="I27" s="363" t="e">
        <f t="shared" si="26"/>
        <v>#REF!</v>
      </c>
      <c r="K27" s="454">
        <f>'Capacity inputs'!P22</f>
        <v>51.74</v>
      </c>
      <c r="L27" s="456" t="e">
        <f>$K27*D27/1000</f>
        <v>#REF!</v>
      </c>
      <c r="M27" s="456" t="e">
        <f t="shared" ref="M27:Q27" si="27">$K27*E27/1000</f>
        <v>#REF!</v>
      </c>
      <c r="N27" s="456" t="e">
        <f t="shared" si="27"/>
        <v>#REF!</v>
      </c>
      <c r="O27" s="456" t="e">
        <f t="shared" si="27"/>
        <v>#REF!</v>
      </c>
      <c r="P27" s="456" t="e">
        <f t="shared" si="27"/>
        <v>#REF!</v>
      </c>
      <c r="Q27" s="456" t="e">
        <f t="shared" si="27"/>
        <v>#REF!</v>
      </c>
      <c r="R27" s="120"/>
      <c r="S27" s="120"/>
      <c r="T27" s="120"/>
      <c r="U27" s="120"/>
      <c r="V27" s="120"/>
      <c r="W27" s="120"/>
      <c r="X27" s="120"/>
      <c r="AH27" s="251"/>
      <c r="AI27" s="251"/>
      <c r="AJ27" s="251"/>
      <c r="AK27" s="251"/>
      <c r="AL27" s="251"/>
    </row>
    <row r="28" spans="1:38" x14ac:dyDescent="0.35">
      <c r="B28" s="214"/>
      <c r="D28" s="251"/>
      <c r="F28" s="120"/>
      <c r="G28" s="120"/>
      <c r="H28" s="120"/>
      <c r="I28" s="120"/>
      <c r="J28" s="120"/>
      <c r="K28" s="145"/>
      <c r="L28" s="257" t="e">
        <f t="shared" ref="L28:Q28" si="28">SUM(L10:L27)</f>
        <v>#REF!</v>
      </c>
      <c r="M28" s="257" t="e">
        <f t="shared" si="28"/>
        <v>#REF!</v>
      </c>
      <c r="N28" s="257" t="e">
        <f t="shared" si="28"/>
        <v>#REF!</v>
      </c>
      <c r="O28" s="257" t="e">
        <f t="shared" si="28"/>
        <v>#REF!</v>
      </c>
      <c r="P28" s="257" t="e">
        <f t="shared" si="28"/>
        <v>#REF!</v>
      </c>
      <c r="Q28" s="257" t="e">
        <f t="shared" si="28"/>
        <v>#REF!</v>
      </c>
      <c r="R28" s="120"/>
      <c r="S28" s="120"/>
      <c r="T28" s="120"/>
      <c r="U28" s="120"/>
      <c r="V28" s="120"/>
      <c r="W28" s="120"/>
      <c r="X28" s="120"/>
    </row>
    <row r="29" spans="1:38" x14ac:dyDescent="0.35">
      <c r="B29" s="279"/>
      <c r="C29" s="279"/>
      <c r="D29" s="279"/>
      <c r="E29" s="279"/>
      <c r="F29" s="279"/>
      <c r="G29" s="279"/>
      <c r="H29" s="279"/>
      <c r="I29" s="279"/>
      <c r="J29" s="279"/>
      <c r="K29" s="279"/>
      <c r="L29" s="279"/>
      <c r="P29" s="120"/>
      <c r="Q29" s="120"/>
      <c r="R29" s="120"/>
      <c r="T29" s="120"/>
      <c r="U29" s="120"/>
      <c r="V29" s="120"/>
      <c r="W29" s="120"/>
      <c r="X29" s="120"/>
      <c r="AH29" s="251"/>
      <c r="AI29" s="251"/>
      <c r="AJ29" s="251"/>
      <c r="AK29" s="251"/>
      <c r="AL29" s="251"/>
    </row>
    <row r="30" spans="1:38" x14ac:dyDescent="0.35">
      <c r="B30" s="318" t="s">
        <v>712</v>
      </c>
      <c r="C30" s="319"/>
      <c r="D30" s="319"/>
      <c r="E30" s="320"/>
      <c r="F30" s="319"/>
      <c r="G30" s="321"/>
      <c r="H30" s="322"/>
      <c r="I30" s="322"/>
      <c r="J30" s="322"/>
      <c r="K30" s="322"/>
      <c r="L30" s="322"/>
      <c r="M30" s="322"/>
      <c r="N30" s="322"/>
      <c r="O30" s="322"/>
      <c r="P30" s="322"/>
      <c r="Q30" s="323"/>
      <c r="R30" s="120"/>
      <c r="S30" s="120"/>
      <c r="T30" s="120"/>
      <c r="U30" s="120"/>
      <c r="V30" s="120"/>
      <c r="W30" s="120"/>
      <c r="X30" s="120"/>
      <c r="AH30" s="251"/>
      <c r="AI30" s="251"/>
      <c r="AJ30" s="251"/>
      <c r="AK30" s="251"/>
      <c r="AL30" s="251"/>
    </row>
    <row r="31" spans="1:38" x14ac:dyDescent="0.35">
      <c r="A31" s="253"/>
      <c r="B31" s="452" t="s">
        <v>713</v>
      </c>
      <c r="C31" s="445"/>
      <c r="D31" s="446"/>
      <c r="E31" s="447"/>
      <c r="F31" s="253"/>
      <c r="G31" s="253"/>
      <c r="H31" s="192"/>
      <c r="I31" s="192"/>
      <c r="J31" s="192"/>
      <c r="K31" s="192"/>
      <c r="L31" s="192"/>
      <c r="M31" s="192"/>
      <c r="N31" s="192"/>
      <c r="O31" s="192"/>
      <c r="P31" s="192"/>
      <c r="Q31" s="192"/>
      <c r="R31" s="120"/>
      <c r="S31" s="120"/>
      <c r="T31" s="120"/>
      <c r="U31" s="120"/>
      <c r="V31" s="120"/>
      <c r="W31" s="120"/>
      <c r="X31" s="120"/>
      <c r="AH31" s="251"/>
      <c r="AI31" s="251"/>
      <c r="AJ31" s="251"/>
      <c r="AK31" s="251"/>
      <c r="AL31" s="251"/>
    </row>
    <row r="32" spans="1:38" x14ac:dyDescent="0.35">
      <c r="A32" s="443"/>
      <c r="B32" s="448" t="s">
        <v>714</v>
      </c>
      <c r="C32" s="341"/>
      <c r="D32" s="341"/>
      <c r="E32" s="341"/>
      <c r="F32" s="341"/>
      <c r="G32" s="341"/>
      <c r="H32" s="341"/>
      <c r="I32" s="191"/>
      <c r="J32" s="192"/>
      <c r="K32" s="192"/>
      <c r="L32" s="192"/>
      <c r="M32" s="192"/>
      <c r="N32" s="192"/>
      <c r="O32" s="192"/>
      <c r="P32" s="192"/>
      <c r="Q32" s="192"/>
      <c r="R32" s="120"/>
      <c r="S32" s="120"/>
      <c r="T32" s="120"/>
      <c r="U32" s="120"/>
      <c r="V32" s="120"/>
      <c r="W32" s="120"/>
      <c r="X32" s="120"/>
      <c r="AH32" s="251"/>
      <c r="AI32" s="251"/>
      <c r="AJ32" s="251"/>
      <c r="AK32" s="251"/>
      <c r="AL32" s="251"/>
    </row>
    <row r="33" spans="1:38" ht="43.5" x14ac:dyDescent="0.35">
      <c r="A33" s="443"/>
      <c r="B33" s="278" t="s">
        <v>649</v>
      </c>
      <c r="C33" s="152" t="s">
        <v>715</v>
      </c>
      <c r="D33" s="661" t="s">
        <v>698</v>
      </c>
      <c r="E33" s="222" t="s">
        <v>551</v>
      </c>
      <c r="F33" s="222" t="s">
        <v>552</v>
      </c>
      <c r="G33" s="151" t="s">
        <v>673</v>
      </c>
      <c r="H33" s="151" t="s">
        <v>674</v>
      </c>
      <c r="I33" s="222" t="s">
        <v>675</v>
      </c>
      <c r="J33" s="451"/>
      <c r="K33" s="192"/>
      <c r="L33" s="192"/>
      <c r="M33" s="192"/>
      <c r="N33" s="192"/>
      <c r="O33" s="192"/>
      <c r="P33" s="192"/>
      <c r="Q33" s="192"/>
      <c r="R33" s="120"/>
      <c r="S33" s="120"/>
      <c r="T33" s="120"/>
      <c r="U33" s="120"/>
      <c r="V33" s="120"/>
      <c r="W33" s="120"/>
      <c r="X33" s="120"/>
      <c r="AH33" s="251"/>
      <c r="AI33" s="251"/>
      <c r="AJ33" s="251"/>
      <c r="AK33" s="251"/>
      <c r="AL33" s="251"/>
    </row>
    <row r="34" spans="1:38" x14ac:dyDescent="0.35">
      <c r="A34" s="443"/>
      <c r="B34" s="304" t="str">
        <f>'Capacity inputs'!G12</f>
        <v>Treatment A</v>
      </c>
      <c r="C34" s="136">
        <f>'Capacity inputs'!G$13</f>
        <v>0</v>
      </c>
      <c r="D34" s="115">
        <f>'Financial impact (cash)'!D13*$C$34</f>
        <v>0</v>
      </c>
      <c r="E34" s="115">
        <f>'Financial impact (cash)'!E13*$C$34</f>
        <v>0</v>
      </c>
      <c r="F34" s="115">
        <f>'Financial impact (cash)'!F13*$C$34</f>
        <v>0</v>
      </c>
      <c r="G34" s="115">
        <f>'Financial impact (cash)'!G13*$C$34</f>
        <v>0</v>
      </c>
      <c r="H34" s="115">
        <f>'Financial impact (cash)'!H13*$C$34</f>
        <v>0</v>
      </c>
      <c r="I34" s="115">
        <f>'Financial impact (cash)'!I13*$C$34</f>
        <v>0</v>
      </c>
      <c r="J34" s="451"/>
      <c r="K34" s="192"/>
      <c r="L34" s="192"/>
      <c r="M34" s="192"/>
      <c r="N34" s="192"/>
      <c r="O34" s="192"/>
      <c r="P34" s="192"/>
      <c r="Q34" s="192"/>
      <c r="R34" s="120"/>
      <c r="S34" s="120"/>
      <c r="T34" s="120"/>
      <c r="U34" s="120"/>
      <c r="V34" s="120"/>
      <c r="W34" s="120"/>
      <c r="X34" s="120"/>
      <c r="AH34" s="251"/>
      <c r="AI34" s="251"/>
      <c r="AJ34" s="251"/>
      <c r="AK34" s="251"/>
      <c r="AL34" s="251"/>
    </row>
    <row r="35" spans="1:38" x14ac:dyDescent="0.35">
      <c r="A35" s="443"/>
      <c r="B35" s="304" t="str">
        <f>'Capacity inputs'!H12</f>
        <v>Treatment B</v>
      </c>
      <c r="C35" s="136">
        <f>'Capacity inputs'!H$13</f>
        <v>0</v>
      </c>
      <c r="D35" s="115">
        <f>'Financial impact (cash)'!D14*$C$34</f>
        <v>0</v>
      </c>
      <c r="E35" s="115">
        <f>'Financial impact (cash)'!E14*$C$34</f>
        <v>0</v>
      </c>
      <c r="F35" s="115">
        <f>'Financial impact (cash)'!F14*$C$34</f>
        <v>0</v>
      </c>
      <c r="G35" s="115">
        <f>'Financial impact (cash)'!G14*$C$34</f>
        <v>0</v>
      </c>
      <c r="H35" s="115">
        <f>'Financial impact (cash)'!H14*$C$34</f>
        <v>0</v>
      </c>
      <c r="I35" s="115">
        <f>'Financial impact (cash)'!I14*$C$34</f>
        <v>0</v>
      </c>
      <c r="J35" s="451"/>
      <c r="K35" s="192"/>
      <c r="L35" s="192"/>
      <c r="M35" s="192"/>
      <c r="N35" s="192"/>
      <c r="O35" s="192"/>
      <c r="P35" s="192"/>
      <c r="Q35" s="192"/>
      <c r="R35" s="120"/>
      <c r="S35" s="120"/>
      <c r="T35" s="120"/>
      <c r="U35" s="120"/>
      <c r="V35" s="120"/>
      <c r="W35" s="120"/>
      <c r="X35" s="120"/>
      <c r="AH35" s="251"/>
      <c r="AI35" s="251"/>
      <c r="AJ35" s="251"/>
      <c r="AK35" s="251"/>
      <c r="AL35" s="251"/>
    </row>
    <row r="36" spans="1:38" x14ac:dyDescent="0.35">
      <c r="A36" s="443"/>
      <c r="B36" s="304"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1"/>
      <c r="K36" s="192"/>
      <c r="L36" s="192"/>
      <c r="M36" s="192"/>
      <c r="N36" s="192"/>
      <c r="O36" s="192"/>
      <c r="P36" s="192"/>
      <c r="Q36" s="192"/>
      <c r="R36" s="120"/>
      <c r="S36" s="120"/>
      <c r="T36" s="120"/>
      <c r="U36" s="120"/>
      <c r="V36" s="120"/>
      <c r="W36" s="120"/>
      <c r="X36" s="120"/>
      <c r="AH36" s="251"/>
      <c r="AI36" s="251"/>
      <c r="AJ36" s="251"/>
      <c r="AK36" s="251"/>
      <c r="AL36" s="251"/>
    </row>
    <row r="37" spans="1:38" x14ac:dyDescent="0.35">
      <c r="A37" s="443"/>
      <c r="B37" s="674"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1"/>
      <c r="K37" s="192"/>
      <c r="L37" s="192"/>
      <c r="M37" s="192"/>
      <c r="N37" s="192"/>
      <c r="O37" s="192"/>
      <c r="P37" s="192"/>
      <c r="Q37" s="192"/>
      <c r="R37" s="120"/>
      <c r="S37" s="120"/>
      <c r="T37" s="120"/>
      <c r="U37" s="120"/>
      <c r="V37" s="120"/>
      <c r="W37" s="120"/>
      <c r="X37" s="120"/>
      <c r="AH37" s="251"/>
      <c r="AI37" s="251"/>
      <c r="AJ37" s="251"/>
      <c r="AK37" s="251"/>
      <c r="AL37" s="251"/>
    </row>
    <row r="38" spans="1:38" x14ac:dyDescent="0.35">
      <c r="A38" s="443"/>
      <c r="B38" s="674"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1"/>
      <c r="K38" s="192"/>
      <c r="L38" s="192"/>
      <c r="M38" s="192"/>
      <c r="N38" s="192"/>
      <c r="O38" s="192"/>
      <c r="P38" s="192"/>
      <c r="Q38" s="192"/>
      <c r="R38" s="120"/>
      <c r="S38" s="120"/>
      <c r="T38" s="120"/>
      <c r="U38" s="120"/>
      <c r="V38" s="120"/>
      <c r="W38" s="120"/>
      <c r="X38" s="120"/>
      <c r="AH38" s="251"/>
      <c r="AI38" s="251"/>
      <c r="AJ38" s="251"/>
      <c r="AK38" s="251"/>
      <c r="AL38" s="251"/>
    </row>
    <row r="39" spans="1:38" x14ac:dyDescent="0.35">
      <c r="A39" s="443"/>
      <c r="B39" s="674"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1"/>
      <c r="K39" s="192"/>
      <c r="L39" s="192"/>
      <c r="M39" s="192"/>
      <c r="N39" s="192"/>
      <c r="O39" s="192"/>
      <c r="P39" s="192"/>
      <c r="Q39" s="192"/>
      <c r="R39" s="120"/>
      <c r="S39" s="120"/>
      <c r="T39" s="120"/>
      <c r="U39" s="120"/>
      <c r="V39" s="120"/>
      <c r="W39" s="120"/>
      <c r="X39" s="120"/>
      <c r="AH39" s="251"/>
      <c r="AI39" s="251"/>
      <c r="AJ39" s="251"/>
      <c r="AK39" s="251"/>
      <c r="AL39" s="251"/>
    </row>
    <row r="40" spans="1:38" x14ac:dyDescent="0.35">
      <c r="A40" s="443"/>
      <c r="B40" s="674"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1"/>
      <c r="K40" s="192"/>
      <c r="L40" s="192"/>
      <c r="M40" s="192"/>
      <c r="N40" s="192"/>
      <c r="O40" s="192"/>
      <c r="P40" s="192"/>
      <c r="Q40" s="192"/>
      <c r="R40" s="120"/>
      <c r="S40" s="120"/>
      <c r="T40" s="120"/>
      <c r="U40" s="120"/>
      <c r="V40" s="120"/>
      <c r="W40" s="120"/>
      <c r="X40" s="120"/>
      <c r="AH40" s="251"/>
      <c r="AI40" s="251"/>
      <c r="AJ40" s="251"/>
      <c r="AK40" s="251"/>
      <c r="AL40" s="251"/>
    </row>
    <row r="41" spans="1:38" x14ac:dyDescent="0.35">
      <c r="A41" s="443"/>
      <c r="B41" s="432"/>
      <c r="C41" s="282"/>
      <c r="D41" s="167" t="e">
        <f>SUM(D34:D40)</f>
        <v>#REF!</v>
      </c>
      <c r="E41" s="167" t="e">
        <f t="shared" ref="E41:I41" si="29">SUM(E34:E40)</f>
        <v>#REF!</v>
      </c>
      <c r="F41" s="167" t="e">
        <f t="shared" si="29"/>
        <v>#REF!</v>
      </c>
      <c r="G41" s="167" t="e">
        <f t="shared" si="29"/>
        <v>#REF!</v>
      </c>
      <c r="H41" s="167" t="e">
        <f t="shared" si="29"/>
        <v>#REF!</v>
      </c>
      <c r="I41" s="167" t="e">
        <f t="shared" si="29"/>
        <v>#REF!</v>
      </c>
      <c r="J41" s="451"/>
      <c r="K41" s="192"/>
      <c r="L41" s="192"/>
      <c r="M41" s="192"/>
      <c r="N41" s="192"/>
      <c r="O41" s="192"/>
      <c r="P41" s="192"/>
      <c r="Q41" s="192"/>
      <c r="R41" s="120"/>
      <c r="S41" s="120"/>
      <c r="T41" s="120"/>
      <c r="U41" s="120"/>
      <c r="V41" s="120"/>
      <c r="W41" s="120"/>
      <c r="X41" s="120"/>
      <c r="AH41" s="251"/>
      <c r="AI41" s="251"/>
      <c r="AJ41" s="251"/>
      <c r="AK41" s="251"/>
      <c r="AL41" s="251"/>
    </row>
    <row r="42" spans="1:38" x14ac:dyDescent="0.35">
      <c r="A42" s="443"/>
      <c r="B42" s="223"/>
      <c r="C42" s="223"/>
      <c r="D42" s="250" t="s">
        <v>716</v>
      </c>
      <c r="E42" s="167" t="e">
        <f>E41-$D$41</f>
        <v>#REF!</v>
      </c>
      <c r="F42" s="167" t="e">
        <f>F41-$D$41</f>
        <v>#REF!</v>
      </c>
      <c r="G42" s="167" t="e">
        <f>G41-$D$41</f>
        <v>#REF!</v>
      </c>
      <c r="H42" s="167" t="e">
        <f>H41-$D$41</f>
        <v>#REF!</v>
      </c>
      <c r="I42" s="167" t="e">
        <f>I41-$D$41</f>
        <v>#REF!</v>
      </c>
      <c r="J42" s="451"/>
      <c r="K42" s="192"/>
      <c r="L42" s="192"/>
      <c r="M42" s="192"/>
      <c r="N42" s="192"/>
      <c r="O42" s="192"/>
      <c r="P42" s="192"/>
      <c r="Q42" s="192"/>
      <c r="R42" s="120"/>
      <c r="S42" s="120"/>
      <c r="T42" s="120"/>
      <c r="U42" s="120"/>
      <c r="V42" s="120"/>
      <c r="W42" s="120"/>
      <c r="X42" s="120"/>
      <c r="AH42" s="251"/>
      <c r="AI42" s="251"/>
      <c r="AJ42" s="251"/>
      <c r="AK42" s="251"/>
      <c r="AL42" s="251"/>
    </row>
    <row r="43" spans="1:38" x14ac:dyDescent="0.35">
      <c r="A43" s="253"/>
      <c r="B43" s="444"/>
      <c r="C43" s="445"/>
      <c r="D43" s="446"/>
      <c r="E43" s="447"/>
      <c r="F43" s="253"/>
      <c r="G43" s="253"/>
      <c r="H43" s="253"/>
      <c r="I43" s="273"/>
      <c r="J43" s="192"/>
      <c r="K43" s="192"/>
      <c r="L43" s="192"/>
      <c r="M43" s="192"/>
      <c r="N43" s="192"/>
      <c r="O43" s="192"/>
      <c r="P43" s="192"/>
      <c r="Q43" s="192"/>
      <c r="R43" s="120"/>
      <c r="S43" s="120"/>
      <c r="T43" s="120"/>
      <c r="U43" s="120"/>
      <c r="V43" s="120"/>
      <c r="W43" s="120"/>
      <c r="X43" s="120"/>
      <c r="AH43" s="251"/>
      <c r="AI43" s="251"/>
      <c r="AJ43" s="251"/>
      <c r="AK43" s="251"/>
      <c r="AL43" s="251"/>
    </row>
    <row r="44" spans="1:38" x14ac:dyDescent="0.35">
      <c r="A44" s="253"/>
      <c r="B44" s="340" t="s">
        <v>717</v>
      </c>
      <c r="C44" s="341"/>
      <c r="D44" s="341"/>
      <c r="E44" s="341"/>
      <c r="F44" s="341"/>
      <c r="G44" s="341"/>
      <c r="H44" s="341"/>
      <c r="I44" s="191"/>
      <c r="J44" s="192"/>
      <c r="K44" s="192"/>
      <c r="L44" s="192"/>
      <c r="M44" s="192"/>
      <c r="N44" s="192"/>
      <c r="O44" s="192"/>
      <c r="P44" s="192"/>
      <c r="Q44" s="192"/>
      <c r="R44" s="120"/>
      <c r="S44" s="120"/>
      <c r="T44" s="120"/>
      <c r="U44" s="120"/>
      <c r="V44" s="120"/>
      <c r="W44" s="120"/>
      <c r="X44" s="120"/>
      <c r="AH44" s="251"/>
      <c r="AI44" s="251"/>
      <c r="AJ44" s="251"/>
      <c r="AK44" s="251"/>
      <c r="AL44" s="251"/>
    </row>
    <row r="45" spans="1:38" ht="43.5" x14ac:dyDescent="0.35">
      <c r="A45" s="253"/>
      <c r="B45" s="247" t="s">
        <v>649</v>
      </c>
      <c r="C45" s="152" t="s">
        <v>715</v>
      </c>
      <c r="D45" s="661" t="s">
        <v>698</v>
      </c>
      <c r="E45" s="222" t="s">
        <v>551</v>
      </c>
      <c r="F45" s="222" t="s">
        <v>552</v>
      </c>
      <c r="G45" s="151" t="s">
        <v>673</v>
      </c>
      <c r="H45" s="151" t="s">
        <v>674</v>
      </c>
      <c r="I45" s="222" t="s">
        <v>675</v>
      </c>
      <c r="J45" s="192"/>
      <c r="K45" s="192"/>
      <c r="L45" s="192"/>
      <c r="M45" s="192"/>
      <c r="N45" s="192"/>
      <c r="O45" s="192"/>
      <c r="P45" s="192"/>
      <c r="Q45" s="192"/>
      <c r="R45" s="120"/>
      <c r="S45" s="120"/>
      <c r="T45" s="120"/>
      <c r="U45" s="120"/>
      <c r="V45" s="120"/>
      <c r="W45" s="120"/>
      <c r="X45" s="120"/>
      <c r="AH45" s="251"/>
      <c r="AI45" s="251"/>
      <c r="AJ45" s="251"/>
      <c r="AK45" s="251"/>
      <c r="AL45" s="251"/>
    </row>
    <row r="46" spans="1:38" x14ac:dyDescent="0.35">
      <c r="A46" s="253"/>
      <c r="B46" s="303" t="str">
        <f>B34</f>
        <v>Treatment A</v>
      </c>
      <c r="C46" s="136">
        <f>'Capacity inputs'!G$14</f>
        <v>0</v>
      </c>
      <c r="D46" s="115">
        <f>'Financial impact (cash)'!D13*$C46</f>
        <v>0</v>
      </c>
      <c r="E46" s="115">
        <f>'Financial impact (cash)'!E13*$C46</f>
        <v>0</v>
      </c>
      <c r="F46" s="115">
        <f>'Financial impact (cash)'!F13*$C46</f>
        <v>0</v>
      </c>
      <c r="G46" s="115">
        <f>'Financial impact (cash)'!G13*$C46</f>
        <v>0</v>
      </c>
      <c r="H46" s="115">
        <f>'Financial impact (cash)'!H13*$C46</f>
        <v>0</v>
      </c>
      <c r="I46" s="115">
        <f>'Financial impact (cash)'!I13*$C46</f>
        <v>0</v>
      </c>
      <c r="J46" s="192"/>
      <c r="K46" s="192"/>
      <c r="L46" s="192"/>
      <c r="M46" s="192"/>
      <c r="N46" s="192"/>
      <c r="O46" s="192"/>
      <c r="P46" s="192"/>
      <c r="Q46" s="192"/>
      <c r="R46" s="120"/>
      <c r="S46" s="120"/>
      <c r="T46" s="120"/>
      <c r="U46" s="120"/>
      <c r="V46" s="120"/>
      <c r="W46" s="120"/>
      <c r="X46" s="120"/>
      <c r="AH46" s="251"/>
      <c r="AI46" s="251"/>
      <c r="AJ46" s="251"/>
      <c r="AK46" s="251"/>
      <c r="AL46" s="251"/>
    </row>
    <row r="47" spans="1:38" x14ac:dyDescent="0.35">
      <c r="A47" s="253"/>
      <c r="B47" s="303" t="str">
        <f t="shared" ref="B47:B52" si="30">B35</f>
        <v>Treatment B</v>
      </c>
      <c r="C47" s="136">
        <f>'Capacity inputs'!H$14</f>
        <v>0</v>
      </c>
      <c r="D47" s="115">
        <f>'Financial impact (cash)'!D14*$C47</f>
        <v>0</v>
      </c>
      <c r="E47" s="115">
        <f>'Financial impact (cash)'!E14*$C47</f>
        <v>0</v>
      </c>
      <c r="F47" s="115">
        <f>'Financial impact (cash)'!F14*$C47</f>
        <v>0</v>
      </c>
      <c r="G47" s="115">
        <f>'Financial impact (cash)'!G14*$C47</f>
        <v>0</v>
      </c>
      <c r="H47" s="115">
        <f>'Financial impact (cash)'!H14*$C47</f>
        <v>0</v>
      </c>
      <c r="I47" s="115">
        <f>'Financial impact (cash)'!I14*$C47</f>
        <v>0</v>
      </c>
      <c r="J47" s="192"/>
      <c r="K47" s="192"/>
      <c r="L47" s="192"/>
      <c r="M47" s="192"/>
      <c r="N47" s="192"/>
      <c r="O47" s="192"/>
      <c r="P47" s="192"/>
      <c r="Q47" s="192"/>
      <c r="R47" s="120"/>
      <c r="S47" s="120"/>
      <c r="T47" s="120"/>
      <c r="U47" s="120"/>
      <c r="V47" s="120"/>
      <c r="W47" s="120"/>
      <c r="X47" s="120"/>
      <c r="AH47" s="251"/>
      <c r="AI47" s="251"/>
      <c r="AJ47" s="251"/>
      <c r="AK47" s="251"/>
      <c r="AL47" s="251"/>
    </row>
    <row r="48" spans="1:38" x14ac:dyDescent="0.35">
      <c r="A48" s="253"/>
      <c r="B48" s="303"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2"/>
      <c r="K48" s="192"/>
      <c r="L48" s="192"/>
      <c r="M48" s="192"/>
      <c r="N48" s="192"/>
      <c r="O48" s="192"/>
      <c r="P48" s="192"/>
      <c r="Q48" s="192"/>
      <c r="R48" s="120"/>
      <c r="S48" s="120"/>
      <c r="T48" s="120"/>
      <c r="U48" s="120"/>
      <c r="V48" s="120"/>
      <c r="W48" s="120"/>
      <c r="X48" s="120"/>
      <c r="AH48" s="251"/>
      <c r="AI48" s="251"/>
      <c r="AJ48" s="251"/>
      <c r="AK48" s="251"/>
      <c r="AL48" s="251"/>
    </row>
    <row r="49" spans="1:38" x14ac:dyDescent="0.35">
      <c r="A49" s="253"/>
      <c r="B49" s="303"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2"/>
      <c r="K49" s="192"/>
      <c r="L49" s="192"/>
      <c r="M49" s="192"/>
      <c r="N49" s="192"/>
      <c r="O49" s="192"/>
      <c r="P49" s="192"/>
      <c r="Q49" s="192"/>
      <c r="R49" s="120"/>
      <c r="S49" s="120"/>
      <c r="T49" s="120"/>
      <c r="U49" s="120"/>
      <c r="V49" s="120"/>
      <c r="W49" s="120"/>
      <c r="X49" s="120"/>
      <c r="AH49" s="251"/>
      <c r="AI49" s="251"/>
      <c r="AJ49" s="251"/>
      <c r="AK49" s="251"/>
      <c r="AL49" s="251"/>
    </row>
    <row r="50" spans="1:38" x14ac:dyDescent="0.35">
      <c r="A50" s="253"/>
      <c r="B50" s="303"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2"/>
      <c r="K50" s="192"/>
      <c r="L50" s="192"/>
      <c r="M50" s="192"/>
      <c r="N50" s="192"/>
      <c r="O50" s="192"/>
      <c r="P50" s="192"/>
      <c r="Q50" s="192"/>
      <c r="R50" s="120"/>
      <c r="S50" s="120"/>
      <c r="T50" s="120"/>
      <c r="U50" s="120"/>
      <c r="V50" s="120"/>
      <c r="W50" s="120"/>
      <c r="X50" s="120"/>
      <c r="AH50" s="251"/>
      <c r="AI50" s="251"/>
      <c r="AJ50" s="251"/>
      <c r="AK50" s="251"/>
      <c r="AL50" s="251"/>
    </row>
    <row r="51" spans="1:38" x14ac:dyDescent="0.35">
      <c r="A51" s="253"/>
      <c r="B51" s="303"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2"/>
      <c r="K51" s="192"/>
      <c r="L51" s="192"/>
      <c r="M51" s="192"/>
      <c r="N51" s="192"/>
      <c r="O51" s="192"/>
      <c r="P51" s="192"/>
      <c r="Q51" s="192"/>
      <c r="R51" s="120"/>
      <c r="S51" s="120"/>
      <c r="T51" s="120"/>
      <c r="U51" s="120"/>
      <c r="V51" s="120"/>
      <c r="W51" s="120"/>
      <c r="X51" s="120"/>
      <c r="AH51" s="251"/>
      <c r="AI51" s="251"/>
      <c r="AJ51" s="251"/>
      <c r="AK51" s="251"/>
      <c r="AL51" s="251"/>
    </row>
    <row r="52" spans="1:38" x14ac:dyDescent="0.35">
      <c r="A52" s="253"/>
      <c r="B52" s="303"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2"/>
      <c r="K52" s="192"/>
      <c r="L52" s="192"/>
      <c r="M52" s="192"/>
      <c r="N52" s="192"/>
      <c r="O52" s="192"/>
      <c r="P52" s="192"/>
      <c r="Q52" s="192"/>
      <c r="R52" s="120"/>
      <c r="S52" s="120"/>
      <c r="T52" s="120"/>
      <c r="U52" s="120"/>
      <c r="V52" s="120"/>
      <c r="W52" s="120"/>
      <c r="X52" s="120"/>
      <c r="AH52" s="251"/>
      <c r="AI52" s="251"/>
      <c r="AJ52" s="251"/>
      <c r="AK52" s="251"/>
      <c r="AL52" s="251"/>
    </row>
    <row r="53" spans="1:38" x14ac:dyDescent="0.35">
      <c r="A53" s="443"/>
      <c r="B53" s="432"/>
      <c r="C53" s="282"/>
      <c r="D53" s="167" t="e">
        <f>SUM(D46:D52)</f>
        <v>#REF!</v>
      </c>
      <c r="E53" s="167" t="e">
        <f t="shared" ref="E53:I53" si="31">SUM(E46:E52)</f>
        <v>#REF!</v>
      </c>
      <c r="F53" s="167" t="e">
        <f t="shared" si="31"/>
        <v>#REF!</v>
      </c>
      <c r="G53" s="167" t="e">
        <f t="shared" si="31"/>
        <v>#REF!</v>
      </c>
      <c r="H53" s="167" t="e">
        <f t="shared" si="31"/>
        <v>#REF!</v>
      </c>
      <c r="I53" s="167" t="e">
        <f t="shared" si="31"/>
        <v>#REF!</v>
      </c>
      <c r="J53" s="451"/>
      <c r="K53" s="192"/>
      <c r="L53" s="192"/>
      <c r="M53" s="192"/>
      <c r="N53" s="192"/>
      <c r="O53" s="192"/>
      <c r="P53" s="192"/>
      <c r="Q53" s="192"/>
      <c r="R53" s="120"/>
      <c r="S53" s="120"/>
      <c r="T53" s="120"/>
      <c r="U53" s="120"/>
      <c r="V53" s="120"/>
      <c r="W53" s="120"/>
      <c r="X53" s="120"/>
      <c r="AH53" s="251"/>
      <c r="AI53" s="251"/>
      <c r="AJ53" s="251"/>
      <c r="AK53" s="251"/>
      <c r="AL53" s="251"/>
    </row>
    <row r="54" spans="1:38" x14ac:dyDescent="0.35">
      <c r="A54" s="443"/>
      <c r="B54" s="223"/>
      <c r="C54" s="223"/>
      <c r="D54" s="250" t="s">
        <v>718</v>
      </c>
      <c r="E54" s="167" t="e">
        <f>E53-$D$53</f>
        <v>#REF!</v>
      </c>
      <c r="F54" s="167" t="e">
        <f t="shared" ref="F54:I54" si="32">F53-$D$53</f>
        <v>#REF!</v>
      </c>
      <c r="G54" s="167" t="e">
        <f t="shared" si="32"/>
        <v>#REF!</v>
      </c>
      <c r="H54" s="167" t="e">
        <f t="shared" si="32"/>
        <v>#REF!</v>
      </c>
      <c r="I54" s="167" t="e">
        <f t="shared" si="32"/>
        <v>#REF!</v>
      </c>
      <c r="J54" s="451"/>
      <c r="K54" s="192"/>
      <c r="L54" s="192"/>
      <c r="M54" s="192"/>
      <c r="N54" s="192"/>
      <c r="O54" s="192"/>
      <c r="P54" s="192"/>
      <c r="Q54" s="192"/>
      <c r="R54" s="120"/>
      <c r="S54" s="120"/>
      <c r="T54" s="120"/>
      <c r="U54" s="120"/>
      <c r="V54" s="120"/>
      <c r="W54" s="120"/>
      <c r="X54" s="120"/>
      <c r="AH54" s="251"/>
      <c r="AI54" s="251"/>
      <c r="AJ54" s="251"/>
      <c r="AK54" s="251"/>
      <c r="AL54" s="251"/>
    </row>
    <row r="55" spans="1:38" x14ac:dyDescent="0.35">
      <c r="A55" s="253"/>
      <c r="B55" s="444"/>
      <c r="C55" s="445"/>
      <c r="D55" s="446"/>
      <c r="E55" s="447"/>
      <c r="F55" s="253"/>
      <c r="G55" s="253"/>
      <c r="H55" s="253"/>
      <c r="I55" s="253"/>
      <c r="J55" s="192"/>
      <c r="K55" s="192"/>
      <c r="L55" s="192"/>
      <c r="M55" s="192"/>
      <c r="N55" s="192"/>
      <c r="O55" s="192"/>
      <c r="P55" s="192"/>
      <c r="Q55" s="192"/>
      <c r="R55" s="120"/>
      <c r="S55" s="120"/>
      <c r="T55" s="120"/>
      <c r="U55" s="120"/>
      <c r="V55" s="120"/>
      <c r="W55" s="120"/>
      <c r="X55" s="120"/>
      <c r="AH55" s="251"/>
      <c r="AI55" s="251"/>
      <c r="AJ55" s="251"/>
      <c r="AK55" s="251"/>
      <c r="AL55" s="251"/>
    </row>
    <row r="56" spans="1:38" x14ac:dyDescent="0.35">
      <c r="A56" s="259"/>
      <c r="B56" s="280" t="s">
        <v>719</v>
      </c>
      <c r="C56" s="260"/>
      <c r="D56" s="260"/>
      <c r="E56" s="261"/>
      <c r="F56" s="262"/>
      <c r="G56" s="263"/>
      <c r="H56" s="263"/>
      <c r="I56" s="367"/>
      <c r="J56" s="368"/>
      <c r="K56" s="259"/>
      <c r="L56" s="259"/>
      <c r="M56" s="259"/>
      <c r="N56" s="259"/>
      <c r="O56" s="259"/>
      <c r="P56" s="259"/>
      <c r="Q56" s="188"/>
      <c r="R56" s="120"/>
      <c r="T56" s="120"/>
    </row>
    <row r="57" spans="1:38" x14ac:dyDescent="0.35">
      <c r="A57" s="267"/>
      <c r="B57" s="333" t="s">
        <v>720</v>
      </c>
      <c r="C57" s="334"/>
      <c r="D57" s="334"/>
      <c r="E57" s="334"/>
      <c r="F57" s="334"/>
      <c r="G57" s="334"/>
      <c r="H57" s="334"/>
      <c r="I57" s="334"/>
      <c r="J57" s="364"/>
      <c r="K57" s="188"/>
      <c r="L57" s="188"/>
      <c r="M57" s="188"/>
      <c r="N57" s="188"/>
      <c r="O57" s="188"/>
      <c r="P57" s="188"/>
      <c r="Q57" s="188"/>
      <c r="R57" s="120"/>
      <c r="S57" s="120"/>
      <c r="T57" s="120"/>
      <c r="U57" s="120"/>
      <c r="V57" s="120"/>
      <c r="W57" s="120"/>
      <c r="X57" s="120"/>
      <c r="AH57" s="251"/>
      <c r="AI57" s="251"/>
      <c r="AJ57" s="251"/>
      <c r="AK57" s="251"/>
      <c r="AL57" s="251"/>
    </row>
    <row r="58" spans="1:38" ht="43.5" x14ac:dyDescent="0.35">
      <c r="A58" s="267"/>
      <c r="B58" s="278" t="s">
        <v>649</v>
      </c>
      <c r="C58" s="152" t="s">
        <v>646</v>
      </c>
      <c r="D58" s="661" t="s">
        <v>698</v>
      </c>
      <c r="E58" s="222" t="s">
        <v>551</v>
      </c>
      <c r="F58" s="222" t="s">
        <v>552</v>
      </c>
      <c r="G58" s="151" t="s">
        <v>673</v>
      </c>
      <c r="H58" s="151" t="s">
        <v>674</v>
      </c>
      <c r="I58" s="222" t="s">
        <v>675</v>
      </c>
      <c r="J58" s="364"/>
      <c r="K58" s="188"/>
      <c r="L58" s="188"/>
      <c r="M58" s="188"/>
      <c r="N58" s="188"/>
      <c r="O58" s="188"/>
      <c r="P58" s="188"/>
      <c r="Q58" s="188"/>
      <c r="R58" s="120"/>
      <c r="S58" s="120"/>
      <c r="T58" s="120"/>
      <c r="U58" s="120"/>
      <c r="V58" s="120"/>
      <c r="W58" s="120"/>
      <c r="X58" s="120"/>
      <c r="AH58" s="251"/>
      <c r="AI58" s="251"/>
      <c r="AJ58" s="251"/>
      <c r="AK58" s="251"/>
      <c r="AL58" s="251"/>
    </row>
    <row r="59" spans="1:38" x14ac:dyDescent="0.35">
      <c r="A59" s="267"/>
      <c r="B59" s="303" t="str">
        <f>B46</f>
        <v>Treatment A</v>
      </c>
      <c r="C59" s="675" t="e">
        <f>'Resource impact'!#REF!</f>
        <v>#REF!</v>
      </c>
      <c r="D59" s="115" t="e">
        <f>'Resource impact'!J48*$C59</f>
        <v>#REF!</v>
      </c>
      <c r="E59" s="115" t="e">
        <f>'Resource impact'!K48*'Resource impact'!#REF!</f>
        <v>#REF!</v>
      </c>
      <c r="F59" s="115" t="e">
        <f>'Resource impact'!M48*'Resource impact'!#REF!</f>
        <v>#REF!</v>
      </c>
      <c r="G59" s="115" t="e">
        <f>'Resource impact'!N48*'Resource impact'!#REF!</f>
        <v>#REF!</v>
      </c>
      <c r="H59" s="115" t="e">
        <f>'Resource impact'!O48*'Resource impact'!#REF!</f>
        <v>#REF!</v>
      </c>
      <c r="I59" s="115" t="e">
        <f>'Resource impact'!P48*'Resource impact'!#REF!</f>
        <v>#REF!</v>
      </c>
      <c r="J59" s="364"/>
      <c r="K59" s="188"/>
      <c r="L59" s="188"/>
      <c r="M59" s="188"/>
      <c r="N59" s="188"/>
      <c r="O59" s="188"/>
      <c r="P59" s="188"/>
      <c r="Q59" s="188"/>
      <c r="R59" s="120"/>
      <c r="S59" s="120"/>
      <c r="T59" s="120"/>
      <c r="U59" s="120"/>
      <c r="V59" s="120"/>
      <c r="W59" s="120"/>
      <c r="X59" s="120"/>
      <c r="AH59" s="251"/>
      <c r="AI59" s="251"/>
      <c r="AJ59" s="251"/>
      <c r="AK59" s="251"/>
      <c r="AL59" s="251"/>
    </row>
    <row r="60" spans="1:38" x14ac:dyDescent="0.35">
      <c r="A60" s="267"/>
      <c r="B60" s="303" t="str">
        <f t="shared" ref="B60:B65" si="33">B47</f>
        <v>Treatment B</v>
      </c>
      <c r="C60" s="675" t="e">
        <f>'Resource impact'!#REF!</f>
        <v>#REF!</v>
      </c>
      <c r="D60" s="115" t="e">
        <f>'Resource impact'!J50*$C60</f>
        <v>#REF!</v>
      </c>
      <c r="E60" s="115" t="e">
        <f>'Resource impact'!K50*'Resource impact'!#REF!</f>
        <v>#REF!</v>
      </c>
      <c r="F60" s="115" t="e">
        <f>'Resource impact'!M50*'Resource impact'!#REF!</f>
        <v>#REF!</v>
      </c>
      <c r="G60" s="115" t="e">
        <f>'Resource impact'!N50*'Resource impact'!#REF!</f>
        <v>#REF!</v>
      </c>
      <c r="H60" s="115" t="e">
        <f>'Resource impact'!O50*'Resource impact'!#REF!</f>
        <v>#REF!</v>
      </c>
      <c r="I60" s="115" t="e">
        <f>'Resource impact'!P50*'Resource impact'!#REF!</f>
        <v>#REF!</v>
      </c>
      <c r="J60" s="364"/>
      <c r="K60" s="188"/>
      <c r="L60" s="188"/>
      <c r="M60" s="188"/>
      <c r="N60" s="188"/>
      <c r="O60" s="188"/>
      <c r="P60" s="188"/>
      <c r="Q60" s="188"/>
      <c r="R60" s="120"/>
      <c r="S60" s="120"/>
      <c r="T60" s="120"/>
      <c r="U60" s="120"/>
      <c r="V60" s="120"/>
      <c r="W60" s="120"/>
      <c r="X60" s="120"/>
      <c r="AH60" s="251"/>
      <c r="AI60" s="251"/>
      <c r="AJ60" s="251"/>
      <c r="AK60" s="251"/>
      <c r="AL60" s="251"/>
    </row>
    <row r="61" spans="1:38" x14ac:dyDescent="0.35">
      <c r="A61" s="267"/>
      <c r="B61" s="303" t="str">
        <f t="shared" si="33"/>
        <v>Treatment C</v>
      </c>
      <c r="C61" s="675"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64"/>
      <c r="K61" s="188"/>
      <c r="L61" s="188"/>
      <c r="M61" s="188"/>
      <c r="N61" s="188"/>
      <c r="O61" s="188"/>
      <c r="P61" s="188"/>
      <c r="Q61" s="188"/>
      <c r="R61" s="120"/>
      <c r="S61" s="120"/>
      <c r="T61" s="120"/>
      <c r="U61" s="120"/>
      <c r="V61" s="120"/>
      <c r="W61" s="120"/>
      <c r="X61" s="120"/>
      <c r="AH61" s="251"/>
      <c r="AI61" s="251"/>
      <c r="AJ61" s="251"/>
      <c r="AK61" s="251"/>
      <c r="AL61" s="251"/>
    </row>
    <row r="62" spans="1:38" x14ac:dyDescent="0.35">
      <c r="A62" s="267"/>
      <c r="B62" s="303" t="str">
        <f t="shared" si="33"/>
        <v>Treatment D</v>
      </c>
      <c r="C62" s="675"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64"/>
      <c r="K62" s="188"/>
      <c r="L62" s="188"/>
      <c r="M62" s="188"/>
      <c r="N62" s="188"/>
      <c r="O62" s="188"/>
      <c r="P62" s="188"/>
      <c r="Q62" s="188"/>
      <c r="R62" s="120"/>
      <c r="S62" s="120"/>
      <c r="T62" s="120"/>
      <c r="U62" s="120"/>
      <c r="V62" s="120"/>
      <c r="W62" s="120"/>
      <c r="X62" s="120"/>
      <c r="AH62" s="251"/>
      <c r="AI62" s="251"/>
      <c r="AJ62" s="251"/>
      <c r="AK62" s="251"/>
      <c r="AL62" s="251"/>
    </row>
    <row r="63" spans="1:38" x14ac:dyDescent="0.35">
      <c r="A63" s="267"/>
      <c r="B63" s="303" t="str">
        <f t="shared" si="33"/>
        <v>Treatment E</v>
      </c>
      <c r="C63" s="675"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64"/>
      <c r="K63" s="188"/>
      <c r="L63" s="188"/>
      <c r="M63" s="188"/>
      <c r="N63" s="188"/>
      <c r="O63" s="188"/>
      <c r="P63" s="188"/>
      <c r="Q63" s="188"/>
      <c r="R63" s="120"/>
      <c r="S63" s="120"/>
      <c r="T63" s="120"/>
      <c r="U63" s="120"/>
      <c r="V63" s="120"/>
      <c r="W63" s="120"/>
      <c r="X63" s="120"/>
      <c r="AH63" s="251"/>
      <c r="AI63" s="251"/>
      <c r="AJ63" s="251"/>
      <c r="AK63" s="251"/>
      <c r="AL63" s="251"/>
    </row>
    <row r="64" spans="1:38" x14ac:dyDescent="0.35">
      <c r="A64" s="267"/>
      <c r="B64" s="303" t="str">
        <f t="shared" si="33"/>
        <v>Treatment F</v>
      </c>
      <c r="C64" s="675"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64"/>
      <c r="K64" s="188"/>
      <c r="L64" s="188"/>
      <c r="M64" s="188"/>
      <c r="N64" s="188"/>
      <c r="O64" s="188"/>
      <c r="P64" s="188"/>
      <c r="Q64" s="188"/>
      <c r="R64" s="120"/>
      <c r="S64" s="120"/>
      <c r="T64" s="120"/>
      <c r="U64" s="120"/>
      <c r="V64" s="120"/>
      <c r="W64" s="120"/>
      <c r="X64" s="120"/>
      <c r="AH64" s="251"/>
      <c r="AI64" s="251"/>
      <c r="AJ64" s="251"/>
      <c r="AK64" s="251"/>
      <c r="AL64" s="251"/>
    </row>
    <row r="65" spans="1:38" x14ac:dyDescent="0.35">
      <c r="A65" s="267"/>
      <c r="B65" s="303" t="str">
        <f t="shared" si="33"/>
        <v>Treatment G</v>
      </c>
      <c r="C65" s="675"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64"/>
      <c r="K65" s="188"/>
      <c r="L65" s="188"/>
      <c r="M65" s="188"/>
      <c r="N65" s="188"/>
      <c r="O65" s="188"/>
      <c r="P65" s="188"/>
      <c r="Q65" s="188"/>
      <c r="R65" s="120"/>
      <c r="S65" s="120"/>
      <c r="T65" s="120"/>
      <c r="U65" s="120"/>
      <c r="V65" s="120"/>
      <c r="W65" s="120"/>
      <c r="X65" s="120"/>
      <c r="AH65" s="251"/>
      <c r="AI65" s="251"/>
      <c r="AJ65" s="251"/>
      <c r="AK65" s="251"/>
      <c r="AL65" s="251"/>
    </row>
    <row r="66" spans="1:38" x14ac:dyDescent="0.35">
      <c r="A66" s="267"/>
      <c r="B66" s="432"/>
      <c r="C66" s="282"/>
      <c r="D66" s="167" t="e">
        <f>SUM(D59:D65)</f>
        <v>#REF!</v>
      </c>
      <c r="E66" s="167" t="e">
        <f t="shared" ref="E66:I66" si="34">SUM(E59:E65)</f>
        <v>#REF!</v>
      </c>
      <c r="F66" s="167" t="e">
        <f t="shared" si="34"/>
        <v>#REF!</v>
      </c>
      <c r="G66" s="167" t="e">
        <f t="shared" si="34"/>
        <v>#REF!</v>
      </c>
      <c r="H66" s="167" t="e">
        <f t="shared" si="34"/>
        <v>#REF!</v>
      </c>
      <c r="I66" s="167" t="e">
        <f t="shared" si="34"/>
        <v>#REF!</v>
      </c>
      <c r="J66" s="364"/>
      <c r="K66" s="188"/>
      <c r="L66" s="188"/>
      <c r="M66" s="188"/>
      <c r="N66" s="188"/>
      <c r="O66" s="188"/>
      <c r="P66" s="188"/>
      <c r="Q66" s="188"/>
      <c r="R66" s="120"/>
      <c r="S66" s="120"/>
      <c r="T66" s="120"/>
      <c r="U66" s="120"/>
      <c r="V66" s="120"/>
      <c r="W66" s="120"/>
      <c r="X66" s="120"/>
      <c r="AH66" s="251"/>
      <c r="AI66" s="251"/>
      <c r="AJ66" s="251"/>
      <c r="AK66" s="251"/>
      <c r="AL66" s="251"/>
    </row>
    <row r="67" spans="1:38" x14ac:dyDescent="0.35">
      <c r="A67" s="267"/>
      <c r="B67" s="223"/>
      <c r="C67" s="223"/>
      <c r="D67" s="570" t="s">
        <v>721</v>
      </c>
      <c r="E67" s="167" t="e">
        <f>E66-$D$66</f>
        <v>#REF!</v>
      </c>
      <c r="F67" s="167" t="e">
        <f>F66-$D$66</f>
        <v>#REF!</v>
      </c>
      <c r="G67" s="167" t="e">
        <f>G66-$D$66</f>
        <v>#REF!</v>
      </c>
      <c r="H67" s="167" t="e">
        <f>H66-$D$66</f>
        <v>#REF!</v>
      </c>
      <c r="I67" s="167" t="e">
        <f>I66-$D$66</f>
        <v>#REF!</v>
      </c>
      <c r="J67" s="364"/>
      <c r="K67" s="188"/>
      <c r="L67" s="188"/>
      <c r="M67" s="188"/>
      <c r="N67" s="188"/>
      <c r="O67" s="188"/>
      <c r="P67" s="188"/>
      <c r="Q67" s="188"/>
      <c r="R67" s="120"/>
      <c r="S67" s="120"/>
      <c r="T67" s="120"/>
      <c r="U67" s="120"/>
      <c r="V67" s="120"/>
      <c r="W67" s="120"/>
      <c r="X67" s="120"/>
      <c r="AH67" s="251"/>
      <c r="AI67" s="251"/>
      <c r="AJ67" s="251"/>
      <c r="AK67" s="251"/>
      <c r="AL67" s="251"/>
    </row>
    <row r="68" spans="1:38" x14ac:dyDescent="0.35">
      <c r="A68" s="188"/>
      <c r="B68" s="188"/>
      <c r="C68" s="188"/>
      <c r="D68" s="188"/>
      <c r="E68" s="188"/>
      <c r="F68" s="188"/>
      <c r="G68" s="188"/>
      <c r="H68" s="188"/>
      <c r="I68" s="188"/>
      <c r="J68" s="188"/>
      <c r="K68" s="188"/>
      <c r="L68" s="188"/>
      <c r="M68" s="188"/>
      <c r="N68" s="188"/>
      <c r="O68" s="188"/>
      <c r="P68" s="188"/>
      <c r="Q68" s="188"/>
      <c r="R68" s="120"/>
      <c r="S68" s="120"/>
      <c r="T68" s="120"/>
      <c r="U68" s="120"/>
      <c r="V68" s="120"/>
      <c r="W68" s="120"/>
      <c r="X68" s="120"/>
      <c r="AH68" s="251"/>
      <c r="AI68" s="251"/>
      <c r="AJ68" s="251"/>
      <c r="AK68" s="251"/>
      <c r="AL68" s="251"/>
    </row>
    <row r="69" spans="1:38" x14ac:dyDescent="0.35">
      <c r="A69" s="267"/>
      <c r="B69" s="333" t="s">
        <v>722</v>
      </c>
      <c r="C69" s="334"/>
      <c r="D69" s="334"/>
      <c r="E69" s="334"/>
      <c r="F69" s="334"/>
      <c r="G69" s="334"/>
      <c r="H69" s="334"/>
      <c r="I69" s="334"/>
      <c r="J69" s="364"/>
      <c r="K69" s="188"/>
      <c r="L69" s="188"/>
      <c r="M69" s="188"/>
      <c r="N69" s="188"/>
      <c r="O69" s="188"/>
      <c r="P69" s="188"/>
      <c r="Q69" s="188"/>
      <c r="R69" s="120"/>
      <c r="S69" s="120"/>
      <c r="T69" s="120"/>
      <c r="U69" s="120"/>
      <c r="V69" s="120"/>
      <c r="W69" s="120"/>
      <c r="X69" s="120"/>
      <c r="AH69" s="251"/>
      <c r="AI69" s="251"/>
      <c r="AJ69" s="251"/>
      <c r="AK69" s="251"/>
      <c r="AL69" s="251"/>
    </row>
    <row r="70" spans="1:38" ht="43.5" x14ac:dyDescent="0.35">
      <c r="A70" s="267"/>
      <c r="B70" s="278" t="s">
        <v>649</v>
      </c>
      <c r="C70" s="516" t="s">
        <v>652</v>
      </c>
      <c r="D70" s="661" t="s">
        <v>698</v>
      </c>
      <c r="E70" s="222" t="s">
        <v>551</v>
      </c>
      <c r="F70" s="222" t="s">
        <v>552</v>
      </c>
      <c r="G70" s="151" t="s">
        <v>673</v>
      </c>
      <c r="H70" s="151" t="s">
        <v>674</v>
      </c>
      <c r="I70" s="222" t="s">
        <v>675</v>
      </c>
      <c r="J70" s="364"/>
      <c r="K70" s="188"/>
      <c r="L70" s="188"/>
      <c r="M70" s="188"/>
      <c r="N70" s="188"/>
      <c r="O70" s="188"/>
      <c r="P70" s="188"/>
      <c r="Q70" s="188"/>
      <c r="R70" s="120"/>
      <c r="S70" s="120"/>
      <c r="T70" s="120"/>
      <c r="U70" s="120"/>
      <c r="V70" s="120"/>
      <c r="W70" s="120"/>
      <c r="X70" s="120"/>
      <c r="AH70" s="251"/>
      <c r="AI70" s="251"/>
      <c r="AJ70" s="251"/>
      <c r="AK70" s="251"/>
      <c r="AL70" s="251"/>
    </row>
    <row r="71" spans="1:38" x14ac:dyDescent="0.35">
      <c r="A71" s="267"/>
      <c r="B71" s="302" t="str">
        <f>B59</f>
        <v>Treatment A</v>
      </c>
      <c r="C71" s="676" t="e">
        <f>'Unit costs'!#REF!</f>
        <v>#REF!</v>
      </c>
      <c r="D71" s="115" t="e">
        <f>$C71*D59</f>
        <v>#REF!</v>
      </c>
      <c r="E71" s="115" t="e">
        <f t="shared" ref="E71:I71" si="35">$C71*E59</f>
        <v>#REF!</v>
      </c>
      <c r="F71" s="115" t="e">
        <f t="shared" si="35"/>
        <v>#REF!</v>
      </c>
      <c r="G71" s="115" t="e">
        <f t="shared" si="35"/>
        <v>#REF!</v>
      </c>
      <c r="H71" s="115" t="e">
        <f t="shared" si="35"/>
        <v>#REF!</v>
      </c>
      <c r="I71" s="115" t="e">
        <f t="shared" si="35"/>
        <v>#REF!</v>
      </c>
      <c r="J71" s="364"/>
      <c r="K71" s="188"/>
      <c r="L71" s="188"/>
      <c r="M71" s="188"/>
      <c r="N71" s="188"/>
      <c r="O71" s="188"/>
      <c r="P71" s="188"/>
      <c r="Q71" s="188"/>
      <c r="R71" s="120"/>
      <c r="S71" s="120"/>
      <c r="T71" s="120"/>
      <c r="U71" s="120"/>
      <c r="V71" s="120"/>
      <c r="W71" s="120"/>
      <c r="X71" s="120"/>
      <c r="AH71" s="251"/>
      <c r="AI71" s="251"/>
      <c r="AJ71" s="251"/>
      <c r="AK71" s="251"/>
      <c r="AL71" s="251"/>
    </row>
    <row r="72" spans="1:38" x14ac:dyDescent="0.35">
      <c r="A72" s="267"/>
      <c r="B72" s="302" t="str">
        <f t="shared" ref="B72:B77" si="36">B60</f>
        <v>Treatment B</v>
      </c>
      <c r="C72" s="676" t="e">
        <f>'Unit costs'!#REF!</f>
        <v>#REF!</v>
      </c>
      <c r="D72" s="115" t="e">
        <f t="shared" ref="D72:I77" si="37">$C72*D60</f>
        <v>#REF!</v>
      </c>
      <c r="E72" s="115" t="e">
        <f t="shared" si="37"/>
        <v>#REF!</v>
      </c>
      <c r="F72" s="115" t="e">
        <f t="shared" si="37"/>
        <v>#REF!</v>
      </c>
      <c r="G72" s="115" t="e">
        <f t="shared" si="37"/>
        <v>#REF!</v>
      </c>
      <c r="H72" s="115" t="e">
        <f t="shared" si="37"/>
        <v>#REF!</v>
      </c>
      <c r="I72" s="115" t="e">
        <f t="shared" si="37"/>
        <v>#REF!</v>
      </c>
      <c r="J72" s="364"/>
      <c r="K72" s="188"/>
      <c r="L72" s="188"/>
      <c r="M72" s="188"/>
      <c r="N72" s="188"/>
      <c r="O72" s="188"/>
      <c r="P72" s="188"/>
      <c r="Q72" s="188"/>
      <c r="R72" s="120"/>
      <c r="S72" s="120"/>
      <c r="T72" s="120"/>
      <c r="U72" s="120"/>
      <c r="V72" s="120"/>
      <c r="W72" s="120"/>
      <c r="X72" s="120"/>
      <c r="AH72" s="251"/>
      <c r="AI72" s="251"/>
      <c r="AJ72" s="251"/>
      <c r="AK72" s="251"/>
      <c r="AL72" s="251"/>
    </row>
    <row r="73" spans="1:38" x14ac:dyDescent="0.35">
      <c r="A73" s="267"/>
      <c r="B73" s="302" t="str">
        <f t="shared" si="36"/>
        <v>Treatment C</v>
      </c>
      <c r="C73" s="676" t="e">
        <f>'Unit costs'!#REF!</f>
        <v>#REF!</v>
      </c>
      <c r="D73" s="115" t="e">
        <f t="shared" si="37"/>
        <v>#REF!</v>
      </c>
      <c r="E73" s="115" t="e">
        <f t="shared" si="37"/>
        <v>#REF!</v>
      </c>
      <c r="F73" s="115" t="e">
        <f t="shared" si="37"/>
        <v>#REF!</v>
      </c>
      <c r="G73" s="115" t="e">
        <f t="shared" si="37"/>
        <v>#REF!</v>
      </c>
      <c r="H73" s="115" t="e">
        <f t="shared" si="37"/>
        <v>#REF!</v>
      </c>
      <c r="I73" s="115" t="e">
        <f t="shared" si="37"/>
        <v>#REF!</v>
      </c>
      <c r="J73" s="364"/>
      <c r="K73" s="188"/>
      <c r="L73" s="188"/>
      <c r="M73" s="188"/>
      <c r="N73" s="188"/>
      <c r="O73" s="188"/>
      <c r="P73" s="188"/>
      <c r="Q73" s="188"/>
      <c r="R73" s="120"/>
      <c r="S73" s="120"/>
      <c r="T73" s="120"/>
      <c r="U73" s="120"/>
      <c r="V73" s="120"/>
      <c r="W73" s="120"/>
      <c r="X73" s="120"/>
      <c r="AH73" s="251"/>
      <c r="AI73" s="251"/>
      <c r="AJ73" s="251"/>
      <c r="AK73" s="251"/>
      <c r="AL73" s="251"/>
    </row>
    <row r="74" spans="1:38" x14ac:dyDescent="0.35">
      <c r="A74" s="267"/>
      <c r="B74" s="302" t="str">
        <f t="shared" si="36"/>
        <v>Treatment D</v>
      </c>
      <c r="C74" s="676" t="e">
        <f>'Unit costs'!#REF!</f>
        <v>#REF!</v>
      </c>
      <c r="D74" s="115" t="e">
        <f t="shared" si="37"/>
        <v>#REF!</v>
      </c>
      <c r="E74" s="115" t="e">
        <f t="shared" si="37"/>
        <v>#REF!</v>
      </c>
      <c r="F74" s="115" t="e">
        <f t="shared" si="37"/>
        <v>#REF!</v>
      </c>
      <c r="G74" s="115" t="e">
        <f t="shared" si="37"/>
        <v>#REF!</v>
      </c>
      <c r="H74" s="115" t="e">
        <f t="shared" si="37"/>
        <v>#REF!</v>
      </c>
      <c r="I74" s="115" t="e">
        <f t="shared" si="37"/>
        <v>#REF!</v>
      </c>
      <c r="J74" s="364"/>
      <c r="K74" s="188"/>
      <c r="L74" s="188"/>
      <c r="M74" s="188"/>
      <c r="N74" s="188"/>
      <c r="O74" s="188"/>
      <c r="P74" s="188"/>
      <c r="Q74" s="188"/>
      <c r="R74" s="120"/>
      <c r="S74" s="120"/>
      <c r="T74" s="120"/>
      <c r="U74" s="120"/>
      <c r="V74" s="120"/>
      <c r="W74" s="120"/>
      <c r="X74" s="120"/>
      <c r="AH74" s="251"/>
      <c r="AI74" s="251"/>
      <c r="AJ74" s="251"/>
      <c r="AK74" s="251"/>
      <c r="AL74" s="251"/>
    </row>
    <row r="75" spans="1:38" x14ac:dyDescent="0.35">
      <c r="A75" s="267"/>
      <c r="B75" s="302" t="str">
        <f t="shared" si="36"/>
        <v>Treatment E</v>
      </c>
      <c r="C75" s="676">
        <f>'Unit costs'!O32</f>
        <v>0</v>
      </c>
      <c r="D75" s="115" t="e">
        <f t="shared" si="37"/>
        <v>#REF!</v>
      </c>
      <c r="E75" s="115" t="e">
        <f t="shared" si="37"/>
        <v>#REF!</v>
      </c>
      <c r="F75" s="115" t="e">
        <f t="shared" si="37"/>
        <v>#REF!</v>
      </c>
      <c r="G75" s="115" t="e">
        <f t="shared" si="37"/>
        <v>#REF!</v>
      </c>
      <c r="H75" s="115" t="e">
        <f t="shared" si="37"/>
        <v>#REF!</v>
      </c>
      <c r="I75" s="115" t="e">
        <f t="shared" si="37"/>
        <v>#REF!</v>
      </c>
      <c r="J75" s="364"/>
      <c r="K75" s="188"/>
      <c r="L75" s="188"/>
      <c r="M75" s="188"/>
      <c r="N75" s="188"/>
      <c r="O75" s="188"/>
      <c r="P75" s="188"/>
      <c r="Q75" s="188"/>
      <c r="R75" s="120"/>
      <c r="S75" s="120"/>
      <c r="T75" s="120"/>
      <c r="U75" s="120"/>
      <c r="V75" s="120"/>
      <c r="W75" s="120"/>
      <c r="X75" s="120"/>
      <c r="AH75" s="251"/>
      <c r="AI75" s="251"/>
      <c r="AJ75" s="251"/>
      <c r="AK75" s="251"/>
      <c r="AL75" s="251"/>
    </row>
    <row r="76" spans="1:38" x14ac:dyDescent="0.35">
      <c r="A76" s="267"/>
      <c r="B76" s="302" t="str">
        <f t="shared" si="36"/>
        <v>Treatment F</v>
      </c>
      <c r="C76" s="676">
        <f>'Unit costs'!O51</f>
        <v>0</v>
      </c>
      <c r="D76" s="115" t="e">
        <f t="shared" si="37"/>
        <v>#REF!</v>
      </c>
      <c r="E76" s="115" t="e">
        <f t="shared" si="37"/>
        <v>#REF!</v>
      </c>
      <c r="F76" s="115" t="e">
        <f t="shared" si="37"/>
        <v>#REF!</v>
      </c>
      <c r="G76" s="115" t="e">
        <f t="shared" si="37"/>
        <v>#REF!</v>
      </c>
      <c r="H76" s="115" t="e">
        <f t="shared" si="37"/>
        <v>#REF!</v>
      </c>
      <c r="I76" s="115" t="e">
        <f t="shared" si="37"/>
        <v>#REF!</v>
      </c>
      <c r="J76" s="364"/>
      <c r="K76" s="188"/>
      <c r="L76" s="188"/>
      <c r="M76" s="188"/>
      <c r="N76" s="188"/>
      <c r="O76" s="188"/>
      <c r="P76" s="188"/>
      <c r="Q76" s="188"/>
      <c r="R76" s="120"/>
      <c r="S76" s="120"/>
      <c r="T76" s="120"/>
      <c r="U76" s="120"/>
      <c r="V76" s="120"/>
      <c r="W76" s="120"/>
      <c r="X76" s="120"/>
      <c r="AH76" s="251"/>
      <c r="AI76" s="251"/>
      <c r="AJ76" s="251"/>
      <c r="AK76" s="251"/>
      <c r="AL76" s="251"/>
    </row>
    <row r="77" spans="1:38" x14ac:dyDescent="0.35">
      <c r="A77" s="267"/>
      <c r="B77" s="302" t="str">
        <f t="shared" si="36"/>
        <v>Treatment G</v>
      </c>
      <c r="C77" s="676">
        <f>'Unit costs'!O70</f>
        <v>0</v>
      </c>
      <c r="D77" s="115" t="e">
        <f t="shared" si="37"/>
        <v>#REF!</v>
      </c>
      <c r="E77" s="115" t="e">
        <f t="shared" si="37"/>
        <v>#REF!</v>
      </c>
      <c r="F77" s="115" t="e">
        <f t="shared" si="37"/>
        <v>#REF!</v>
      </c>
      <c r="G77" s="115" t="e">
        <f t="shared" si="37"/>
        <v>#REF!</v>
      </c>
      <c r="H77" s="115" t="e">
        <f t="shared" si="37"/>
        <v>#REF!</v>
      </c>
      <c r="I77" s="115" t="e">
        <f t="shared" si="37"/>
        <v>#REF!</v>
      </c>
      <c r="J77" s="364"/>
      <c r="K77" s="188"/>
      <c r="L77" s="188"/>
      <c r="M77" s="188"/>
      <c r="N77" s="188"/>
      <c r="O77" s="188"/>
      <c r="P77" s="188"/>
      <c r="Q77" s="188"/>
      <c r="R77" s="120"/>
      <c r="S77" s="120"/>
      <c r="T77" s="120"/>
      <c r="U77" s="120"/>
      <c r="V77" s="120"/>
      <c r="W77" s="120"/>
      <c r="X77" s="120"/>
      <c r="AH77" s="251"/>
      <c r="AI77" s="251"/>
      <c r="AJ77" s="251"/>
      <c r="AK77" s="251"/>
      <c r="AL77" s="251"/>
    </row>
    <row r="78" spans="1:38" x14ac:dyDescent="0.35">
      <c r="A78" s="267"/>
      <c r="B78" s="432"/>
      <c r="C78" s="282"/>
      <c r="D78" s="167" t="e">
        <f>SUM(D71:D77)</f>
        <v>#REF!</v>
      </c>
      <c r="E78" s="167" t="e">
        <f t="shared" ref="E78:I78" si="38">SUM(E71:E77)</f>
        <v>#REF!</v>
      </c>
      <c r="F78" s="167" t="e">
        <f t="shared" si="38"/>
        <v>#REF!</v>
      </c>
      <c r="G78" s="167" t="e">
        <f t="shared" si="38"/>
        <v>#REF!</v>
      </c>
      <c r="H78" s="167" t="e">
        <f t="shared" si="38"/>
        <v>#REF!</v>
      </c>
      <c r="I78" s="167" t="e">
        <f t="shared" si="38"/>
        <v>#REF!</v>
      </c>
      <c r="J78" s="364"/>
      <c r="K78" s="188"/>
      <c r="L78" s="188"/>
      <c r="M78" s="188"/>
      <c r="N78" s="188"/>
      <c r="O78" s="188"/>
      <c r="P78" s="188"/>
      <c r="Q78" s="188"/>
      <c r="R78" s="120"/>
      <c r="S78" s="120"/>
      <c r="T78" s="120"/>
      <c r="U78" s="120"/>
      <c r="V78" s="120"/>
      <c r="W78" s="120"/>
      <c r="X78" s="120"/>
      <c r="AH78" s="251"/>
      <c r="AI78" s="251"/>
      <c r="AJ78" s="251"/>
      <c r="AK78" s="251"/>
      <c r="AL78" s="251"/>
    </row>
    <row r="79" spans="1:38" x14ac:dyDescent="0.35">
      <c r="A79" s="267"/>
      <c r="B79" s="223"/>
      <c r="C79" s="223"/>
      <c r="D79" s="250" t="s">
        <v>723</v>
      </c>
      <c r="E79" s="167" t="e">
        <f>E78-D78</f>
        <v>#REF!</v>
      </c>
      <c r="F79" s="167" t="e">
        <f>F78-$D$78</f>
        <v>#REF!</v>
      </c>
      <c r="G79" s="167" t="e">
        <f t="shared" ref="G79:I79" si="39">G78-$D$78</f>
        <v>#REF!</v>
      </c>
      <c r="H79" s="167" t="e">
        <f t="shared" si="39"/>
        <v>#REF!</v>
      </c>
      <c r="I79" s="167" t="e">
        <f t="shared" si="39"/>
        <v>#REF!</v>
      </c>
      <c r="J79" s="364"/>
      <c r="K79" s="188"/>
      <c r="L79" s="188"/>
      <c r="M79" s="188"/>
      <c r="N79" s="188"/>
      <c r="O79" s="188"/>
      <c r="P79" s="188"/>
      <c r="Q79" s="188"/>
      <c r="R79" s="120"/>
      <c r="S79" s="120"/>
      <c r="T79" s="120"/>
      <c r="U79" s="120"/>
      <c r="V79" s="120"/>
      <c r="W79" s="120"/>
      <c r="X79" s="120"/>
      <c r="AH79" s="251"/>
      <c r="AI79" s="251"/>
      <c r="AJ79" s="251"/>
      <c r="AK79" s="251"/>
      <c r="AL79" s="251"/>
    </row>
    <row r="80" spans="1:38" x14ac:dyDescent="0.35">
      <c r="A80" s="259"/>
      <c r="B80" s="281"/>
      <c r="C80" s="265"/>
      <c r="D80" s="264"/>
      <c r="E80" s="265"/>
      <c r="F80" s="266"/>
      <c r="G80" s="259"/>
      <c r="H80" s="259"/>
      <c r="I80" s="263"/>
      <c r="J80" s="188"/>
      <c r="K80" s="188"/>
      <c r="L80" s="188"/>
      <c r="M80" s="188"/>
      <c r="N80" s="188"/>
      <c r="O80" s="188"/>
      <c r="P80" s="188"/>
      <c r="Q80" s="188"/>
      <c r="R80" s="120"/>
      <c r="S80" s="120"/>
      <c r="T80" s="120"/>
      <c r="U80" s="120"/>
      <c r="V80" s="120"/>
      <c r="W80" s="120"/>
      <c r="X80" s="120"/>
      <c r="AH80" s="251"/>
      <c r="AI80" s="251"/>
      <c r="AJ80" s="251"/>
      <c r="AK80" s="251"/>
      <c r="AL80" s="251"/>
    </row>
    <row r="81" spans="1:38" x14ac:dyDescent="0.35">
      <c r="A81" s="252"/>
      <c r="B81" s="283" t="s">
        <v>724</v>
      </c>
      <c r="C81" s="268"/>
      <c r="D81" s="268"/>
      <c r="E81" s="269"/>
      <c r="F81" s="270"/>
      <c r="G81" s="271"/>
      <c r="H81" s="271"/>
      <c r="I81" s="271"/>
      <c r="J81" s="369"/>
      <c r="K81" s="190"/>
      <c r="L81" s="190"/>
      <c r="M81" s="190"/>
      <c r="N81" s="190"/>
      <c r="O81" s="190"/>
      <c r="P81" s="190"/>
      <c r="Q81" s="190"/>
      <c r="R81" s="120"/>
      <c r="T81" s="120"/>
    </row>
    <row r="82" spans="1:38" x14ac:dyDescent="0.35">
      <c r="A82" s="252"/>
      <c r="B82" s="335" t="s">
        <v>2148</v>
      </c>
      <c r="C82" s="336"/>
      <c r="D82" s="336"/>
      <c r="E82" s="336"/>
      <c r="F82" s="336"/>
      <c r="G82" s="336"/>
      <c r="H82" s="336"/>
      <c r="I82" s="189"/>
      <c r="J82" s="365"/>
      <c r="K82" s="190"/>
      <c r="L82" s="190"/>
      <c r="M82" s="190"/>
      <c r="N82" s="190"/>
      <c r="O82" s="190"/>
      <c r="P82" s="190"/>
      <c r="Q82" s="190"/>
      <c r="R82" s="120"/>
      <c r="T82" s="120"/>
    </row>
    <row r="83" spans="1:38" ht="43.5" x14ac:dyDescent="0.35">
      <c r="A83" s="252"/>
      <c r="B83" s="247" t="s">
        <v>649</v>
      </c>
      <c r="C83" s="353" t="s">
        <v>710</v>
      </c>
      <c r="D83" s="661" t="s">
        <v>698</v>
      </c>
      <c r="E83" s="222" t="s">
        <v>551</v>
      </c>
      <c r="F83" s="222" t="s">
        <v>552</v>
      </c>
      <c r="G83" s="151" t="s">
        <v>673</v>
      </c>
      <c r="H83" s="151" t="s">
        <v>674</v>
      </c>
      <c r="I83" s="222" t="s">
        <v>675</v>
      </c>
      <c r="J83" s="252"/>
      <c r="K83" s="190"/>
      <c r="L83" s="190"/>
      <c r="M83" s="190"/>
      <c r="N83" s="190"/>
      <c r="O83" s="190"/>
      <c r="P83" s="190"/>
      <c r="Q83" s="190"/>
      <c r="R83" s="120"/>
      <c r="T83" s="120"/>
    </row>
    <row r="84" spans="1:38" x14ac:dyDescent="0.35">
      <c r="A84" s="252"/>
      <c r="B84" s="304" t="str">
        <f>B71</f>
        <v>Treatment A</v>
      </c>
      <c r="C84" s="136">
        <f>'Capacity inputs'!F15*'Capacity inputs'!G15</f>
        <v>0</v>
      </c>
      <c r="D84" s="115" t="e">
        <f>D71*$C84/60</f>
        <v>#REF!</v>
      </c>
      <c r="E84" s="115" t="e">
        <f t="shared" ref="E84:I84" si="40">E71*$C84/60</f>
        <v>#REF!</v>
      </c>
      <c r="F84" s="115" t="e">
        <f t="shared" si="40"/>
        <v>#REF!</v>
      </c>
      <c r="G84" s="115" t="e">
        <f t="shared" si="40"/>
        <v>#REF!</v>
      </c>
      <c r="H84" s="115" t="e">
        <f t="shared" si="40"/>
        <v>#REF!</v>
      </c>
      <c r="I84" s="115" t="e">
        <f t="shared" si="40"/>
        <v>#REF!</v>
      </c>
      <c r="J84" s="252"/>
      <c r="K84" s="190"/>
      <c r="L84" s="190"/>
      <c r="M84" s="190"/>
      <c r="N84" s="190"/>
      <c r="O84" s="190"/>
      <c r="P84" s="190"/>
      <c r="Q84" s="190"/>
      <c r="R84" s="120"/>
      <c r="S84" s="120"/>
      <c r="T84" s="120"/>
      <c r="U84" s="120"/>
      <c r="V84" s="120"/>
      <c r="W84" s="120"/>
      <c r="X84" s="120"/>
      <c r="AH84" s="251"/>
      <c r="AI84" s="251"/>
      <c r="AJ84" s="251"/>
      <c r="AK84" s="251"/>
      <c r="AL84" s="251"/>
    </row>
    <row r="85" spans="1:38" x14ac:dyDescent="0.35">
      <c r="A85" s="252"/>
      <c r="B85" s="304" t="str">
        <f t="shared" ref="B85:B90" si="41">B72</f>
        <v>Treatment B</v>
      </c>
      <c r="C85" s="136">
        <f>'Capacity inputs'!F15*'Capacity inputs'!H15</f>
        <v>0</v>
      </c>
      <c r="D85" s="115" t="e">
        <f t="shared" ref="D85:I90" si="42">D72*$C85/60</f>
        <v>#REF!</v>
      </c>
      <c r="E85" s="115" t="e">
        <f t="shared" si="42"/>
        <v>#REF!</v>
      </c>
      <c r="F85" s="115" t="e">
        <f t="shared" si="42"/>
        <v>#REF!</v>
      </c>
      <c r="G85" s="115" t="e">
        <f t="shared" si="42"/>
        <v>#REF!</v>
      </c>
      <c r="H85" s="115" t="e">
        <f t="shared" si="42"/>
        <v>#REF!</v>
      </c>
      <c r="I85" s="115" t="e">
        <f t="shared" si="42"/>
        <v>#REF!</v>
      </c>
      <c r="J85" s="252"/>
      <c r="K85" s="190"/>
      <c r="L85" s="190"/>
      <c r="M85" s="190"/>
      <c r="N85" s="190"/>
      <c r="O85" s="190"/>
      <c r="P85" s="190"/>
      <c r="Q85" s="190"/>
      <c r="R85" s="120"/>
      <c r="S85" s="120"/>
      <c r="T85" s="120"/>
      <c r="U85" s="120"/>
      <c r="V85" s="120"/>
      <c r="W85" s="120"/>
      <c r="X85" s="120"/>
      <c r="AH85" s="251"/>
      <c r="AI85" s="251"/>
      <c r="AJ85" s="251"/>
      <c r="AK85" s="251"/>
      <c r="AL85" s="251"/>
    </row>
    <row r="86" spans="1:38" x14ac:dyDescent="0.35">
      <c r="A86" s="252"/>
      <c r="B86" s="304" t="str">
        <f t="shared" si="41"/>
        <v>Treatment C</v>
      </c>
      <c r="C86" s="136">
        <f>'Capacity inputs'!F15*'Capacity inputs'!I15</f>
        <v>0</v>
      </c>
      <c r="D86" s="115" t="e">
        <f t="shared" si="42"/>
        <v>#REF!</v>
      </c>
      <c r="E86" s="115" t="e">
        <f t="shared" si="42"/>
        <v>#REF!</v>
      </c>
      <c r="F86" s="115" t="e">
        <f t="shared" si="42"/>
        <v>#REF!</v>
      </c>
      <c r="G86" s="115" t="e">
        <f t="shared" si="42"/>
        <v>#REF!</v>
      </c>
      <c r="H86" s="115" t="e">
        <f t="shared" si="42"/>
        <v>#REF!</v>
      </c>
      <c r="I86" s="115" t="e">
        <f t="shared" si="42"/>
        <v>#REF!</v>
      </c>
      <c r="J86" s="252"/>
      <c r="K86" s="190"/>
      <c r="L86" s="190"/>
      <c r="M86" s="190"/>
      <c r="N86" s="190"/>
      <c r="O86" s="190"/>
      <c r="P86" s="190"/>
      <c r="Q86" s="190"/>
      <c r="R86" s="120"/>
      <c r="S86" s="120"/>
      <c r="T86" s="120"/>
      <c r="U86" s="120"/>
      <c r="V86" s="120"/>
      <c r="W86" s="120"/>
      <c r="X86" s="120"/>
      <c r="AH86" s="251"/>
      <c r="AI86" s="251"/>
      <c r="AJ86" s="251"/>
      <c r="AK86" s="251"/>
      <c r="AL86" s="251"/>
    </row>
    <row r="87" spans="1:38" x14ac:dyDescent="0.35">
      <c r="A87" s="252"/>
      <c r="B87" s="304" t="str">
        <f t="shared" si="41"/>
        <v>Treatment D</v>
      </c>
      <c r="C87" s="136">
        <f>'Capacity inputs'!F15*'Capacity inputs'!J15</f>
        <v>0</v>
      </c>
      <c r="D87" s="115" t="e">
        <f t="shared" si="42"/>
        <v>#REF!</v>
      </c>
      <c r="E87" s="115" t="e">
        <f t="shared" si="42"/>
        <v>#REF!</v>
      </c>
      <c r="F87" s="115" t="e">
        <f t="shared" si="42"/>
        <v>#REF!</v>
      </c>
      <c r="G87" s="115" t="e">
        <f t="shared" si="42"/>
        <v>#REF!</v>
      </c>
      <c r="H87" s="115" t="e">
        <f t="shared" si="42"/>
        <v>#REF!</v>
      </c>
      <c r="I87" s="115" t="e">
        <f t="shared" si="42"/>
        <v>#REF!</v>
      </c>
      <c r="J87" s="252"/>
      <c r="K87" s="190"/>
      <c r="L87" s="190"/>
      <c r="M87" s="190"/>
      <c r="N87" s="190"/>
      <c r="O87" s="190"/>
      <c r="P87" s="190"/>
      <c r="Q87" s="190"/>
      <c r="R87" s="120"/>
      <c r="S87" s="120"/>
      <c r="T87" s="120"/>
      <c r="U87" s="120"/>
      <c r="V87" s="120"/>
      <c r="W87" s="120"/>
      <c r="X87" s="120"/>
      <c r="AH87" s="251"/>
      <c r="AI87" s="251"/>
      <c r="AJ87" s="251"/>
      <c r="AK87" s="251"/>
      <c r="AL87" s="251"/>
    </row>
    <row r="88" spans="1:38" x14ac:dyDescent="0.35">
      <c r="A88" s="252"/>
      <c r="B88" s="304" t="str">
        <f t="shared" si="41"/>
        <v>Treatment E</v>
      </c>
      <c r="C88" s="136">
        <f>'Capacity inputs'!F15*'Capacity inputs'!K15</f>
        <v>0</v>
      </c>
      <c r="D88" s="115" t="e">
        <f t="shared" si="42"/>
        <v>#REF!</v>
      </c>
      <c r="E88" s="115" t="e">
        <f t="shared" si="42"/>
        <v>#REF!</v>
      </c>
      <c r="F88" s="115" t="e">
        <f t="shared" si="42"/>
        <v>#REF!</v>
      </c>
      <c r="G88" s="115" t="e">
        <f t="shared" si="42"/>
        <v>#REF!</v>
      </c>
      <c r="H88" s="115" t="e">
        <f t="shared" si="42"/>
        <v>#REF!</v>
      </c>
      <c r="I88" s="115" t="e">
        <f t="shared" si="42"/>
        <v>#REF!</v>
      </c>
      <c r="J88" s="252"/>
      <c r="K88" s="190"/>
      <c r="L88" s="190"/>
      <c r="M88" s="190"/>
      <c r="N88" s="190"/>
      <c r="O88" s="190"/>
      <c r="P88" s="190"/>
      <c r="Q88" s="190"/>
      <c r="R88" s="120"/>
      <c r="S88" s="120"/>
      <c r="T88" s="120"/>
      <c r="U88" s="120"/>
      <c r="V88" s="120"/>
      <c r="W88" s="120"/>
      <c r="X88" s="120"/>
      <c r="AH88" s="251"/>
      <c r="AI88" s="251"/>
      <c r="AJ88" s="251"/>
      <c r="AK88" s="251"/>
      <c r="AL88" s="251"/>
    </row>
    <row r="89" spans="1:38" x14ac:dyDescent="0.35">
      <c r="A89" s="252"/>
      <c r="B89" s="304" t="str">
        <f t="shared" si="41"/>
        <v>Treatment F</v>
      </c>
      <c r="C89" s="136">
        <f>'Capacity inputs'!F15*'Capacity inputs'!L15</f>
        <v>0</v>
      </c>
      <c r="D89" s="115" t="e">
        <f t="shared" si="42"/>
        <v>#REF!</v>
      </c>
      <c r="E89" s="115" t="e">
        <f t="shared" si="42"/>
        <v>#REF!</v>
      </c>
      <c r="F89" s="115" t="e">
        <f t="shared" si="42"/>
        <v>#REF!</v>
      </c>
      <c r="G89" s="115" t="e">
        <f t="shared" si="42"/>
        <v>#REF!</v>
      </c>
      <c r="H89" s="115" t="e">
        <f t="shared" si="42"/>
        <v>#REF!</v>
      </c>
      <c r="I89" s="115" t="e">
        <f t="shared" si="42"/>
        <v>#REF!</v>
      </c>
      <c r="J89" s="252"/>
      <c r="K89" s="190"/>
      <c r="L89" s="190"/>
      <c r="M89" s="190"/>
      <c r="N89" s="190"/>
      <c r="O89" s="190"/>
      <c r="P89" s="190"/>
      <c r="Q89" s="190"/>
      <c r="R89" s="120"/>
      <c r="S89" s="120"/>
      <c r="T89" s="120"/>
      <c r="U89" s="120"/>
      <c r="V89" s="120"/>
      <c r="W89" s="120"/>
      <c r="X89" s="120"/>
      <c r="AH89" s="251"/>
      <c r="AI89" s="251"/>
      <c r="AJ89" s="251"/>
      <c r="AK89" s="251"/>
      <c r="AL89" s="251"/>
    </row>
    <row r="90" spans="1:38" x14ac:dyDescent="0.35">
      <c r="A90" s="252"/>
      <c r="B90" s="304" t="str">
        <f t="shared" si="41"/>
        <v>Treatment G</v>
      </c>
      <c r="C90" s="136">
        <f>'Capacity inputs'!F15*'Capacity inputs'!M15</f>
        <v>0</v>
      </c>
      <c r="D90" s="115" t="e">
        <f t="shared" si="42"/>
        <v>#REF!</v>
      </c>
      <c r="E90" s="115" t="e">
        <f t="shared" si="42"/>
        <v>#REF!</v>
      </c>
      <c r="F90" s="115" t="e">
        <f t="shared" si="42"/>
        <v>#REF!</v>
      </c>
      <c r="G90" s="115" t="e">
        <f t="shared" si="42"/>
        <v>#REF!</v>
      </c>
      <c r="H90" s="115" t="e">
        <f t="shared" si="42"/>
        <v>#REF!</v>
      </c>
      <c r="I90" s="115" t="e">
        <f t="shared" si="42"/>
        <v>#REF!</v>
      </c>
      <c r="J90" s="252"/>
      <c r="K90" s="190"/>
      <c r="L90" s="190"/>
      <c r="M90" s="190"/>
      <c r="N90" s="190"/>
      <c r="O90" s="190"/>
      <c r="P90" s="190"/>
      <c r="Q90" s="190"/>
      <c r="R90" s="120"/>
      <c r="S90" s="120"/>
      <c r="T90" s="120"/>
      <c r="U90" s="120"/>
      <c r="V90" s="120"/>
      <c r="W90" s="120"/>
      <c r="X90" s="120"/>
      <c r="AH90" s="251"/>
      <c r="AI90" s="251"/>
      <c r="AJ90" s="251"/>
      <c r="AK90" s="251"/>
      <c r="AL90" s="251"/>
    </row>
    <row r="91" spans="1:38" x14ac:dyDescent="0.35">
      <c r="A91" s="252"/>
      <c r="B91" s="245"/>
      <c r="C91" s="282"/>
      <c r="D91" s="167" t="e">
        <f>SUM(D84:D90)</f>
        <v>#REF!</v>
      </c>
      <c r="E91" s="167" t="e">
        <f t="shared" ref="E91:I91" si="43">SUM(E84:E90)</f>
        <v>#REF!</v>
      </c>
      <c r="F91" s="167" t="e">
        <f t="shared" si="43"/>
        <v>#REF!</v>
      </c>
      <c r="G91" s="167" t="e">
        <f t="shared" si="43"/>
        <v>#REF!</v>
      </c>
      <c r="H91" s="167" t="e">
        <f t="shared" si="43"/>
        <v>#REF!</v>
      </c>
      <c r="I91" s="167" t="e">
        <f t="shared" si="43"/>
        <v>#REF!</v>
      </c>
      <c r="J91" s="252"/>
      <c r="K91" s="190"/>
      <c r="L91" s="190"/>
      <c r="M91" s="190"/>
      <c r="N91" s="190"/>
      <c r="O91" s="190"/>
      <c r="P91" s="190"/>
      <c r="Q91" s="190"/>
      <c r="R91" s="120"/>
      <c r="S91" s="120"/>
      <c r="T91" s="120"/>
      <c r="U91" s="120"/>
      <c r="V91" s="120"/>
      <c r="W91" s="120"/>
      <c r="X91" s="120"/>
      <c r="AH91" s="251"/>
      <c r="AI91" s="251"/>
      <c r="AJ91" s="251"/>
      <c r="AK91" s="251"/>
      <c r="AL91" s="251"/>
    </row>
    <row r="92" spans="1:38" x14ac:dyDescent="0.35">
      <c r="A92" s="252"/>
      <c r="B92" s="272"/>
      <c r="C92" s="223"/>
      <c r="D92" s="250" t="s">
        <v>726</v>
      </c>
      <c r="E92" s="167" t="e">
        <f>E91-$D$91</f>
        <v>#REF!</v>
      </c>
      <c r="F92" s="167" t="e">
        <f>F91-$D$91</f>
        <v>#REF!</v>
      </c>
      <c r="G92" s="167" t="e">
        <f>G91-$D$91</f>
        <v>#REF!</v>
      </c>
      <c r="H92" s="167" t="e">
        <f>H91-$D$91</f>
        <v>#REF!</v>
      </c>
      <c r="I92" s="167" t="e">
        <f>I91-$D$91</f>
        <v>#REF!</v>
      </c>
      <c r="J92" s="252"/>
      <c r="K92" s="190"/>
      <c r="L92" s="190"/>
      <c r="M92" s="190"/>
      <c r="N92" s="190"/>
      <c r="O92" s="190"/>
      <c r="P92" s="190"/>
      <c r="Q92" s="190"/>
      <c r="R92" s="120"/>
      <c r="S92" s="120"/>
      <c r="T92" s="120"/>
      <c r="U92" s="120"/>
      <c r="V92" s="120"/>
      <c r="W92" s="120"/>
      <c r="X92" s="120"/>
      <c r="AH92" s="251"/>
      <c r="AI92" s="251"/>
      <c r="AJ92" s="251"/>
      <c r="AK92" s="251"/>
      <c r="AL92" s="251"/>
    </row>
    <row r="93" spans="1:38" x14ac:dyDescent="0.35">
      <c r="A93" s="252"/>
      <c r="B93" s="284"/>
      <c r="C93" s="190"/>
      <c r="D93" s="190"/>
      <c r="E93" s="190"/>
      <c r="F93" s="190"/>
      <c r="G93" s="190"/>
      <c r="H93" s="190"/>
      <c r="I93" s="190"/>
      <c r="J93" s="190"/>
      <c r="K93" s="190"/>
      <c r="L93" s="190"/>
      <c r="M93" s="190"/>
      <c r="N93" s="190"/>
      <c r="O93" s="190"/>
      <c r="P93" s="190"/>
      <c r="Q93" s="190"/>
      <c r="R93" s="120"/>
      <c r="S93" s="120"/>
      <c r="T93" s="120"/>
      <c r="U93" s="120"/>
      <c r="V93" s="120"/>
      <c r="W93" s="120"/>
      <c r="X93" s="120"/>
      <c r="AH93" s="251"/>
      <c r="AI93" s="251"/>
      <c r="AJ93" s="251"/>
      <c r="AK93" s="251"/>
      <c r="AL93" s="251"/>
    </row>
    <row r="94" spans="1:38" x14ac:dyDescent="0.35">
      <c r="A94" s="252"/>
      <c r="B94" s="337" t="s">
        <v>727</v>
      </c>
      <c r="C94" s="336"/>
      <c r="D94" s="336"/>
      <c r="E94" s="336"/>
      <c r="F94" s="336"/>
      <c r="G94" s="336"/>
      <c r="H94" s="336"/>
      <c r="I94" s="189"/>
      <c r="J94" s="365"/>
      <c r="K94" s="190"/>
      <c r="L94" s="190"/>
      <c r="M94" s="190"/>
      <c r="N94" s="190"/>
      <c r="O94" s="190"/>
      <c r="P94" s="190"/>
      <c r="Q94" s="190"/>
      <c r="R94" s="120"/>
      <c r="S94" s="120"/>
      <c r="T94" s="120"/>
      <c r="U94" s="120"/>
      <c r="V94" s="120"/>
      <c r="W94" s="120"/>
      <c r="X94" s="120"/>
      <c r="AH94" s="251"/>
      <c r="AI94" s="251"/>
      <c r="AJ94" s="251"/>
      <c r="AK94" s="251"/>
      <c r="AL94" s="251"/>
    </row>
    <row r="95" spans="1:38" ht="43.5" x14ac:dyDescent="0.35">
      <c r="A95" s="252"/>
      <c r="B95" s="247" t="s">
        <v>649</v>
      </c>
      <c r="C95" s="353" t="s">
        <v>710</v>
      </c>
      <c r="D95" s="661" t="s">
        <v>698</v>
      </c>
      <c r="E95" s="222" t="s">
        <v>551</v>
      </c>
      <c r="F95" s="222" t="s">
        <v>552</v>
      </c>
      <c r="G95" s="151" t="s">
        <v>673</v>
      </c>
      <c r="H95" s="151" t="s">
        <v>674</v>
      </c>
      <c r="I95" s="222" t="s">
        <v>675</v>
      </c>
      <c r="J95" s="252"/>
      <c r="K95" s="190"/>
      <c r="L95" s="190"/>
      <c r="M95" s="190"/>
      <c r="N95" s="190"/>
      <c r="O95" s="190"/>
      <c r="P95" s="190"/>
      <c r="Q95" s="190"/>
      <c r="R95" s="120"/>
      <c r="S95" s="120"/>
      <c r="T95" s="120"/>
      <c r="U95" s="120"/>
      <c r="V95" s="120"/>
      <c r="W95" s="120"/>
      <c r="X95" s="120"/>
      <c r="AH95" s="251"/>
      <c r="AI95" s="251"/>
      <c r="AJ95" s="251"/>
      <c r="AK95" s="251"/>
      <c r="AL95" s="251"/>
    </row>
    <row r="96" spans="1:38" x14ac:dyDescent="0.35">
      <c r="A96" s="252"/>
      <c r="B96" s="304" t="str">
        <f>B84</f>
        <v>Treatment A</v>
      </c>
      <c r="C96" s="136">
        <f>'Capacity inputs'!F16*'Capacity inputs'!G16</f>
        <v>0</v>
      </c>
      <c r="D96" s="115" t="e">
        <f>D71*$C96/60</f>
        <v>#REF!</v>
      </c>
      <c r="E96" s="115" t="e">
        <f t="shared" ref="E96:I96" si="44">E71*$C96/60</f>
        <v>#REF!</v>
      </c>
      <c r="F96" s="115" t="e">
        <f t="shared" si="44"/>
        <v>#REF!</v>
      </c>
      <c r="G96" s="115" t="e">
        <f t="shared" si="44"/>
        <v>#REF!</v>
      </c>
      <c r="H96" s="115" t="e">
        <f t="shared" si="44"/>
        <v>#REF!</v>
      </c>
      <c r="I96" s="115" t="e">
        <f t="shared" si="44"/>
        <v>#REF!</v>
      </c>
      <c r="J96" s="252"/>
      <c r="K96" s="190"/>
      <c r="L96" s="190"/>
      <c r="M96" s="190"/>
      <c r="N96" s="190"/>
      <c r="O96" s="190"/>
      <c r="P96" s="190"/>
      <c r="Q96" s="190"/>
      <c r="R96" s="120"/>
      <c r="S96" s="120"/>
      <c r="T96" s="120"/>
      <c r="U96" s="120"/>
      <c r="V96" s="120"/>
      <c r="W96" s="120"/>
      <c r="X96" s="120"/>
      <c r="AH96" s="251"/>
      <c r="AI96" s="251"/>
      <c r="AJ96" s="251"/>
      <c r="AK96" s="251"/>
      <c r="AL96" s="251"/>
    </row>
    <row r="97" spans="1:38" x14ac:dyDescent="0.35">
      <c r="A97" s="252"/>
      <c r="B97" s="304" t="str">
        <f>B85</f>
        <v>Treatment B</v>
      </c>
      <c r="C97" s="136">
        <f>'Capacity inputs'!F16*'Capacity inputs'!H16</f>
        <v>0</v>
      </c>
      <c r="D97" s="115" t="e">
        <f t="shared" ref="D97:I102" si="45">D72*$C97/60</f>
        <v>#REF!</v>
      </c>
      <c r="E97" s="115" t="e">
        <f t="shared" si="45"/>
        <v>#REF!</v>
      </c>
      <c r="F97" s="115" t="e">
        <f t="shared" si="45"/>
        <v>#REF!</v>
      </c>
      <c r="G97" s="115" t="e">
        <f t="shared" si="45"/>
        <v>#REF!</v>
      </c>
      <c r="H97" s="115" t="e">
        <f t="shared" si="45"/>
        <v>#REF!</v>
      </c>
      <c r="I97" s="115" t="e">
        <f t="shared" si="45"/>
        <v>#REF!</v>
      </c>
      <c r="J97" s="252"/>
      <c r="K97" s="190"/>
      <c r="L97" s="190"/>
      <c r="M97" s="190"/>
      <c r="N97" s="190"/>
      <c r="O97" s="190"/>
      <c r="P97" s="190"/>
      <c r="Q97" s="190"/>
      <c r="R97" s="120"/>
      <c r="S97" s="120"/>
      <c r="T97" s="120"/>
      <c r="U97" s="120"/>
      <c r="V97" s="120"/>
      <c r="W97" s="120"/>
      <c r="X97" s="120"/>
      <c r="AH97" s="251"/>
      <c r="AI97" s="251"/>
      <c r="AJ97" s="251"/>
      <c r="AK97" s="251"/>
      <c r="AL97" s="251"/>
    </row>
    <row r="98" spans="1:38" x14ac:dyDescent="0.35">
      <c r="A98" s="252"/>
      <c r="B98" s="304" t="str">
        <f>B86</f>
        <v>Treatment C</v>
      </c>
      <c r="C98" s="136">
        <f>'Capacity inputs'!F16*'Capacity inputs'!I16</f>
        <v>0</v>
      </c>
      <c r="D98" s="115" t="e">
        <f t="shared" si="45"/>
        <v>#REF!</v>
      </c>
      <c r="E98" s="115" t="e">
        <f t="shared" si="45"/>
        <v>#REF!</v>
      </c>
      <c r="F98" s="115" t="e">
        <f t="shared" si="45"/>
        <v>#REF!</v>
      </c>
      <c r="G98" s="115" t="e">
        <f t="shared" si="45"/>
        <v>#REF!</v>
      </c>
      <c r="H98" s="115" t="e">
        <f t="shared" si="45"/>
        <v>#REF!</v>
      </c>
      <c r="I98" s="115" t="e">
        <f t="shared" si="45"/>
        <v>#REF!</v>
      </c>
      <c r="J98" s="252"/>
      <c r="K98" s="190"/>
      <c r="L98" s="190"/>
      <c r="M98" s="190"/>
      <c r="N98" s="190"/>
      <c r="O98" s="190"/>
      <c r="P98" s="190"/>
      <c r="Q98" s="190"/>
      <c r="R98" s="120"/>
      <c r="S98" s="120"/>
      <c r="T98" s="120"/>
      <c r="U98" s="120"/>
      <c r="V98" s="120"/>
      <c r="W98" s="120"/>
      <c r="X98" s="120"/>
      <c r="AH98" s="251"/>
      <c r="AI98" s="251"/>
      <c r="AJ98" s="251"/>
      <c r="AK98" s="251"/>
      <c r="AL98" s="251"/>
    </row>
    <row r="99" spans="1:38" x14ac:dyDescent="0.35">
      <c r="A99" s="252"/>
      <c r="B99" s="304" t="str">
        <f t="shared" ref="B99:B102" si="46">B87</f>
        <v>Treatment D</v>
      </c>
      <c r="C99" s="136">
        <f>'Capacity inputs'!F16*'Capacity inputs'!J16</f>
        <v>0</v>
      </c>
      <c r="D99" s="115" t="e">
        <f t="shared" si="45"/>
        <v>#REF!</v>
      </c>
      <c r="E99" s="115" t="e">
        <f t="shared" si="45"/>
        <v>#REF!</v>
      </c>
      <c r="F99" s="115" t="e">
        <f t="shared" si="45"/>
        <v>#REF!</v>
      </c>
      <c r="G99" s="115" t="e">
        <f t="shared" si="45"/>
        <v>#REF!</v>
      </c>
      <c r="H99" s="115" t="e">
        <f t="shared" si="45"/>
        <v>#REF!</v>
      </c>
      <c r="I99" s="115" t="e">
        <f t="shared" si="45"/>
        <v>#REF!</v>
      </c>
      <c r="J99" s="252"/>
      <c r="K99" s="190"/>
      <c r="L99" s="190"/>
      <c r="M99" s="190"/>
      <c r="N99" s="190"/>
      <c r="O99" s="190"/>
      <c r="P99" s="190"/>
      <c r="Q99" s="190"/>
      <c r="R99" s="120"/>
      <c r="S99" s="120"/>
      <c r="T99" s="120"/>
      <c r="U99" s="120"/>
      <c r="V99" s="120"/>
      <c r="W99" s="120"/>
      <c r="X99" s="120"/>
      <c r="AH99" s="251"/>
      <c r="AI99" s="251"/>
      <c r="AJ99" s="251"/>
      <c r="AK99" s="251"/>
      <c r="AL99" s="251"/>
    </row>
    <row r="100" spans="1:38" x14ac:dyDescent="0.35">
      <c r="A100" s="252"/>
      <c r="B100" s="304" t="str">
        <f t="shared" si="46"/>
        <v>Treatment E</v>
      </c>
      <c r="C100" s="136">
        <f>'Capacity inputs'!F16*'Capacity inputs'!K16</f>
        <v>0</v>
      </c>
      <c r="D100" s="115" t="e">
        <f t="shared" si="45"/>
        <v>#REF!</v>
      </c>
      <c r="E100" s="115" t="e">
        <f t="shared" si="45"/>
        <v>#REF!</v>
      </c>
      <c r="F100" s="115" t="e">
        <f t="shared" si="45"/>
        <v>#REF!</v>
      </c>
      <c r="G100" s="115" t="e">
        <f t="shared" si="45"/>
        <v>#REF!</v>
      </c>
      <c r="H100" s="115" t="e">
        <f t="shared" si="45"/>
        <v>#REF!</v>
      </c>
      <c r="I100" s="115" t="e">
        <f t="shared" si="45"/>
        <v>#REF!</v>
      </c>
      <c r="J100" s="252"/>
      <c r="K100" s="190"/>
      <c r="L100" s="190"/>
      <c r="M100" s="190"/>
      <c r="N100" s="190"/>
      <c r="O100" s="190"/>
      <c r="P100" s="190"/>
      <c r="Q100" s="190"/>
      <c r="R100" s="120"/>
      <c r="S100" s="120"/>
      <c r="T100" s="120"/>
      <c r="U100" s="120"/>
      <c r="V100" s="120"/>
      <c r="W100" s="120"/>
      <c r="X100" s="120"/>
      <c r="AH100" s="251"/>
      <c r="AI100" s="251"/>
      <c r="AJ100" s="251"/>
      <c r="AK100" s="251"/>
      <c r="AL100" s="251"/>
    </row>
    <row r="101" spans="1:38" x14ac:dyDescent="0.35">
      <c r="A101" s="252"/>
      <c r="B101" s="304" t="str">
        <f t="shared" si="46"/>
        <v>Treatment F</v>
      </c>
      <c r="C101" s="136">
        <f>'Capacity inputs'!F16*'Capacity inputs'!L16</f>
        <v>0</v>
      </c>
      <c r="D101" s="115" t="e">
        <f t="shared" si="45"/>
        <v>#REF!</v>
      </c>
      <c r="E101" s="115" t="e">
        <f t="shared" si="45"/>
        <v>#REF!</v>
      </c>
      <c r="F101" s="115" t="e">
        <f t="shared" si="45"/>
        <v>#REF!</v>
      </c>
      <c r="G101" s="115" t="e">
        <f t="shared" si="45"/>
        <v>#REF!</v>
      </c>
      <c r="H101" s="115" t="e">
        <f t="shared" si="45"/>
        <v>#REF!</v>
      </c>
      <c r="I101" s="115" t="e">
        <f t="shared" si="45"/>
        <v>#REF!</v>
      </c>
      <c r="J101" s="252"/>
      <c r="K101" s="190"/>
      <c r="L101" s="190"/>
      <c r="M101" s="190"/>
      <c r="N101" s="190"/>
      <c r="O101" s="190"/>
      <c r="P101" s="190"/>
      <c r="Q101" s="190"/>
      <c r="R101" s="120"/>
      <c r="S101" s="120"/>
      <c r="T101" s="120"/>
      <c r="U101" s="120"/>
      <c r="V101" s="120"/>
      <c r="W101" s="120"/>
      <c r="X101" s="120"/>
      <c r="AH101" s="251"/>
      <c r="AI101" s="251"/>
      <c r="AJ101" s="251"/>
      <c r="AK101" s="251"/>
      <c r="AL101" s="251"/>
    </row>
    <row r="102" spans="1:38" x14ac:dyDescent="0.35">
      <c r="A102" s="252"/>
      <c r="B102" s="304" t="str">
        <f t="shared" si="46"/>
        <v>Treatment G</v>
      </c>
      <c r="C102" s="136">
        <f>'Capacity inputs'!F16*'Capacity inputs'!M16</f>
        <v>0</v>
      </c>
      <c r="D102" s="115" t="e">
        <f t="shared" si="45"/>
        <v>#REF!</v>
      </c>
      <c r="E102" s="115" t="e">
        <f t="shared" si="45"/>
        <v>#REF!</v>
      </c>
      <c r="F102" s="115" t="e">
        <f t="shared" si="45"/>
        <v>#REF!</v>
      </c>
      <c r="G102" s="115" t="e">
        <f t="shared" si="45"/>
        <v>#REF!</v>
      </c>
      <c r="H102" s="115" t="e">
        <f t="shared" si="45"/>
        <v>#REF!</v>
      </c>
      <c r="I102" s="115" t="e">
        <f t="shared" si="45"/>
        <v>#REF!</v>
      </c>
      <c r="J102" s="252"/>
      <c r="K102" s="190"/>
      <c r="L102" s="190"/>
      <c r="M102" s="190"/>
      <c r="N102" s="190"/>
      <c r="O102" s="190"/>
      <c r="P102" s="190"/>
      <c r="Q102" s="190"/>
      <c r="R102" s="120"/>
      <c r="S102" s="120"/>
      <c r="T102" s="120"/>
      <c r="U102" s="120"/>
      <c r="V102" s="120"/>
      <c r="W102" s="120"/>
      <c r="X102" s="120"/>
      <c r="AH102" s="251"/>
      <c r="AI102" s="251"/>
      <c r="AJ102" s="251"/>
      <c r="AK102" s="251"/>
      <c r="AL102" s="251"/>
    </row>
    <row r="103" spans="1:38" x14ac:dyDescent="0.35">
      <c r="A103" s="252"/>
      <c r="B103" s="245"/>
      <c r="C103" s="282"/>
      <c r="D103" s="167" t="e">
        <f>SUM(D96:D102)</f>
        <v>#REF!</v>
      </c>
      <c r="E103" s="167" t="e">
        <f t="shared" ref="E103:I103" si="47">SUM(E96:E102)</f>
        <v>#REF!</v>
      </c>
      <c r="F103" s="167" t="e">
        <f t="shared" si="47"/>
        <v>#REF!</v>
      </c>
      <c r="G103" s="167" t="e">
        <f t="shared" si="47"/>
        <v>#REF!</v>
      </c>
      <c r="H103" s="167" t="e">
        <f t="shared" si="47"/>
        <v>#REF!</v>
      </c>
      <c r="I103" s="167" t="e">
        <f t="shared" si="47"/>
        <v>#REF!</v>
      </c>
      <c r="J103" s="252"/>
      <c r="K103" s="190"/>
      <c r="L103" s="190"/>
      <c r="M103" s="190"/>
      <c r="N103" s="190"/>
      <c r="O103" s="190"/>
      <c r="P103" s="190"/>
      <c r="Q103" s="190"/>
      <c r="R103" s="120"/>
      <c r="S103" s="120"/>
      <c r="T103" s="120"/>
      <c r="U103" s="120"/>
      <c r="V103" s="120"/>
      <c r="W103" s="120"/>
      <c r="X103" s="120"/>
      <c r="AH103" s="251"/>
      <c r="AI103" s="251"/>
      <c r="AJ103" s="251"/>
      <c r="AK103" s="251"/>
      <c r="AL103" s="251"/>
    </row>
    <row r="104" spans="1:38" x14ac:dyDescent="0.35">
      <c r="A104" s="252"/>
      <c r="B104" s="248"/>
      <c r="C104" s="248"/>
      <c r="D104" s="250" t="s">
        <v>728</v>
      </c>
      <c r="E104" s="167" t="e">
        <f>E103-$D$103</f>
        <v>#REF!</v>
      </c>
      <c r="F104" s="167" t="e">
        <f>F103-$D$103</f>
        <v>#REF!</v>
      </c>
      <c r="G104" s="167" t="e">
        <f>G103-$D$103</f>
        <v>#REF!</v>
      </c>
      <c r="H104" s="167" t="e">
        <f>H103-$D$103</f>
        <v>#REF!</v>
      </c>
      <c r="I104" s="167" t="e">
        <f>I103-$D$103</f>
        <v>#REF!</v>
      </c>
      <c r="J104" s="252"/>
      <c r="K104" s="190"/>
      <c r="L104" s="190"/>
      <c r="M104" s="190"/>
      <c r="N104" s="190"/>
      <c r="O104" s="190"/>
      <c r="P104" s="190"/>
      <c r="Q104" s="190"/>
      <c r="R104" s="120"/>
      <c r="S104" s="120"/>
      <c r="T104" s="120"/>
      <c r="U104" s="120"/>
      <c r="V104" s="120"/>
      <c r="W104" s="120"/>
      <c r="X104" s="120"/>
      <c r="AH104" s="251"/>
      <c r="AI104" s="251"/>
      <c r="AJ104" s="251"/>
      <c r="AK104" s="251"/>
      <c r="AL104" s="251"/>
    </row>
    <row r="105" spans="1:38" x14ac:dyDescent="0.35">
      <c r="A105" s="252"/>
      <c r="B105" s="284"/>
      <c r="C105" s="190"/>
      <c r="D105" s="190"/>
      <c r="E105" s="190"/>
      <c r="F105" s="190"/>
      <c r="G105" s="190"/>
      <c r="H105" s="190"/>
      <c r="I105" s="190"/>
      <c r="J105" s="190"/>
      <c r="K105" s="190"/>
      <c r="L105" s="190"/>
      <c r="M105" s="190"/>
      <c r="N105" s="190"/>
      <c r="O105" s="190"/>
      <c r="P105" s="190"/>
      <c r="Q105" s="190"/>
      <c r="R105" s="120"/>
      <c r="S105" s="120"/>
      <c r="T105" s="120"/>
      <c r="U105" s="120"/>
      <c r="V105" s="120"/>
      <c r="W105" s="120"/>
      <c r="X105" s="120"/>
      <c r="AH105" s="251"/>
      <c r="AI105" s="251"/>
      <c r="AJ105" s="251"/>
      <c r="AK105" s="251"/>
      <c r="AL105" s="251"/>
    </row>
    <row r="106" spans="1:38" x14ac:dyDescent="0.35">
      <c r="A106" s="252"/>
      <c r="B106" s="337" t="s">
        <v>729</v>
      </c>
      <c r="C106" s="336"/>
      <c r="D106" s="336"/>
      <c r="E106" s="336"/>
      <c r="F106" s="336"/>
      <c r="G106" s="336"/>
      <c r="H106" s="336"/>
      <c r="I106" s="189"/>
      <c r="J106" s="365"/>
      <c r="K106" s="190"/>
      <c r="L106" s="190"/>
      <c r="M106" s="190"/>
      <c r="N106" s="190"/>
      <c r="O106" s="190"/>
      <c r="P106" s="190"/>
      <c r="Q106" s="190"/>
      <c r="R106" s="120"/>
      <c r="T106" s="120"/>
      <c r="AH106" s="251"/>
      <c r="AI106" s="251"/>
      <c r="AJ106" s="251"/>
      <c r="AK106" s="251"/>
      <c r="AL106" s="251"/>
    </row>
    <row r="107" spans="1:38" ht="43.5" x14ac:dyDescent="0.35">
      <c r="A107" s="252"/>
      <c r="B107" s="247" t="s">
        <v>649</v>
      </c>
      <c r="C107" s="353" t="s">
        <v>710</v>
      </c>
      <c r="D107" s="661" t="s">
        <v>698</v>
      </c>
      <c r="E107" s="222" t="s">
        <v>551</v>
      </c>
      <c r="F107" s="222" t="s">
        <v>552</v>
      </c>
      <c r="G107" s="151" t="s">
        <v>673</v>
      </c>
      <c r="H107" s="151" t="s">
        <v>674</v>
      </c>
      <c r="I107" s="222" t="s">
        <v>675</v>
      </c>
      <c r="J107" s="252"/>
      <c r="K107" s="190"/>
      <c r="L107" s="190"/>
      <c r="M107" s="190"/>
      <c r="N107" s="190"/>
      <c r="O107" s="190"/>
      <c r="P107" s="190"/>
      <c r="Q107" s="190"/>
      <c r="R107" s="120"/>
      <c r="T107" s="120"/>
      <c r="AH107" s="251"/>
      <c r="AI107" s="251"/>
      <c r="AJ107" s="251"/>
      <c r="AK107" s="251"/>
      <c r="AL107" s="251"/>
    </row>
    <row r="108" spans="1:38" x14ac:dyDescent="0.35">
      <c r="A108" s="252"/>
      <c r="B108" s="304" t="str">
        <f>B96</f>
        <v>Treatment A</v>
      </c>
      <c r="C108" s="136">
        <f>'Capacity inputs'!F17*'Capacity inputs'!G17</f>
        <v>0</v>
      </c>
      <c r="D108" s="115" t="e">
        <f>D71*$C108/60</f>
        <v>#REF!</v>
      </c>
      <c r="E108" s="115" t="e">
        <f t="shared" ref="E108:I108" si="48">E71*$C108/60</f>
        <v>#REF!</v>
      </c>
      <c r="F108" s="115" t="e">
        <f t="shared" si="48"/>
        <v>#REF!</v>
      </c>
      <c r="G108" s="115" t="e">
        <f t="shared" si="48"/>
        <v>#REF!</v>
      </c>
      <c r="H108" s="115" t="e">
        <f t="shared" si="48"/>
        <v>#REF!</v>
      </c>
      <c r="I108" s="115" t="e">
        <f t="shared" si="48"/>
        <v>#REF!</v>
      </c>
      <c r="J108" s="252"/>
      <c r="K108" s="190"/>
      <c r="L108" s="190"/>
      <c r="M108" s="190"/>
      <c r="N108" s="190"/>
      <c r="O108" s="190"/>
      <c r="P108" s="190"/>
      <c r="Q108" s="190"/>
      <c r="R108" s="120"/>
      <c r="T108" s="120"/>
      <c r="AH108" s="251"/>
      <c r="AI108" s="251"/>
      <c r="AJ108" s="251"/>
      <c r="AK108" s="251"/>
      <c r="AL108" s="251"/>
    </row>
    <row r="109" spans="1:38" x14ac:dyDescent="0.35">
      <c r="A109" s="252"/>
      <c r="B109" s="304" t="str">
        <f t="shared" ref="B109:B114" si="49">B97</f>
        <v>Treatment B</v>
      </c>
      <c r="C109" s="136">
        <f>'Capacity inputs'!F17*'Capacity inputs'!H17</f>
        <v>0</v>
      </c>
      <c r="D109" s="115" t="e">
        <f t="shared" ref="D109:I114" si="50">D72*$C109/60</f>
        <v>#REF!</v>
      </c>
      <c r="E109" s="115" t="e">
        <f t="shared" si="50"/>
        <v>#REF!</v>
      </c>
      <c r="F109" s="115" t="e">
        <f t="shared" si="50"/>
        <v>#REF!</v>
      </c>
      <c r="G109" s="115" t="e">
        <f t="shared" si="50"/>
        <v>#REF!</v>
      </c>
      <c r="H109" s="115" t="e">
        <f t="shared" si="50"/>
        <v>#REF!</v>
      </c>
      <c r="I109" s="115" t="e">
        <f t="shared" si="50"/>
        <v>#REF!</v>
      </c>
      <c r="J109" s="252"/>
      <c r="K109" s="190"/>
      <c r="L109" s="190"/>
      <c r="M109" s="190"/>
      <c r="N109" s="190"/>
      <c r="O109" s="190"/>
      <c r="P109" s="190"/>
      <c r="Q109" s="190"/>
      <c r="R109" s="120"/>
      <c r="T109" s="120"/>
      <c r="AH109" s="251"/>
      <c r="AI109" s="251"/>
      <c r="AJ109" s="251"/>
      <c r="AK109" s="251"/>
      <c r="AL109" s="251"/>
    </row>
    <row r="110" spans="1:38" x14ac:dyDescent="0.35">
      <c r="A110" s="252"/>
      <c r="B110" s="304" t="str">
        <f t="shared" si="49"/>
        <v>Treatment C</v>
      </c>
      <c r="C110" s="136">
        <f>'Capacity inputs'!F17*'Capacity inputs'!I17</f>
        <v>0</v>
      </c>
      <c r="D110" s="115" t="e">
        <f t="shared" si="50"/>
        <v>#REF!</v>
      </c>
      <c r="E110" s="115" t="e">
        <f t="shared" si="50"/>
        <v>#REF!</v>
      </c>
      <c r="F110" s="115" t="e">
        <f t="shared" si="50"/>
        <v>#REF!</v>
      </c>
      <c r="G110" s="115" t="e">
        <f t="shared" si="50"/>
        <v>#REF!</v>
      </c>
      <c r="H110" s="115" t="e">
        <f t="shared" si="50"/>
        <v>#REF!</v>
      </c>
      <c r="I110" s="115" t="e">
        <f t="shared" si="50"/>
        <v>#REF!</v>
      </c>
      <c r="J110" s="252"/>
      <c r="K110" s="190"/>
      <c r="L110" s="190"/>
      <c r="M110" s="190"/>
      <c r="N110" s="190"/>
      <c r="O110" s="190"/>
      <c r="P110" s="190"/>
      <c r="Q110" s="190"/>
      <c r="R110" s="120"/>
      <c r="T110" s="120"/>
      <c r="AH110" s="251"/>
      <c r="AI110" s="251"/>
      <c r="AJ110" s="251"/>
      <c r="AK110" s="251"/>
      <c r="AL110" s="251"/>
    </row>
    <row r="111" spans="1:38" x14ac:dyDescent="0.35">
      <c r="A111" s="252"/>
      <c r="B111" s="304" t="str">
        <f t="shared" si="49"/>
        <v>Treatment D</v>
      </c>
      <c r="C111" s="136">
        <f>'Capacity inputs'!F17*'Capacity inputs'!J17</f>
        <v>0</v>
      </c>
      <c r="D111" s="115" t="e">
        <f t="shared" si="50"/>
        <v>#REF!</v>
      </c>
      <c r="E111" s="115" t="e">
        <f t="shared" si="50"/>
        <v>#REF!</v>
      </c>
      <c r="F111" s="115" t="e">
        <f t="shared" si="50"/>
        <v>#REF!</v>
      </c>
      <c r="G111" s="115" t="e">
        <f t="shared" si="50"/>
        <v>#REF!</v>
      </c>
      <c r="H111" s="115" t="e">
        <f t="shared" si="50"/>
        <v>#REF!</v>
      </c>
      <c r="I111" s="115" t="e">
        <f t="shared" si="50"/>
        <v>#REF!</v>
      </c>
      <c r="J111" s="252"/>
      <c r="K111" s="190"/>
      <c r="L111" s="190"/>
      <c r="M111" s="190"/>
      <c r="N111" s="190"/>
      <c r="O111" s="190"/>
      <c r="P111" s="190"/>
      <c r="Q111" s="190"/>
      <c r="R111" s="120"/>
      <c r="T111" s="120"/>
      <c r="AH111" s="251"/>
      <c r="AI111" s="251"/>
      <c r="AJ111" s="251"/>
      <c r="AK111" s="251"/>
      <c r="AL111" s="251"/>
    </row>
    <row r="112" spans="1:38" x14ac:dyDescent="0.35">
      <c r="A112" s="252"/>
      <c r="B112" s="304" t="str">
        <f t="shared" si="49"/>
        <v>Treatment E</v>
      </c>
      <c r="C112" s="136">
        <f>'Capacity inputs'!F17*'Capacity inputs'!K17</f>
        <v>0</v>
      </c>
      <c r="D112" s="115" t="e">
        <f t="shared" si="50"/>
        <v>#REF!</v>
      </c>
      <c r="E112" s="115" t="e">
        <f t="shared" si="50"/>
        <v>#REF!</v>
      </c>
      <c r="F112" s="115" t="e">
        <f t="shared" si="50"/>
        <v>#REF!</v>
      </c>
      <c r="G112" s="115" t="e">
        <f t="shared" si="50"/>
        <v>#REF!</v>
      </c>
      <c r="H112" s="115" t="e">
        <f t="shared" si="50"/>
        <v>#REF!</v>
      </c>
      <c r="I112" s="115" t="e">
        <f t="shared" si="50"/>
        <v>#REF!</v>
      </c>
      <c r="J112" s="252"/>
      <c r="K112" s="190"/>
      <c r="L112" s="190"/>
      <c r="M112" s="190"/>
      <c r="N112" s="190"/>
      <c r="O112" s="190"/>
      <c r="P112" s="190"/>
      <c r="Q112" s="190"/>
      <c r="R112" s="120"/>
      <c r="T112" s="120"/>
      <c r="AH112" s="251"/>
      <c r="AI112" s="251"/>
      <c r="AJ112" s="251"/>
      <c r="AK112" s="251"/>
      <c r="AL112" s="251"/>
    </row>
    <row r="113" spans="1:38" x14ac:dyDescent="0.35">
      <c r="A113" s="252"/>
      <c r="B113" s="304" t="str">
        <f t="shared" si="49"/>
        <v>Treatment F</v>
      </c>
      <c r="C113" s="136">
        <f>'Capacity inputs'!F17*'Capacity inputs'!L17</f>
        <v>0</v>
      </c>
      <c r="D113" s="115" t="e">
        <f t="shared" si="50"/>
        <v>#REF!</v>
      </c>
      <c r="E113" s="115" t="e">
        <f t="shared" si="50"/>
        <v>#REF!</v>
      </c>
      <c r="F113" s="115" t="e">
        <f t="shared" si="50"/>
        <v>#REF!</v>
      </c>
      <c r="G113" s="115" t="e">
        <f t="shared" si="50"/>
        <v>#REF!</v>
      </c>
      <c r="H113" s="115" t="e">
        <f t="shared" si="50"/>
        <v>#REF!</v>
      </c>
      <c r="I113" s="115" t="e">
        <f t="shared" si="50"/>
        <v>#REF!</v>
      </c>
      <c r="J113" s="252"/>
      <c r="K113" s="190"/>
      <c r="L113" s="190"/>
      <c r="M113" s="190"/>
      <c r="N113" s="190"/>
      <c r="O113" s="190"/>
      <c r="P113" s="190"/>
      <c r="Q113" s="190"/>
      <c r="R113" s="120"/>
      <c r="T113" s="120"/>
      <c r="AH113" s="251"/>
      <c r="AI113" s="251"/>
      <c r="AJ113" s="251"/>
      <c r="AK113" s="251"/>
      <c r="AL113" s="251"/>
    </row>
    <row r="114" spans="1:38" x14ac:dyDescent="0.35">
      <c r="A114" s="252"/>
      <c r="B114" s="304" t="str">
        <f t="shared" si="49"/>
        <v>Treatment G</v>
      </c>
      <c r="C114" s="136">
        <f>'Capacity inputs'!F17*'Capacity inputs'!M17</f>
        <v>0</v>
      </c>
      <c r="D114" s="115" t="e">
        <f t="shared" si="50"/>
        <v>#REF!</v>
      </c>
      <c r="E114" s="115" t="e">
        <f t="shared" si="50"/>
        <v>#REF!</v>
      </c>
      <c r="F114" s="115" t="e">
        <f t="shared" si="50"/>
        <v>#REF!</v>
      </c>
      <c r="G114" s="115" t="e">
        <f t="shared" si="50"/>
        <v>#REF!</v>
      </c>
      <c r="H114" s="115" t="e">
        <f t="shared" si="50"/>
        <v>#REF!</v>
      </c>
      <c r="I114" s="115" t="e">
        <f t="shared" si="50"/>
        <v>#REF!</v>
      </c>
      <c r="J114" s="252"/>
      <c r="K114" s="190"/>
      <c r="L114" s="190"/>
      <c r="M114" s="190"/>
      <c r="N114" s="190"/>
      <c r="O114" s="190"/>
      <c r="P114" s="190"/>
      <c r="Q114" s="190"/>
      <c r="R114" s="120"/>
      <c r="T114" s="120"/>
      <c r="AH114" s="251"/>
      <c r="AI114" s="251"/>
      <c r="AJ114" s="251"/>
      <c r="AK114" s="251"/>
      <c r="AL114" s="251"/>
    </row>
    <row r="115" spans="1:38" x14ac:dyDescent="0.35">
      <c r="A115" s="252"/>
      <c r="B115" s="245"/>
      <c r="C115" s="282"/>
      <c r="D115" s="167" t="e">
        <f>SUM(D108:D114)</f>
        <v>#REF!</v>
      </c>
      <c r="E115" s="167" t="e">
        <f t="shared" ref="E115:I115" si="51">SUM(E108:E114)</f>
        <v>#REF!</v>
      </c>
      <c r="F115" s="167" t="e">
        <f t="shared" si="51"/>
        <v>#REF!</v>
      </c>
      <c r="G115" s="167" t="e">
        <f t="shared" si="51"/>
        <v>#REF!</v>
      </c>
      <c r="H115" s="167" t="e">
        <f t="shared" si="51"/>
        <v>#REF!</v>
      </c>
      <c r="I115" s="167" t="e">
        <f t="shared" si="51"/>
        <v>#REF!</v>
      </c>
      <c r="J115" s="252"/>
      <c r="K115" s="190"/>
      <c r="L115" s="190"/>
      <c r="M115" s="190"/>
      <c r="N115" s="190"/>
      <c r="O115" s="190"/>
      <c r="P115" s="190"/>
      <c r="Q115" s="190"/>
      <c r="R115" s="120"/>
      <c r="S115" s="120"/>
      <c r="T115" s="120"/>
      <c r="U115" s="120"/>
      <c r="V115" s="120"/>
      <c r="W115" s="120"/>
      <c r="X115" s="120"/>
      <c r="AH115" s="251"/>
      <c r="AI115" s="251"/>
      <c r="AJ115" s="251"/>
      <c r="AK115" s="251"/>
      <c r="AL115" s="251"/>
    </row>
    <row r="116" spans="1:38" x14ac:dyDescent="0.35">
      <c r="A116" s="252"/>
      <c r="B116" s="272"/>
      <c r="C116" s="248"/>
      <c r="D116" s="250" t="s">
        <v>730</v>
      </c>
      <c r="E116" s="167" t="e">
        <f>E115-$D$115</f>
        <v>#REF!</v>
      </c>
      <c r="F116" s="167" t="e">
        <f>F115-$D$115</f>
        <v>#REF!</v>
      </c>
      <c r="G116" s="167" t="e">
        <f>G115-$D$115</f>
        <v>#REF!</v>
      </c>
      <c r="H116" s="167" t="e">
        <f>H115-$D$115</f>
        <v>#REF!</v>
      </c>
      <c r="I116" s="167" t="e">
        <f>I115-$D$115</f>
        <v>#REF!</v>
      </c>
      <c r="J116" s="252"/>
      <c r="K116" s="190"/>
      <c r="L116" s="190"/>
      <c r="M116" s="190"/>
      <c r="N116" s="190"/>
      <c r="O116" s="190"/>
      <c r="P116" s="190"/>
      <c r="Q116" s="190"/>
      <c r="R116" s="120"/>
      <c r="S116" s="120"/>
      <c r="T116" s="120"/>
      <c r="U116" s="120"/>
      <c r="V116" s="120"/>
      <c r="W116" s="120"/>
      <c r="X116" s="120"/>
      <c r="AH116" s="251"/>
      <c r="AI116" s="251"/>
      <c r="AJ116" s="251"/>
      <c r="AK116" s="251"/>
      <c r="AL116" s="251"/>
    </row>
    <row r="117" spans="1:38" x14ac:dyDescent="0.35">
      <c r="A117" s="252"/>
      <c r="B117" s="284"/>
      <c r="C117" s="190"/>
      <c r="D117" s="190"/>
      <c r="E117" s="190"/>
      <c r="F117" s="190"/>
      <c r="G117" s="190"/>
      <c r="H117" s="190"/>
      <c r="I117" s="190"/>
      <c r="J117" s="252"/>
      <c r="K117" s="252"/>
      <c r="L117" s="190"/>
      <c r="M117" s="190"/>
      <c r="N117" s="190"/>
      <c r="O117" s="190"/>
      <c r="P117" s="190"/>
      <c r="Q117" s="190"/>
      <c r="R117" s="120"/>
      <c r="S117" s="120"/>
      <c r="T117" s="120"/>
      <c r="U117" s="120"/>
      <c r="V117" s="120"/>
      <c r="W117" s="120"/>
      <c r="X117" s="120"/>
      <c r="AH117" s="251"/>
      <c r="AI117" s="251"/>
      <c r="AJ117" s="251"/>
      <c r="AK117" s="251"/>
      <c r="AL117" s="251"/>
    </row>
    <row r="118" spans="1:38" x14ac:dyDescent="0.35">
      <c r="A118" s="526"/>
      <c r="B118" s="532" t="s">
        <v>731</v>
      </c>
      <c r="C118" s="527"/>
      <c r="D118" s="528"/>
      <c r="E118" s="527"/>
      <c r="F118" s="529"/>
      <c r="G118" s="530"/>
      <c r="H118" s="530"/>
      <c r="I118" s="531"/>
      <c r="J118" s="526"/>
      <c r="K118" s="526"/>
      <c r="L118" s="526"/>
      <c r="M118" s="526"/>
      <c r="N118" s="526"/>
      <c r="O118" s="526"/>
      <c r="P118" s="526"/>
      <c r="Q118" s="526"/>
      <c r="R118" s="120"/>
      <c r="S118" s="120"/>
      <c r="T118" s="120"/>
      <c r="U118" s="120"/>
      <c r="V118" s="120"/>
      <c r="W118" s="120"/>
      <c r="X118" s="120"/>
      <c r="AH118" s="251"/>
      <c r="AI118" s="251"/>
      <c r="AJ118" s="251"/>
      <c r="AK118" s="251"/>
      <c r="AL118" s="251"/>
    </row>
    <row r="119" spans="1:38" x14ac:dyDescent="0.35">
      <c r="A119" s="254"/>
      <c r="B119" s="338" t="s">
        <v>732</v>
      </c>
      <c r="C119" s="339"/>
      <c r="D119" s="339"/>
      <c r="E119" s="339"/>
      <c r="F119" s="339"/>
      <c r="G119" s="339"/>
      <c r="H119" s="339"/>
      <c r="I119" s="193"/>
      <c r="J119" s="254"/>
      <c r="K119" s="254"/>
      <c r="L119" s="254"/>
      <c r="M119" s="254"/>
      <c r="N119" s="254"/>
      <c r="O119" s="254"/>
      <c r="P119" s="254"/>
      <c r="Q119" s="254"/>
      <c r="R119" s="120"/>
      <c r="T119" s="120"/>
    </row>
    <row r="120" spans="1:38" ht="43.5" x14ac:dyDescent="0.35">
      <c r="A120" s="254"/>
      <c r="B120" s="244" t="s">
        <v>649</v>
      </c>
      <c r="C120" s="353" t="s">
        <v>710</v>
      </c>
      <c r="D120" s="661" t="s">
        <v>698</v>
      </c>
      <c r="E120" s="222" t="s">
        <v>551</v>
      </c>
      <c r="F120" s="222" t="s">
        <v>552</v>
      </c>
      <c r="G120" s="151" t="s">
        <v>673</v>
      </c>
      <c r="H120" s="151" t="s">
        <v>674</v>
      </c>
      <c r="I120" s="222" t="s">
        <v>675</v>
      </c>
      <c r="J120" s="254"/>
      <c r="K120" s="254"/>
      <c r="L120" s="254"/>
      <c r="M120" s="254"/>
      <c r="N120" s="254"/>
      <c r="O120" s="254"/>
      <c r="P120" s="254"/>
      <c r="Q120" s="254"/>
      <c r="R120" s="120"/>
      <c r="T120" s="120"/>
    </row>
    <row r="121" spans="1:38" x14ac:dyDescent="0.35">
      <c r="A121" s="254"/>
      <c r="B121" s="304" t="str">
        <f>B108</f>
        <v>Treatment A</v>
      </c>
      <c r="C121" s="136">
        <f>'Capacity inputs'!$F$18*'Capacity inputs'!$G$18</f>
        <v>0</v>
      </c>
      <c r="D121" s="115" t="e">
        <f>D71*$C121/60</f>
        <v>#REF!</v>
      </c>
      <c r="E121" s="115" t="e">
        <f t="shared" ref="E121:I121" si="52">E71*$C121/60</f>
        <v>#REF!</v>
      </c>
      <c r="F121" s="115" t="e">
        <f t="shared" si="52"/>
        <v>#REF!</v>
      </c>
      <c r="G121" s="115" t="e">
        <f t="shared" si="52"/>
        <v>#REF!</v>
      </c>
      <c r="H121" s="115" t="e">
        <f t="shared" si="52"/>
        <v>#REF!</v>
      </c>
      <c r="I121" s="115" t="e">
        <f t="shared" si="52"/>
        <v>#REF!</v>
      </c>
      <c r="J121" s="254"/>
      <c r="K121" s="254"/>
      <c r="L121" s="254"/>
      <c r="M121" s="254"/>
      <c r="N121" s="254"/>
      <c r="O121" s="254"/>
      <c r="P121" s="254"/>
      <c r="Q121" s="254"/>
      <c r="R121" s="120"/>
      <c r="T121" s="120"/>
    </row>
    <row r="122" spans="1:38" x14ac:dyDescent="0.35">
      <c r="A122" s="254"/>
      <c r="B122" s="304" t="str">
        <f t="shared" ref="B122:B127" si="53">B109</f>
        <v>Treatment B</v>
      </c>
      <c r="C122" s="136">
        <f>'Capacity inputs'!$F$18*'Capacity inputs'!$H$18</f>
        <v>0</v>
      </c>
      <c r="D122" s="115" t="e">
        <f t="shared" ref="D122:I127" si="54">D72*$C122/60</f>
        <v>#REF!</v>
      </c>
      <c r="E122" s="115" t="e">
        <f t="shared" si="54"/>
        <v>#REF!</v>
      </c>
      <c r="F122" s="115" t="e">
        <f t="shared" si="54"/>
        <v>#REF!</v>
      </c>
      <c r="G122" s="115" t="e">
        <f t="shared" si="54"/>
        <v>#REF!</v>
      </c>
      <c r="H122" s="115" t="e">
        <f t="shared" si="54"/>
        <v>#REF!</v>
      </c>
      <c r="I122" s="115" t="e">
        <f t="shared" si="54"/>
        <v>#REF!</v>
      </c>
      <c r="J122" s="254"/>
      <c r="K122" s="254"/>
      <c r="L122" s="254"/>
      <c r="M122" s="254"/>
      <c r="N122" s="254"/>
      <c r="O122" s="254"/>
      <c r="P122" s="254"/>
      <c r="Q122" s="254"/>
      <c r="R122" s="120"/>
      <c r="T122" s="120"/>
    </row>
    <row r="123" spans="1:38" x14ac:dyDescent="0.35">
      <c r="A123" s="254"/>
      <c r="B123" s="304" t="str">
        <f t="shared" si="53"/>
        <v>Treatment C</v>
      </c>
      <c r="C123" s="136">
        <f>'Capacity inputs'!$F$18*'Capacity inputs'!$I$18</f>
        <v>0</v>
      </c>
      <c r="D123" s="115" t="e">
        <f t="shared" si="54"/>
        <v>#REF!</v>
      </c>
      <c r="E123" s="115" t="e">
        <f t="shared" si="54"/>
        <v>#REF!</v>
      </c>
      <c r="F123" s="115" t="e">
        <f t="shared" si="54"/>
        <v>#REF!</v>
      </c>
      <c r="G123" s="115" t="e">
        <f t="shared" si="54"/>
        <v>#REF!</v>
      </c>
      <c r="H123" s="115" t="e">
        <f t="shared" si="54"/>
        <v>#REF!</v>
      </c>
      <c r="I123" s="115" t="e">
        <f t="shared" si="54"/>
        <v>#REF!</v>
      </c>
      <c r="J123" s="254"/>
      <c r="K123" s="254"/>
      <c r="L123" s="254"/>
      <c r="M123" s="254"/>
      <c r="N123" s="254"/>
      <c r="O123" s="254"/>
      <c r="P123" s="254"/>
      <c r="Q123" s="254"/>
      <c r="R123" s="120"/>
      <c r="T123" s="120"/>
    </row>
    <row r="124" spans="1:38" x14ac:dyDescent="0.35">
      <c r="A124" s="254"/>
      <c r="B124" s="304" t="str">
        <f t="shared" si="53"/>
        <v>Treatment D</v>
      </c>
      <c r="C124" s="136">
        <f>'Capacity inputs'!$F$18*'Capacity inputs'!$J$18</f>
        <v>0</v>
      </c>
      <c r="D124" s="115" t="e">
        <f t="shared" si="54"/>
        <v>#REF!</v>
      </c>
      <c r="E124" s="115" t="e">
        <f t="shared" si="54"/>
        <v>#REF!</v>
      </c>
      <c r="F124" s="115" t="e">
        <f t="shared" si="54"/>
        <v>#REF!</v>
      </c>
      <c r="G124" s="115" t="e">
        <f t="shared" si="54"/>
        <v>#REF!</v>
      </c>
      <c r="H124" s="115" t="e">
        <f t="shared" si="54"/>
        <v>#REF!</v>
      </c>
      <c r="I124" s="115" t="e">
        <f t="shared" si="54"/>
        <v>#REF!</v>
      </c>
      <c r="J124" s="254"/>
      <c r="K124" s="254"/>
      <c r="L124" s="254"/>
      <c r="M124" s="254"/>
      <c r="N124" s="254"/>
      <c r="O124" s="254"/>
      <c r="P124" s="254"/>
      <c r="Q124" s="254"/>
      <c r="R124" s="120"/>
      <c r="T124" s="120"/>
    </row>
    <row r="125" spans="1:38" x14ac:dyDescent="0.35">
      <c r="A125" s="254"/>
      <c r="B125" s="304" t="str">
        <f t="shared" si="53"/>
        <v>Treatment E</v>
      </c>
      <c r="C125" s="136">
        <f>'Capacity inputs'!$F$18*'Capacity inputs'!$K$18</f>
        <v>0</v>
      </c>
      <c r="D125" s="115" t="e">
        <f t="shared" si="54"/>
        <v>#REF!</v>
      </c>
      <c r="E125" s="115" t="e">
        <f t="shared" si="54"/>
        <v>#REF!</v>
      </c>
      <c r="F125" s="115" t="e">
        <f t="shared" si="54"/>
        <v>#REF!</v>
      </c>
      <c r="G125" s="115" t="e">
        <f t="shared" si="54"/>
        <v>#REF!</v>
      </c>
      <c r="H125" s="115" t="e">
        <f t="shared" si="54"/>
        <v>#REF!</v>
      </c>
      <c r="I125" s="115" t="e">
        <f t="shared" si="54"/>
        <v>#REF!</v>
      </c>
      <c r="J125" s="254"/>
      <c r="K125" s="254"/>
      <c r="L125" s="254"/>
      <c r="M125" s="254"/>
      <c r="N125" s="254"/>
      <c r="O125" s="254"/>
      <c r="P125" s="254"/>
      <c r="Q125" s="254"/>
      <c r="R125" s="120"/>
      <c r="T125" s="120"/>
    </row>
    <row r="126" spans="1:38" x14ac:dyDescent="0.35">
      <c r="A126" s="254"/>
      <c r="B126" s="304" t="str">
        <f t="shared" si="53"/>
        <v>Treatment F</v>
      </c>
      <c r="C126" s="136">
        <f>'Capacity inputs'!$F$18*'Capacity inputs'!$L$18</f>
        <v>0</v>
      </c>
      <c r="D126" s="115" t="e">
        <f t="shared" si="54"/>
        <v>#REF!</v>
      </c>
      <c r="E126" s="115" t="e">
        <f t="shared" si="54"/>
        <v>#REF!</v>
      </c>
      <c r="F126" s="115" t="e">
        <f t="shared" si="54"/>
        <v>#REF!</v>
      </c>
      <c r="G126" s="115" t="e">
        <f t="shared" si="54"/>
        <v>#REF!</v>
      </c>
      <c r="H126" s="115" t="e">
        <f t="shared" si="54"/>
        <v>#REF!</v>
      </c>
      <c r="I126" s="115" t="e">
        <f t="shared" si="54"/>
        <v>#REF!</v>
      </c>
      <c r="J126" s="254"/>
      <c r="K126" s="254"/>
      <c r="L126" s="254"/>
      <c r="M126" s="254"/>
      <c r="N126" s="254"/>
      <c r="O126" s="254"/>
      <c r="P126" s="254"/>
      <c r="Q126" s="254"/>
      <c r="R126" s="120"/>
      <c r="T126" s="120"/>
    </row>
    <row r="127" spans="1:38" x14ac:dyDescent="0.35">
      <c r="A127" s="254"/>
      <c r="B127" s="304" t="str">
        <f t="shared" si="53"/>
        <v>Treatment G</v>
      </c>
      <c r="C127" s="136">
        <f>'Capacity inputs'!$F$18*'Capacity inputs'!$M$18</f>
        <v>0</v>
      </c>
      <c r="D127" s="115" t="e">
        <f t="shared" si="54"/>
        <v>#REF!</v>
      </c>
      <c r="E127" s="115" t="e">
        <f t="shared" si="54"/>
        <v>#REF!</v>
      </c>
      <c r="F127" s="115" t="e">
        <f t="shared" si="54"/>
        <v>#REF!</v>
      </c>
      <c r="G127" s="115" t="e">
        <f t="shared" si="54"/>
        <v>#REF!</v>
      </c>
      <c r="H127" s="115" t="e">
        <f t="shared" si="54"/>
        <v>#REF!</v>
      </c>
      <c r="I127" s="115" t="e">
        <f t="shared" si="54"/>
        <v>#REF!</v>
      </c>
      <c r="J127" s="254"/>
      <c r="K127" s="254"/>
      <c r="L127" s="254"/>
      <c r="M127" s="254"/>
      <c r="N127" s="254"/>
      <c r="O127" s="254"/>
      <c r="P127" s="254"/>
      <c r="Q127" s="254"/>
      <c r="R127" s="120"/>
      <c r="T127" s="120"/>
    </row>
    <row r="128" spans="1:38" x14ac:dyDescent="0.35">
      <c r="A128" s="254"/>
      <c r="B128" s="245"/>
      <c r="C128" s="184"/>
      <c r="D128" s="167" t="e">
        <f>SUM(D121:D127)</f>
        <v>#REF!</v>
      </c>
      <c r="E128" s="167" t="e">
        <f t="shared" ref="E128:I128" si="55">SUM(E121:E127)</f>
        <v>#REF!</v>
      </c>
      <c r="F128" s="167" t="e">
        <f t="shared" si="55"/>
        <v>#REF!</v>
      </c>
      <c r="G128" s="167" t="e">
        <f t="shared" si="55"/>
        <v>#REF!</v>
      </c>
      <c r="H128" s="167" t="e">
        <f t="shared" si="55"/>
        <v>#REF!</v>
      </c>
      <c r="I128" s="167" t="e">
        <f t="shared" si="55"/>
        <v>#REF!</v>
      </c>
      <c r="J128" s="254"/>
      <c r="K128" s="254"/>
      <c r="L128" s="254"/>
      <c r="M128" s="254"/>
      <c r="N128" s="254"/>
      <c r="O128" s="254"/>
      <c r="P128" s="254"/>
      <c r="Q128" s="254"/>
      <c r="R128" s="120"/>
      <c r="T128" s="120"/>
    </row>
    <row r="129" spans="1:38" x14ac:dyDescent="0.35">
      <c r="A129" s="254"/>
      <c r="B129" s="272"/>
      <c r="C129" s="197"/>
      <c r="D129" s="250" t="s">
        <v>733</v>
      </c>
      <c r="E129" s="167" t="e">
        <f>E128-$D$128</f>
        <v>#REF!</v>
      </c>
      <c r="F129" s="167" t="e">
        <f>F128-$D$128</f>
        <v>#REF!</v>
      </c>
      <c r="G129" s="167" t="e">
        <f>G128-$D$128</f>
        <v>#REF!</v>
      </c>
      <c r="H129" s="167" t="e">
        <f>H128-$D$128</f>
        <v>#REF!</v>
      </c>
      <c r="I129" s="167" t="e">
        <f>I128-$D$128</f>
        <v>#REF!</v>
      </c>
      <c r="J129" s="254"/>
      <c r="K129" s="254"/>
      <c r="L129" s="254"/>
      <c r="M129" s="254"/>
      <c r="N129" s="254"/>
      <c r="O129" s="254"/>
      <c r="P129" s="254"/>
      <c r="Q129" s="254"/>
      <c r="R129" s="120"/>
      <c r="T129" s="120"/>
    </row>
    <row r="130" spans="1:38" x14ac:dyDescent="0.35">
      <c r="A130" s="254"/>
      <c r="B130" s="285"/>
      <c r="C130" s="339"/>
      <c r="D130" s="194"/>
      <c r="E130" s="194"/>
      <c r="F130" s="194"/>
      <c r="G130" s="194"/>
      <c r="H130" s="194"/>
      <c r="I130" s="194"/>
      <c r="J130" s="194"/>
      <c r="K130" s="194"/>
      <c r="L130" s="194"/>
      <c r="M130" s="194"/>
      <c r="N130" s="194"/>
      <c r="O130" s="194"/>
      <c r="P130" s="194"/>
      <c r="Q130" s="194"/>
      <c r="R130" s="120"/>
      <c r="S130" s="120"/>
      <c r="T130" s="120"/>
      <c r="U130" s="120"/>
      <c r="V130" s="120"/>
      <c r="W130" s="120"/>
      <c r="X130" s="120"/>
      <c r="AH130" s="251"/>
      <c r="AI130" s="251"/>
      <c r="AJ130" s="251"/>
      <c r="AK130" s="251"/>
      <c r="AL130" s="251"/>
    </row>
    <row r="131" spans="1:38" x14ac:dyDescent="0.35">
      <c r="A131" s="288"/>
      <c r="B131" s="289" t="s">
        <v>734</v>
      </c>
      <c r="C131" s="290"/>
      <c r="D131" s="290"/>
      <c r="E131" s="291"/>
      <c r="F131" s="292"/>
      <c r="G131" s="293"/>
      <c r="H131" s="293"/>
      <c r="I131" s="332"/>
      <c r="J131" s="288"/>
      <c r="K131" s="288"/>
      <c r="L131" s="288"/>
      <c r="M131" s="288"/>
      <c r="N131" s="288"/>
      <c r="O131" s="288"/>
      <c r="P131" s="288"/>
      <c r="Q131" s="350"/>
      <c r="R131" s="120"/>
      <c r="S131" s="120"/>
      <c r="T131" s="120"/>
      <c r="U131" s="120"/>
      <c r="V131" s="120"/>
      <c r="W131" s="120"/>
      <c r="X131" s="120"/>
      <c r="AH131" s="251"/>
      <c r="AI131" s="251"/>
      <c r="AJ131" s="251"/>
      <c r="AK131" s="251"/>
      <c r="AL131" s="251"/>
    </row>
    <row r="132" spans="1:38" x14ac:dyDescent="0.35">
      <c r="A132" s="288"/>
      <c r="B132" s="342" t="s">
        <v>735</v>
      </c>
      <c r="C132" s="343"/>
      <c r="D132" s="343"/>
      <c r="E132" s="343"/>
      <c r="F132" s="343"/>
      <c r="G132" s="343"/>
      <c r="H132" s="343"/>
      <c r="I132" s="294"/>
      <c r="J132" s="350"/>
      <c r="K132" s="350"/>
      <c r="L132" s="288"/>
      <c r="M132" s="288"/>
      <c r="N132" s="288"/>
      <c r="O132" s="288"/>
      <c r="P132" s="288"/>
      <c r="Q132" s="350"/>
      <c r="R132" s="120"/>
      <c r="S132" s="120"/>
      <c r="T132" s="120"/>
      <c r="U132" s="120"/>
      <c r="V132" s="120"/>
      <c r="W132" s="120"/>
      <c r="X132" s="120"/>
      <c r="AH132" s="251"/>
      <c r="AI132" s="251"/>
      <c r="AJ132" s="251"/>
      <c r="AK132" s="251"/>
      <c r="AL132" s="251"/>
    </row>
    <row r="133" spans="1:38" ht="43.5" x14ac:dyDescent="0.35">
      <c r="A133" s="288"/>
      <c r="B133" s="244" t="s">
        <v>649</v>
      </c>
      <c r="C133" s="152" t="s">
        <v>715</v>
      </c>
      <c r="D133" s="661" t="s">
        <v>698</v>
      </c>
      <c r="E133" s="222" t="s">
        <v>551</v>
      </c>
      <c r="F133" s="222" t="s">
        <v>552</v>
      </c>
      <c r="G133" s="151" t="s">
        <v>673</v>
      </c>
      <c r="H133" s="151" t="s">
        <v>674</v>
      </c>
      <c r="I133" s="222" t="s">
        <v>675</v>
      </c>
      <c r="J133" s="288"/>
      <c r="K133" s="350"/>
      <c r="L133" s="288"/>
      <c r="M133" s="288"/>
      <c r="N133" s="288"/>
      <c r="O133" s="288"/>
      <c r="P133" s="288"/>
      <c r="Q133" s="350"/>
      <c r="R133" s="120"/>
      <c r="S133" s="120"/>
      <c r="T133" s="120"/>
      <c r="U133" s="120"/>
      <c r="V133" s="120"/>
      <c r="W133" s="120"/>
      <c r="X133" s="120"/>
      <c r="AH133" s="251"/>
      <c r="AI133" s="251"/>
      <c r="AJ133" s="251"/>
      <c r="AK133" s="251"/>
      <c r="AL133" s="251"/>
    </row>
    <row r="134" spans="1:38" x14ac:dyDescent="0.35">
      <c r="A134" s="288"/>
      <c r="B134" s="304" t="str">
        <f>B121</f>
        <v>Treatment A</v>
      </c>
      <c r="C134" s="136">
        <f>'Capacity inputs'!G19</f>
        <v>0</v>
      </c>
      <c r="D134" s="115">
        <f>$C134*'Financial impact (cash)'!D13</f>
        <v>0</v>
      </c>
      <c r="E134" s="115">
        <f>$C134*'Financial impact (cash)'!E13</f>
        <v>0</v>
      </c>
      <c r="F134" s="115">
        <f>$C134*'Financial impact (cash)'!F13</f>
        <v>0</v>
      </c>
      <c r="G134" s="115">
        <f>$C134*'Financial impact (cash)'!G13</f>
        <v>0</v>
      </c>
      <c r="H134" s="115">
        <f>$C134*'Financial impact (cash)'!H13</f>
        <v>0</v>
      </c>
      <c r="I134" s="115">
        <f>$C134*'Financial impact (cash)'!I13</f>
        <v>0</v>
      </c>
      <c r="J134" s="288"/>
      <c r="K134" s="350"/>
      <c r="L134" s="288"/>
      <c r="M134" s="288"/>
      <c r="N134" s="288"/>
      <c r="O134" s="288"/>
      <c r="P134" s="288"/>
      <c r="Q134" s="350"/>
      <c r="R134" s="120"/>
      <c r="S134" s="120"/>
      <c r="T134" s="120"/>
      <c r="U134" s="120"/>
      <c r="V134" s="120"/>
      <c r="W134" s="120"/>
      <c r="X134" s="120"/>
      <c r="AH134" s="251"/>
      <c r="AI134" s="251"/>
      <c r="AJ134" s="251"/>
      <c r="AK134" s="251"/>
      <c r="AL134" s="251"/>
    </row>
    <row r="135" spans="1:38" x14ac:dyDescent="0.35">
      <c r="A135" s="288"/>
      <c r="B135" s="304" t="str">
        <f t="shared" ref="B135:B140" si="56">B122</f>
        <v>Treatment B</v>
      </c>
      <c r="C135" s="136">
        <f>'Capacity inputs'!H19</f>
        <v>0</v>
      </c>
      <c r="D135" s="115">
        <f>$C135*'Financial impact (cash)'!D14</f>
        <v>0</v>
      </c>
      <c r="E135" s="115">
        <f>$C135*'Financial impact (cash)'!E14</f>
        <v>0</v>
      </c>
      <c r="F135" s="115">
        <f>$C135*'Financial impact (cash)'!F14</f>
        <v>0</v>
      </c>
      <c r="G135" s="115">
        <f>$C135*'Financial impact (cash)'!G14</f>
        <v>0</v>
      </c>
      <c r="H135" s="115">
        <f>$C135*'Financial impact (cash)'!H14</f>
        <v>0</v>
      </c>
      <c r="I135" s="115">
        <f>$C135*'Financial impact (cash)'!I14</f>
        <v>0</v>
      </c>
      <c r="J135" s="288"/>
      <c r="K135" s="350"/>
      <c r="L135" s="288"/>
      <c r="M135" s="288"/>
      <c r="N135" s="288"/>
      <c r="O135" s="288"/>
      <c r="P135" s="288"/>
      <c r="Q135" s="350"/>
      <c r="R135" s="120"/>
      <c r="S135" s="120"/>
      <c r="T135" s="120"/>
      <c r="U135" s="120"/>
      <c r="V135" s="120"/>
      <c r="W135" s="120"/>
      <c r="X135" s="120"/>
      <c r="AH135" s="251"/>
      <c r="AI135" s="251"/>
      <c r="AJ135" s="251"/>
      <c r="AK135" s="251"/>
      <c r="AL135" s="251"/>
    </row>
    <row r="136" spans="1:38" x14ac:dyDescent="0.35">
      <c r="A136" s="288"/>
      <c r="B136" s="304" t="str">
        <f t="shared" si="56"/>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88"/>
      <c r="K136" s="350"/>
      <c r="L136" s="288"/>
      <c r="M136" s="288"/>
      <c r="N136" s="288"/>
      <c r="O136" s="288"/>
      <c r="P136" s="288"/>
      <c r="Q136" s="350"/>
      <c r="R136" s="120"/>
      <c r="S136" s="120"/>
      <c r="T136" s="120"/>
      <c r="U136" s="120"/>
      <c r="V136" s="120"/>
      <c r="W136" s="120"/>
      <c r="X136" s="120"/>
      <c r="AH136" s="251"/>
      <c r="AI136" s="251"/>
      <c r="AJ136" s="251"/>
      <c r="AK136" s="251"/>
      <c r="AL136" s="251"/>
    </row>
    <row r="137" spans="1:38" x14ac:dyDescent="0.35">
      <c r="A137" s="288"/>
      <c r="B137" s="304" t="str">
        <f t="shared" si="56"/>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88"/>
      <c r="K137" s="350"/>
      <c r="L137" s="288"/>
      <c r="M137" s="288"/>
      <c r="N137" s="288"/>
      <c r="O137" s="288"/>
      <c r="P137" s="288"/>
      <c r="Q137" s="350"/>
      <c r="R137" s="120"/>
      <c r="S137" s="120"/>
      <c r="T137" s="120"/>
      <c r="U137" s="120"/>
      <c r="V137" s="120"/>
      <c r="W137" s="120"/>
      <c r="X137" s="120"/>
      <c r="AH137" s="251"/>
      <c r="AI137" s="251"/>
      <c r="AJ137" s="251"/>
      <c r="AK137" s="251"/>
      <c r="AL137" s="251"/>
    </row>
    <row r="138" spans="1:38" x14ac:dyDescent="0.35">
      <c r="A138" s="288"/>
      <c r="B138" s="304" t="str">
        <f t="shared" si="56"/>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88"/>
      <c r="K138" s="350"/>
      <c r="L138" s="288"/>
      <c r="M138" s="288"/>
      <c r="N138" s="288"/>
      <c r="O138" s="288"/>
      <c r="P138" s="288"/>
      <c r="Q138" s="350"/>
      <c r="R138" s="120"/>
      <c r="S138" s="120"/>
      <c r="T138" s="120"/>
      <c r="U138" s="120"/>
      <c r="V138" s="120"/>
      <c r="W138" s="120"/>
      <c r="X138" s="120"/>
      <c r="AH138" s="251"/>
      <c r="AI138" s="251"/>
      <c r="AJ138" s="251"/>
      <c r="AK138" s="251"/>
      <c r="AL138" s="251"/>
    </row>
    <row r="139" spans="1:38" x14ac:dyDescent="0.35">
      <c r="A139" s="288"/>
      <c r="B139" s="304" t="str">
        <f t="shared" si="56"/>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88"/>
      <c r="K139" s="350"/>
      <c r="L139" s="288"/>
      <c r="M139" s="288"/>
      <c r="N139" s="288"/>
      <c r="O139" s="288"/>
      <c r="P139" s="288"/>
      <c r="Q139" s="350"/>
      <c r="R139" s="120"/>
      <c r="S139" s="120"/>
      <c r="T139" s="120"/>
      <c r="U139" s="120"/>
      <c r="V139" s="120"/>
      <c r="W139" s="120"/>
      <c r="X139" s="120"/>
      <c r="AH139" s="251"/>
      <c r="AI139" s="251"/>
      <c r="AJ139" s="251"/>
      <c r="AK139" s="251"/>
      <c r="AL139" s="251"/>
    </row>
    <row r="140" spans="1:38" x14ac:dyDescent="0.35">
      <c r="A140" s="288"/>
      <c r="B140" s="304" t="str">
        <f t="shared" si="56"/>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88"/>
      <c r="K140" s="350"/>
      <c r="L140" s="288"/>
      <c r="M140" s="288"/>
      <c r="N140" s="288"/>
      <c r="O140" s="288"/>
      <c r="P140" s="288"/>
      <c r="Q140" s="350"/>
      <c r="R140" s="120"/>
      <c r="S140" s="120"/>
      <c r="T140" s="120"/>
      <c r="U140" s="120"/>
      <c r="V140" s="120"/>
      <c r="W140" s="120"/>
      <c r="X140" s="120"/>
      <c r="AH140" s="251"/>
      <c r="AI140" s="251"/>
      <c r="AJ140" s="251"/>
      <c r="AK140" s="251"/>
      <c r="AL140" s="251"/>
    </row>
    <row r="141" spans="1:38" x14ac:dyDescent="0.35">
      <c r="A141" s="288"/>
      <c r="B141" s="245"/>
      <c r="C141" s="184"/>
      <c r="D141" s="167" t="e">
        <f>SUM(D134:D140)</f>
        <v>#REF!</v>
      </c>
      <c r="E141" s="167" t="e">
        <f t="shared" ref="E141:I141" si="57">SUM(E134:E140)</f>
        <v>#REF!</v>
      </c>
      <c r="F141" s="167" t="e">
        <f t="shared" si="57"/>
        <v>#REF!</v>
      </c>
      <c r="G141" s="167" t="e">
        <f t="shared" si="57"/>
        <v>#REF!</v>
      </c>
      <c r="H141" s="167" t="e">
        <f t="shared" si="57"/>
        <v>#REF!</v>
      </c>
      <c r="I141" s="167" t="e">
        <f t="shared" si="57"/>
        <v>#REF!</v>
      </c>
      <c r="J141" s="288"/>
      <c r="K141" s="350"/>
      <c r="L141" s="288"/>
      <c r="M141" s="288"/>
      <c r="N141" s="288"/>
      <c r="O141" s="288"/>
      <c r="P141" s="288"/>
      <c r="Q141" s="350"/>
      <c r="R141" s="120"/>
      <c r="S141" s="120"/>
      <c r="T141" s="120"/>
      <c r="U141" s="120"/>
      <c r="V141" s="120"/>
      <c r="W141" s="120"/>
      <c r="X141" s="120"/>
      <c r="AH141" s="251"/>
      <c r="AI141" s="251"/>
      <c r="AJ141" s="251"/>
      <c r="AK141" s="251"/>
      <c r="AL141" s="251"/>
    </row>
    <row r="142" spans="1:38" x14ac:dyDescent="0.35">
      <c r="A142" s="288"/>
      <c r="B142" s="272"/>
      <c r="C142" s="223"/>
      <c r="D142" s="250" t="s">
        <v>736</v>
      </c>
      <c r="E142" s="167" t="e">
        <f>E141-$D$141</f>
        <v>#REF!</v>
      </c>
      <c r="F142" s="167" t="e">
        <f>F141-$D$141</f>
        <v>#REF!</v>
      </c>
      <c r="G142" s="167" t="e">
        <f>G141-$D$141</f>
        <v>#REF!</v>
      </c>
      <c r="H142" s="167" t="e">
        <f>H141-$D$141</f>
        <v>#REF!</v>
      </c>
      <c r="I142" s="167" t="e">
        <f>I141-$D$141</f>
        <v>#REF!</v>
      </c>
      <c r="J142" s="288"/>
      <c r="K142" s="350"/>
      <c r="L142" s="288"/>
      <c r="M142" s="288"/>
      <c r="N142" s="288"/>
      <c r="O142" s="288"/>
      <c r="P142" s="288"/>
      <c r="Q142" s="350"/>
      <c r="R142" s="120"/>
      <c r="T142" s="120"/>
    </row>
    <row r="143" spans="1:38" x14ac:dyDescent="0.35">
      <c r="A143" s="288"/>
      <c r="B143" s="288"/>
      <c r="C143" s="288"/>
      <c r="D143" s="288"/>
      <c r="E143" s="288"/>
      <c r="F143" s="288"/>
      <c r="G143" s="288"/>
      <c r="H143" s="288"/>
      <c r="I143" s="288"/>
      <c r="J143" s="288"/>
      <c r="K143" s="350"/>
      <c r="L143" s="288"/>
      <c r="M143" s="288"/>
      <c r="N143" s="288"/>
      <c r="O143" s="288"/>
      <c r="P143" s="288"/>
      <c r="Q143" s="350"/>
      <c r="R143" s="120"/>
      <c r="T143" s="120"/>
    </row>
    <row r="144" spans="1:38" x14ac:dyDescent="0.35">
      <c r="A144" s="255"/>
      <c r="B144" s="286" t="s">
        <v>737</v>
      </c>
      <c r="C144" s="274"/>
      <c r="D144" s="275"/>
      <c r="E144" s="276"/>
      <c r="F144" s="277"/>
      <c r="G144" s="277"/>
      <c r="H144" s="277"/>
      <c r="I144" s="371"/>
      <c r="J144" s="255"/>
      <c r="K144" s="255"/>
      <c r="L144" s="255"/>
      <c r="M144" s="255"/>
      <c r="N144" s="255"/>
      <c r="O144" s="255"/>
      <c r="P144" s="255"/>
      <c r="Q144" s="196"/>
      <c r="R144" s="120"/>
      <c r="S144" s="120"/>
      <c r="T144" s="120"/>
      <c r="U144" s="120"/>
      <c r="V144" s="120"/>
      <c r="W144" s="120"/>
      <c r="X144" s="120"/>
      <c r="AH144" s="251"/>
      <c r="AI144" s="251"/>
      <c r="AJ144" s="251"/>
      <c r="AK144" s="251"/>
      <c r="AL144" s="251"/>
    </row>
    <row r="145" spans="1:38" x14ac:dyDescent="0.35">
      <c r="A145" s="255"/>
      <c r="B145" s="344" t="s">
        <v>738</v>
      </c>
      <c r="C145" s="345"/>
      <c r="D145" s="345"/>
      <c r="E145" s="345"/>
      <c r="F145" s="345"/>
      <c r="G145" s="345"/>
      <c r="H145" s="345"/>
      <c r="I145" s="195"/>
      <c r="J145" s="196"/>
      <c r="K145" s="255"/>
      <c r="L145" s="255"/>
      <c r="M145" s="255"/>
      <c r="N145" s="255"/>
      <c r="O145" s="255"/>
      <c r="P145" s="255"/>
      <c r="Q145" s="196"/>
      <c r="R145" s="120"/>
      <c r="S145" s="120"/>
      <c r="T145" s="120"/>
      <c r="U145" s="120"/>
      <c r="V145" s="120"/>
      <c r="W145" s="120"/>
      <c r="X145" s="120"/>
      <c r="AH145" s="251"/>
      <c r="AI145" s="251"/>
      <c r="AJ145" s="251"/>
      <c r="AK145" s="251"/>
      <c r="AL145" s="251"/>
    </row>
    <row r="146" spans="1:38" ht="43.5" x14ac:dyDescent="0.35">
      <c r="A146" s="255"/>
      <c r="B146" s="244" t="s">
        <v>649</v>
      </c>
      <c r="C146" s="152" t="s">
        <v>715</v>
      </c>
      <c r="D146" s="661" t="s">
        <v>698</v>
      </c>
      <c r="E146" s="222" t="s">
        <v>551</v>
      </c>
      <c r="F146" s="222" t="s">
        <v>552</v>
      </c>
      <c r="G146" s="151" t="s">
        <v>673</v>
      </c>
      <c r="H146" s="151" t="s">
        <v>674</v>
      </c>
      <c r="I146" s="222" t="s">
        <v>675</v>
      </c>
      <c r="J146" s="255"/>
      <c r="K146" s="255"/>
      <c r="L146" s="255"/>
      <c r="M146" s="255"/>
      <c r="N146" s="255"/>
      <c r="O146" s="255"/>
      <c r="P146" s="255"/>
      <c r="Q146" s="196"/>
      <c r="R146" s="120"/>
      <c r="S146" s="120"/>
      <c r="T146" s="120"/>
      <c r="U146" s="120"/>
      <c r="V146" s="120"/>
      <c r="W146" s="120"/>
      <c r="X146" s="120"/>
      <c r="AH146" s="251"/>
      <c r="AI146" s="251"/>
      <c r="AJ146" s="251"/>
      <c r="AK146" s="251"/>
      <c r="AL146" s="251"/>
    </row>
    <row r="147" spans="1:38" x14ac:dyDescent="0.35">
      <c r="A147" s="255"/>
      <c r="B147" s="304" t="str">
        <f>B134</f>
        <v>Treatment A</v>
      </c>
      <c r="C147" s="136">
        <f>'Capacity inputs'!G20</f>
        <v>0</v>
      </c>
      <c r="D147" s="115">
        <f>$C147*'Financial impact (cash)'!D13</f>
        <v>0</v>
      </c>
      <c r="E147" s="115">
        <f>$C147*'Financial impact (cash)'!E13</f>
        <v>0</v>
      </c>
      <c r="F147" s="115">
        <f>$C147*'Financial impact (cash)'!F13</f>
        <v>0</v>
      </c>
      <c r="G147" s="115">
        <f>$C147*'Financial impact (cash)'!G13</f>
        <v>0</v>
      </c>
      <c r="H147" s="115">
        <f>$C147*'Financial impact (cash)'!H13</f>
        <v>0</v>
      </c>
      <c r="I147" s="115">
        <f>$C147*'Financial impact (cash)'!I13</f>
        <v>0</v>
      </c>
      <c r="J147" s="255"/>
      <c r="K147" s="255"/>
      <c r="L147" s="255"/>
      <c r="M147" s="255"/>
      <c r="N147" s="255"/>
      <c r="O147" s="255"/>
      <c r="P147" s="255"/>
      <c r="Q147" s="196"/>
      <c r="R147" s="120"/>
      <c r="S147" s="120"/>
      <c r="T147" s="120"/>
      <c r="U147" s="120"/>
      <c r="V147" s="120"/>
      <c r="W147" s="120"/>
      <c r="X147" s="120"/>
      <c r="AH147" s="251"/>
      <c r="AI147" s="251"/>
      <c r="AJ147" s="251"/>
      <c r="AK147" s="251"/>
      <c r="AL147" s="251"/>
    </row>
    <row r="148" spans="1:38" x14ac:dyDescent="0.35">
      <c r="A148" s="255"/>
      <c r="B148" s="304" t="str">
        <f t="shared" ref="B148:B153" si="58">B135</f>
        <v>Treatment B</v>
      </c>
      <c r="C148" s="136">
        <f>'Capacity inputs'!H20</f>
        <v>0</v>
      </c>
      <c r="D148" s="115">
        <f>$C148*'Financial impact (cash)'!D14</f>
        <v>0</v>
      </c>
      <c r="E148" s="115">
        <f>$C148*'Financial impact (cash)'!E14</f>
        <v>0</v>
      </c>
      <c r="F148" s="115">
        <f>$C148*'Financial impact (cash)'!F14</f>
        <v>0</v>
      </c>
      <c r="G148" s="115">
        <f>$C148*'Financial impact (cash)'!G14</f>
        <v>0</v>
      </c>
      <c r="H148" s="115">
        <f>$C148*'Financial impact (cash)'!H14</f>
        <v>0</v>
      </c>
      <c r="I148" s="115">
        <f>$C148*'Financial impact (cash)'!I14</f>
        <v>0</v>
      </c>
      <c r="J148" s="255"/>
      <c r="K148" s="255"/>
      <c r="L148" s="255"/>
      <c r="M148" s="255"/>
      <c r="N148" s="255"/>
      <c r="O148" s="255"/>
      <c r="P148" s="255"/>
      <c r="Q148" s="196"/>
      <c r="R148" s="120"/>
      <c r="S148" s="120"/>
      <c r="T148" s="120"/>
      <c r="U148" s="120"/>
      <c r="V148" s="120"/>
      <c r="W148" s="120"/>
      <c r="X148" s="120"/>
      <c r="AH148" s="251"/>
      <c r="AI148" s="251"/>
      <c r="AJ148" s="251"/>
      <c r="AK148" s="251"/>
      <c r="AL148" s="251"/>
    </row>
    <row r="149" spans="1:38" x14ac:dyDescent="0.35">
      <c r="A149" s="255"/>
      <c r="B149" s="304" t="str">
        <f t="shared" si="58"/>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55"/>
      <c r="K149" s="255"/>
      <c r="L149" s="255"/>
      <c r="M149" s="255"/>
      <c r="N149" s="255"/>
      <c r="O149" s="255"/>
      <c r="P149" s="255"/>
      <c r="Q149" s="196"/>
      <c r="R149" s="120"/>
      <c r="S149" s="120"/>
      <c r="T149" s="120"/>
      <c r="U149" s="120"/>
      <c r="V149" s="120"/>
      <c r="W149" s="120"/>
      <c r="X149" s="120"/>
      <c r="AH149" s="251"/>
      <c r="AI149" s="251"/>
      <c r="AJ149" s="251"/>
      <c r="AK149" s="251"/>
      <c r="AL149" s="251"/>
    </row>
    <row r="150" spans="1:38" x14ac:dyDescent="0.35">
      <c r="A150" s="255"/>
      <c r="B150" s="304" t="str">
        <f t="shared" si="58"/>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55"/>
      <c r="K150" s="255"/>
      <c r="L150" s="255"/>
      <c r="M150" s="255"/>
      <c r="N150" s="255"/>
      <c r="O150" s="255"/>
      <c r="P150" s="255"/>
      <c r="Q150" s="196"/>
      <c r="R150" s="120"/>
      <c r="S150" s="120"/>
      <c r="T150" s="120"/>
      <c r="U150" s="120"/>
      <c r="V150" s="120"/>
      <c r="W150" s="120"/>
      <c r="X150" s="120"/>
      <c r="AH150" s="251"/>
      <c r="AI150" s="251"/>
      <c r="AJ150" s="251"/>
      <c r="AK150" s="251"/>
      <c r="AL150" s="251"/>
    </row>
    <row r="151" spans="1:38" x14ac:dyDescent="0.35">
      <c r="A151" s="255"/>
      <c r="B151" s="304" t="str">
        <f t="shared" si="58"/>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55"/>
      <c r="K151" s="255"/>
      <c r="L151" s="255"/>
      <c r="M151" s="255"/>
      <c r="N151" s="255"/>
      <c r="O151" s="255"/>
      <c r="P151" s="255"/>
      <c r="Q151" s="196"/>
      <c r="R151" s="120"/>
      <c r="S151" s="120"/>
      <c r="T151" s="120"/>
      <c r="U151" s="120"/>
      <c r="V151" s="120"/>
      <c r="W151" s="120"/>
      <c r="X151" s="120"/>
      <c r="AH151" s="251"/>
      <c r="AI151" s="251"/>
      <c r="AJ151" s="251"/>
      <c r="AK151" s="251"/>
      <c r="AL151" s="251"/>
    </row>
    <row r="152" spans="1:38" x14ac:dyDescent="0.35">
      <c r="A152" s="255"/>
      <c r="B152" s="304" t="str">
        <f t="shared" si="58"/>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55"/>
      <c r="K152" s="255"/>
      <c r="L152" s="255"/>
      <c r="M152" s="255"/>
      <c r="N152" s="255"/>
      <c r="O152" s="255"/>
      <c r="P152" s="255"/>
      <c r="Q152" s="196"/>
      <c r="R152" s="120"/>
      <c r="S152" s="120"/>
      <c r="T152" s="120"/>
      <c r="U152" s="120"/>
      <c r="V152" s="120"/>
      <c r="W152" s="120"/>
      <c r="X152" s="120"/>
      <c r="AH152" s="251"/>
      <c r="AI152" s="251"/>
      <c r="AJ152" s="251"/>
      <c r="AK152" s="251"/>
      <c r="AL152" s="251"/>
    </row>
    <row r="153" spans="1:38" x14ac:dyDescent="0.35">
      <c r="A153" s="255"/>
      <c r="B153" s="304" t="str">
        <f t="shared" si="58"/>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55"/>
      <c r="K153" s="255"/>
      <c r="L153" s="255"/>
      <c r="M153" s="255"/>
      <c r="N153" s="255"/>
      <c r="O153" s="255"/>
      <c r="P153" s="255"/>
      <c r="Q153" s="196"/>
      <c r="R153" s="120"/>
      <c r="S153" s="120"/>
      <c r="T153" s="120"/>
      <c r="U153" s="120"/>
      <c r="V153" s="120"/>
      <c r="W153" s="120"/>
      <c r="X153" s="120"/>
      <c r="AH153" s="251"/>
      <c r="AI153" s="251"/>
      <c r="AJ153" s="251"/>
      <c r="AK153" s="251"/>
      <c r="AL153" s="251"/>
    </row>
    <row r="154" spans="1:38" x14ac:dyDescent="0.35">
      <c r="A154" s="255"/>
      <c r="B154" s="245"/>
      <c r="C154" s="184"/>
      <c r="D154" s="167" t="e">
        <f>SUM(D147:D153)</f>
        <v>#REF!</v>
      </c>
      <c r="E154" s="167" t="e">
        <f t="shared" ref="E154:I154" si="59">SUM(E147:E153)</f>
        <v>#REF!</v>
      </c>
      <c r="F154" s="167" t="e">
        <f t="shared" si="59"/>
        <v>#REF!</v>
      </c>
      <c r="G154" s="167" t="e">
        <f t="shared" si="59"/>
        <v>#REF!</v>
      </c>
      <c r="H154" s="167" t="e">
        <f t="shared" si="59"/>
        <v>#REF!</v>
      </c>
      <c r="I154" s="167" t="e">
        <f t="shared" si="59"/>
        <v>#REF!</v>
      </c>
      <c r="J154" s="255"/>
      <c r="K154" s="255"/>
      <c r="L154" s="255"/>
      <c r="M154" s="255"/>
      <c r="N154" s="255"/>
      <c r="O154" s="255"/>
      <c r="P154" s="255"/>
      <c r="Q154" s="196"/>
      <c r="R154" s="120"/>
      <c r="S154" s="120"/>
      <c r="T154" s="120"/>
      <c r="U154" s="120"/>
      <c r="V154" s="120"/>
      <c r="W154" s="120"/>
      <c r="X154" s="120"/>
      <c r="AH154" s="251"/>
      <c r="AI154" s="251"/>
      <c r="AJ154" s="251"/>
      <c r="AK154" s="251"/>
      <c r="AL154" s="251"/>
    </row>
    <row r="155" spans="1:38" x14ac:dyDescent="0.35">
      <c r="A155" s="255"/>
      <c r="B155" s="272"/>
      <c r="C155" s="223"/>
      <c r="D155" s="250" t="s">
        <v>739</v>
      </c>
      <c r="E155" s="167" t="e">
        <f>E154-$D$154</f>
        <v>#REF!</v>
      </c>
      <c r="F155" s="167" t="e">
        <f>F154-$D$154</f>
        <v>#REF!</v>
      </c>
      <c r="G155" s="167" t="e">
        <f>G154-$D$154</f>
        <v>#REF!</v>
      </c>
      <c r="H155" s="167" t="e">
        <f>H154-$D$154</f>
        <v>#REF!</v>
      </c>
      <c r="I155" s="167" t="e">
        <f>I154-$D$154</f>
        <v>#REF!</v>
      </c>
      <c r="J155" s="255"/>
      <c r="K155" s="255"/>
      <c r="L155" s="255"/>
      <c r="M155" s="255"/>
      <c r="N155" s="255"/>
      <c r="O155" s="255"/>
      <c r="P155" s="255"/>
      <c r="Q155" s="196"/>
      <c r="R155" s="120"/>
      <c r="T155" s="120"/>
    </row>
    <row r="156" spans="1:38" x14ac:dyDescent="0.35">
      <c r="A156" s="255"/>
      <c r="B156" s="287"/>
      <c r="C156" s="196"/>
      <c r="D156" s="196"/>
      <c r="E156" s="196"/>
      <c r="F156" s="196"/>
      <c r="G156" s="196"/>
      <c r="H156" s="196"/>
      <c r="I156" s="196"/>
      <c r="J156" s="255"/>
      <c r="K156" s="255"/>
      <c r="L156" s="255"/>
      <c r="M156" s="255"/>
      <c r="N156" s="255"/>
      <c r="O156" s="255"/>
      <c r="P156" s="255"/>
      <c r="Q156" s="196"/>
      <c r="R156" s="120"/>
      <c r="T156" s="120"/>
    </row>
    <row r="157" spans="1:38" x14ac:dyDescent="0.35">
      <c r="A157" s="255"/>
      <c r="B157" s="344" t="s">
        <v>740</v>
      </c>
      <c r="C157" s="345"/>
      <c r="D157" s="345"/>
      <c r="E157" s="345"/>
      <c r="F157" s="345"/>
      <c r="G157" s="345"/>
      <c r="H157" s="345"/>
      <c r="I157" s="195"/>
      <c r="J157" s="255"/>
      <c r="K157" s="255"/>
      <c r="L157" s="255"/>
      <c r="M157" s="255"/>
      <c r="N157" s="255"/>
      <c r="O157" s="255"/>
      <c r="P157" s="255"/>
      <c r="Q157" s="196"/>
      <c r="R157" s="120"/>
      <c r="S157" s="120"/>
      <c r="T157" s="120"/>
      <c r="U157" s="120"/>
      <c r="V157" s="120"/>
      <c r="W157" s="120"/>
      <c r="X157" s="120"/>
      <c r="AH157" s="251"/>
      <c r="AI157" s="251"/>
      <c r="AJ157" s="251"/>
      <c r="AK157" s="251"/>
      <c r="AL157" s="251"/>
    </row>
    <row r="158" spans="1:38" ht="43.5" x14ac:dyDescent="0.35">
      <c r="A158" s="255"/>
      <c r="B158" s="244" t="s">
        <v>649</v>
      </c>
      <c r="C158" s="152" t="s">
        <v>715</v>
      </c>
      <c r="D158" s="661" t="s">
        <v>698</v>
      </c>
      <c r="E158" s="222" t="s">
        <v>551</v>
      </c>
      <c r="F158" s="222" t="s">
        <v>552</v>
      </c>
      <c r="G158" s="151" t="s">
        <v>673</v>
      </c>
      <c r="H158" s="151" t="s">
        <v>674</v>
      </c>
      <c r="I158" s="222" t="s">
        <v>675</v>
      </c>
      <c r="J158" s="255"/>
      <c r="K158" s="255"/>
      <c r="L158" s="255"/>
      <c r="M158" s="255"/>
      <c r="N158" s="255"/>
      <c r="O158" s="255"/>
      <c r="P158" s="255"/>
      <c r="Q158" s="196"/>
      <c r="R158" s="120"/>
      <c r="S158" s="120"/>
      <c r="T158" s="120"/>
      <c r="U158" s="120"/>
      <c r="V158" s="120"/>
      <c r="W158" s="120"/>
      <c r="X158" s="120"/>
      <c r="AH158" s="251"/>
      <c r="AI158" s="251"/>
      <c r="AJ158" s="251"/>
      <c r="AK158" s="251"/>
      <c r="AL158" s="251"/>
    </row>
    <row r="159" spans="1:38" x14ac:dyDescent="0.35">
      <c r="A159" s="255"/>
      <c r="B159" s="304" t="str">
        <f>B147</f>
        <v>Treatment A</v>
      </c>
      <c r="C159" s="136">
        <f>'Capacity inputs'!G21</f>
        <v>0</v>
      </c>
      <c r="D159" s="115">
        <f>'Financial impact (cash)'!D13*'Capacity (local prices)'!$C159</f>
        <v>0</v>
      </c>
      <c r="E159" s="115">
        <f>'Financial impact (cash)'!E13*'Capacity (local prices)'!$C159</f>
        <v>0</v>
      </c>
      <c r="F159" s="115">
        <f>'Financial impact (cash)'!F13*'Capacity (local prices)'!$C159</f>
        <v>0</v>
      </c>
      <c r="G159" s="115">
        <f>'Financial impact (cash)'!G13*'Capacity (local prices)'!$C159</f>
        <v>0</v>
      </c>
      <c r="H159" s="115">
        <f>'Financial impact (cash)'!H13*'Capacity (local prices)'!$C159</f>
        <v>0</v>
      </c>
      <c r="I159" s="115">
        <f>'Financial impact (cash)'!I13*'Capacity (local prices)'!$C159</f>
        <v>0</v>
      </c>
      <c r="J159" s="255"/>
      <c r="K159" s="255"/>
      <c r="L159" s="255"/>
      <c r="M159" s="255"/>
      <c r="N159" s="255"/>
      <c r="O159" s="255"/>
      <c r="P159" s="255"/>
      <c r="Q159" s="196"/>
      <c r="R159" s="120"/>
      <c r="S159" s="120"/>
      <c r="T159" s="120"/>
      <c r="U159" s="120"/>
      <c r="V159" s="120"/>
      <c r="W159" s="120"/>
      <c r="X159" s="120"/>
      <c r="AH159" s="251"/>
      <c r="AI159" s="251"/>
      <c r="AJ159" s="251"/>
      <c r="AK159" s="251"/>
      <c r="AL159" s="251"/>
    </row>
    <row r="160" spans="1:38" x14ac:dyDescent="0.35">
      <c r="A160" s="255"/>
      <c r="B160" s="304" t="str">
        <f t="shared" ref="B160:B165" si="60">B148</f>
        <v>Treatment B</v>
      </c>
      <c r="C160" s="136">
        <f>'Capacity inputs'!H21</f>
        <v>0</v>
      </c>
      <c r="D160" s="115">
        <f>'Financial impact (cash)'!D14*'Capacity (local prices)'!$C160</f>
        <v>0</v>
      </c>
      <c r="E160" s="115">
        <f>'Financial impact (cash)'!E14*'Capacity (local prices)'!$C160</f>
        <v>0</v>
      </c>
      <c r="F160" s="115">
        <f>'Financial impact (cash)'!F14*'Capacity (local prices)'!$C160</f>
        <v>0</v>
      </c>
      <c r="G160" s="115">
        <f>'Financial impact (cash)'!G14*'Capacity (local prices)'!$C160</f>
        <v>0</v>
      </c>
      <c r="H160" s="115">
        <f>'Financial impact (cash)'!H14*'Capacity (local prices)'!$C160</f>
        <v>0</v>
      </c>
      <c r="I160" s="115">
        <f>'Financial impact (cash)'!I14*'Capacity (local prices)'!$C160</f>
        <v>0</v>
      </c>
      <c r="J160" s="255"/>
      <c r="K160" s="255"/>
      <c r="L160" s="255"/>
      <c r="M160" s="255"/>
      <c r="N160" s="255"/>
      <c r="O160" s="255"/>
      <c r="P160" s="255"/>
      <c r="Q160" s="196"/>
      <c r="R160" s="120"/>
      <c r="S160" s="120"/>
      <c r="T160" s="120"/>
      <c r="U160" s="120"/>
      <c r="V160" s="120"/>
      <c r="W160" s="120"/>
      <c r="X160" s="120"/>
      <c r="AH160" s="251"/>
      <c r="AI160" s="251"/>
      <c r="AJ160" s="251"/>
      <c r="AK160" s="251"/>
      <c r="AL160" s="251"/>
    </row>
    <row r="161" spans="1:38" x14ac:dyDescent="0.35">
      <c r="A161" s="255"/>
      <c r="B161" s="304" t="str">
        <f t="shared" si="60"/>
        <v>Treatment C</v>
      </c>
      <c r="C161" s="136">
        <f>'Capacity inputs'!I21</f>
        <v>0</v>
      </c>
      <c r="D161" s="115" t="e">
        <f>'Financial impact (cash)'!D15*'Capacity (local prices)'!$C161</f>
        <v>#REF!</v>
      </c>
      <c r="E161" s="115" t="e">
        <f>'Financial impact (cash)'!E15*'Capacity (local prices)'!$C161</f>
        <v>#REF!</v>
      </c>
      <c r="F161" s="115" t="e">
        <f>'Financial impact (cash)'!F15*'Capacity (local prices)'!$C161</f>
        <v>#REF!</v>
      </c>
      <c r="G161" s="115" t="e">
        <f>'Financial impact (cash)'!G15*'Capacity (local prices)'!$C161</f>
        <v>#REF!</v>
      </c>
      <c r="H161" s="115" t="e">
        <f>'Financial impact (cash)'!H15*'Capacity (local prices)'!$C161</f>
        <v>#REF!</v>
      </c>
      <c r="I161" s="115" t="e">
        <f>'Financial impact (cash)'!I15*'Capacity (local prices)'!$C161</f>
        <v>#REF!</v>
      </c>
      <c r="J161" s="255"/>
      <c r="K161" s="255"/>
      <c r="L161" s="255"/>
      <c r="M161" s="255"/>
      <c r="N161" s="255"/>
      <c r="O161" s="255"/>
      <c r="P161" s="255"/>
      <c r="Q161" s="196"/>
      <c r="R161" s="120"/>
      <c r="S161" s="120"/>
      <c r="T161" s="120"/>
      <c r="U161" s="120"/>
      <c r="V161" s="120"/>
      <c r="W161" s="120"/>
      <c r="X161" s="120"/>
      <c r="AH161" s="251"/>
      <c r="AI161" s="251"/>
      <c r="AJ161" s="251"/>
      <c r="AK161" s="251"/>
      <c r="AL161" s="251"/>
    </row>
    <row r="162" spans="1:38" x14ac:dyDescent="0.35">
      <c r="A162" s="255"/>
      <c r="B162" s="304" t="str">
        <f t="shared" si="60"/>
        <v>Treatment D</v>
      </c>
      <c r="C162" s="136">
        <f>'Capacity inputs'!J21</f>
        <v>0</v>
      </c>
      <c r="D162" s="115" t="e">
        <f>'Financial impact (cash)'!D16*'Capacity (local prices)'!$C162</f>
        <v>#REF!</v>
      </c>
      <c r="E162" s="115" t="e">
        <f>'Financial impact (cash)'!E16*'Capacity (local prices)'!$C162</f>
        <v>#REF!</v>
      </c>
      <c r="F162" s="115" t="e">
        <f>'Financial impact (cash)'!F16*'Capacity (local prices)'!$C162</f>
        <v>#REF!</v>
      </c>
      <c r="G162" s="115" t="e">
        <f>'Financial impact (cash)'!G16*'Capacity (local prices)'!$C162</f>
        <v>#REF!</v>
      </c>
      <c r="H162" s="115" t="e">
        <f>'Financial impact (cash)'!H16*'Capacity (local prices)'!$C162</f>
        <v>#REF!</v>
      </c>
      <c r="I162" s="115" t="e">
        <f>'Financial impact (cash)'!I16*'Capacity (local prices)'!$C162</f>
        <v>#REF!</v>
      </c>
      <c r="J162" s="255"/>
      <c r="K162" s="255"/>
      <c r="L162" s="255"/>
      <c r="M162" s="255"/>
      <c r="N162" s="255"/>
      <c r="O162" s="255"/>
      <c r="P162" s="255"/>
      <c r="Q162" s="196"/>
      <c r="R162" s="120"/>
      <c r="S162" s="120"/>
      <c r="T162" s="120"/>
      <c r="U162" s="120"/>
      <c r="V162" s="120"/>
      <c r="W162" s="120"/>
      <c r="X162" s="120"/>
      <c r="AH162" s="251"/>
      <c r="AI162" s="251"/>
      <c r="AJ162" s="251"/>
      <c r="AK162" s="251"/>
      <c r="AL162" s="251"/>
    </row>
    <row r="163" spans="1:38" x14ac:dyDescent="0.35">
      <c r="A163" s="255"/>
      <c r="B163" s="304" t="str">
        <f t="shared" si="60"/>
        <v>Treatment E</v>
      </c>
      <c r="C163" s="136">
        <f>'Capacity inputs'!K21</f>
        <v>0</v>
      </c>
      <c r="D163" s="115" t="e">
        <f>'Financial impact (cash)'!D17*'Capacity (local prices)'!$C163</f>
        <v>#REF!</v>
      </c>
      <c r="E163" s="115" t="e">
        <f>'Financial impact (cash)'!E17*'Capacity (local prices)'!$C163</f>
        <v>#REF!</v>
      </c>
      <c r="F163" s="115" t="e">
        <f>'Financial impact (cash)'!F17*'Capacity (local prices)'!$C163</f>
        <v>#REF!</v>
      </c>
      <c r="G163" s="115" t="e">
        <f>'Financial impact (cash)'!G17*'Capacity (local prices)'!$C163</f>
        <v>#REF!</v>
      </c>
      <c r="H163" s="115" t="e">
        <f>'Financial impact (cash)'!H17*'Capacity (local prices)'!$C163</f>
        <v>#REF!</v>
      </c>
      <c r="I163" s="115" t="e">
        <f>'Financial impact (cash)'!I17*'Capacity (local prices)'!$C163</f>
        <v>#REF!</v>
      </c>
      <c r="J163" s="255"/>
      <c r="K163" s="255"/>
      <c r="L163" s="255"/>
      <c r="M163" s="255"/>
      <c r="N163" s="255"/>
      <c r="O163" s="255"/>
      <c r="P163" s="255"/>
      <c r="Q163" s="196"/>
      <c r="R163" s="120"/>
      <c r="S163" s="120"/>
      <c r="T163" s="120"/>
      <c r="U163" s="120"/>
      <c r="V163" s="120"/>
      <c r="W163" s="120"/>
      <c r="X163" s="120"/>
      <c r="AH163" s="251"/>
      <c r="AI163" s="251"/>
      <c r="AJ163" s="251"/>
      <c r="AK163" s="251"/>
      <c r="AL163" s="251"/>
    </row>
    <row r="164" spans="1:38" x14ac:dyDescent="0.35">
      <c r="A164" s="255"/>
      <c r="B164" s="304" t="str">
        <f t="shared" si="60"/>
        <v>Treatment F</v>
      </c>
      <c r="C164" s="136">
        <f>'Capacity inputs'!L21</f>
        <v>0</v>
      </c>
      <c r="D164" s="115" t="e">
        <f>'Financial impact (cash)'!D18*'Capacity (local prices)'!$C164</f>
        <v>#REF!</v>
      </c>
      <c r="E164" s="115" t="e">
        <f>'Financial impact (cash)'!E18*'Capacity (local prices)'!$C164</f>
        <v>#REF!</v>
      </c>
      <c r="F164" s="115" t="e">
        <f>'Financial impact (cash)'!F18*'Capacity (local prices)'!$C164</f>
        <v>#REF!</v>
      </c>
      <c r="G164" s="115" t="e">
        <f>'Financial impact (cash)'!G18*'Capacity (local prices)'!$C164</f>
        <v>#REF!</v>
      </c>
      <c r="H164" s="115" t="e">
        <f>'Financial impact (cash)'!H18*'Capacity (local prices)'!$C164</f>
        <v>#REF!</v>
      </c>
      <c r="I164" s="115" t="e">
        <f>'Financial impact (cash)'!I18*'Capacity (local prices)'!$C164</f>
        <v>#REF!</v>
      </c>
      <c r="J164" s="255"/>
      <c r="K164" s="255"/>
      <c r="L164" s="255"/>
      <c r="M164" s="255"/>
      <c r="N164" s="255"/>
      <c r="O164" s="255"/>
      <c r="P164" s="255"/>
      <c r="Q164" s="196"/>
      <c r="R164" s="120"/>
      <c r="S164" s="120"/>
      <c r="T164" s="120"/>
      <c r="U164" s="120"/>
      <c r="V164" s="120"/>
      <c r="W164" s="120"/>
      <c r="X164" s="120"/>
      <c r="AH164" s="251"/>
      <c r="AI164" s="251"/>
      <c r="AJ164" s="251"/>
      <c r="AK164" s="251"/>
      <c r="AL164" s="251"/>
    </row>
    <row r="165" spans="1:38" x14ac:dyDescent="0.35">
      <c r="A165" s="255"/>
      <c r="B165" s="304" t="str">
        <f t="shared" si="60"/>
        <v>Treatment G</v>
      </c>
      <c r="C165" s="136">
        <f>'Capacity inputs'!M21</f>
        <v>0</v>
      </c>
      <c r="D165" s="115" t="e">
        <f>'Financial impact (cash)'!D19*'Capacity (local prices)'!$C165</f>
        <v>#REF!</v>
      </c>
      <c r="E165" s="115" t="e">
        <f>'Financial impact (cash)'!E19*'Capacity (local prices)'!$C165</f>
        <v>#REF!</v>
      </c>
      <c r="F165" s="115" t="e">
        <f>'Financial impact (cash)'!F19*'Capacity (local prices)'!$C165</f>
        <v>#REF!</v>
      </c>
      <c r="G165" s="115" t="e">
        <f>'Financial impact (cash)'!G19*'Capacity (local prices)'!$C165</f>
        <v>#REF!</v>
      </c>
      <c r="H165" s="115" t="e">
        <f>'Financial impact (cash)'!H19*'Capacity (local prices)'!$C165</f>
        <v>#REF!</v>
      </c>
      <c r="I165" s="115" t="e">
        <f>'Financial impact (cash)'!I19*'Capacity (local prices)'!$C165</f>
        <v>#REF!</v>
      </c>
      <c r="J165" s="255"/>
      <c r="K165" s="255"/>
      <c r="L165" s="255"/>
      <c r="M165" s="255"/>
      <c r="N165" s="255"/>
      <c r="O165" s="255"/>
      <c r="P165" s="255"/>
      <c r="Q165" s="196"/>
      <c r="R165" s="120"/>
      <c r="S165" s="120"/>
      <c r="T165" s="120"/>
      <c r="U165" s="120"/>
      <c r="V165" s="120"/>
      <c r="W165" s="120"/>
      <c r="X165" s="120"/>
      <c r="AH165" s="251"/>
      <c r="AI165" s="251"/>
      <c r="AJ165" s="251"/>
      <c r="AK165" s="251"/>
      <c r="AL165" s="251"/>
    </row>
    <row r="166" spans="1:38" x14ac:dyDescent="0.35">
      <c r="A166" s="255"/>
      <c r="B166" s="245"/>
      <c r="C166" s="184"/>
      <c r="D166" s="167" t="e">
        <f>SUM(D159:D165)</f>
        <v>#REF!</v>
      </c>
      <c r="E166" s="167" t="e">
        <f t="shared" ref="E166:I166" si="61">SUM(E159:E165)</f>
        <v>#REF!</v>
      </c>
      <c r="F166" s="167" t="e">
        <f t="shared" si="61"/>
        <v>#REF!</v>
      </c>
      <c r="G166" s="167" t="e">
        <f t="shared" si="61"/>
        <v>#REF!</v>
      </c>
      <c r="H166" s="167" t="e">
        <f t="shared" si="61"/>
        <v>#REF!</v>
      </c>
      <c r="I166" s="167" t="e">
        <f t="shared" si="61"/>
        <v>#REF!</v>
      </c>
      <c r="J166" s="255"/>
      <c r="K166" s="255"/>
      <c r="L166" s="255"/>
      <c r="M166" s="255"/>
      <c r="N166" s="255"/>
      <c r="O166" s="255"/>
      <c r="P166" s="255"/>
      <c r="Q166" s="196"/>
      <c r="R166" s="120"/>
      <c r="S166" s="120"/>
      <c r="T166" s="120"/>
      <c r="U166" s="120"/>
      <c r="V166" s="120"/>
      <c r="W166" s="120"/>
      <c r="X166" s="120"/>
      <c r="AH166" s="251"/>
      <c r="AI166" s="251"/>
      <c r="AJ166" s="251"/>
      <c r="AK166" s="251"/>
      <c r="AL166" s="251"/>
    </row>
    <row r="167" spans="1:38" x14ac:dyDescent="0.35">
      <c r="A167" s="255"/>
      <c r="B167" s="272"/>
      <c r="C167" s="223"/>
      <c r="D167" s="250" t="s">
        <v>741</v>
      </c>
      <c r="E167" s="167" t="e">
        <f>E166-$D$166</f>
        <v>#REF!</v>
      </c>
      <c r="F167" s="167" t="e">
        <f>F166-$D$166</f>
        <v>#REF!</v>
      </c>
      <c r="G167" s="167" t="e">
        <f>G166-$D$166</f>
        <v>#REF!</v>
      </c>
      <c r="H167" s="167" t="e">
        <f>H166-$D$166</f>
        <v>#REF!</v>
      </c>
      <c r="I167" s="167" t="e">
        <f>I166-$D$166</f>
        <v>#REF!</v>
      </c>
      <c r="J167" s="255"/>
      <c r="K167" s="255"/>
      <c r="L167" s="255"/>
      <c r="M167" s="255"/>
      <c r="N167" s="255"/>
      <c r="O167" s="255"/>
      <c r="P167" s="255"/>
      <c r="Q167" s="196"/>
      <c r="R167" s="120"/>
      <c r="T167" s="120"/>
    </row>
    <row r="168" spans="1:38" x14ac:dyDescent="0.35">
      <c r="A168" s="255"/>
      <c r="B168" s="287"/>
      <c r="C168" s="196"/>
      <c r="D168" s="196"/>
      <c r="E168" s="196"/>
      <c r="F168" s="196"/>
      <c r="G168" s="196"/>
      <c r="H168" s="196"/>
      <c r="I168" s="196"/>
      <c r="J168" s="196"/>
      <c r="K168" s="196"/>
      <c r="L168" s="196"/>
      <c r="M168" s="196"/>
      <c r="N168" s="196"/>
      <c r="O168" s="196"/>
      <c r="P168" s="196"/>
      <c r="Q168" s="196"/>
      <c r="R168" s="120"/>
      <c r="T168" s="120"/>
    </row>
    <row r="169" spans="1:38" x14ac:dyDescent="0.35">
      <c r="A169" s="255"/>
      <c r="B169" s="344" t="s">
        <v>605</v>
      </c>
      <c r="C169" s="345"/>
      <c r="D169" s="345"/>
      <c r="E169" s="345"/>
      <c r="F169" s="345"/>
      <c r="G169" s="345"/>
      <c r="H169" s="345"/>
      <c r="I169" s="195"/>
      <c r="J169" s="196"/>
      <c r="K169" s="196"/>
      <c r="L169" s="196"/>
      <c r="M169" s="196"/>
      <c r="N169" s="196"/>
      <c r="O169" s="196"/>
      <c r="P169" s="196"/>
      <c r="Q169" s="196"/>
      <c r="R169" s="120"/>
      <c r="S169" s="120"/>
      <c r="T169" s="120"/>
      <c r="U169" s="120"/>
      <c r="V169" s="120"/>
      <c r="W169" s="120"/>
      <c r="X169" s="120"/>
      <c r="AH169" s="251"/>
      <c r="AI169" s="251"/>
      <c r="AJ169" s="251"/>
      <c r="AK169" s="251"/>
      <c r="AL169" s="251"/>
    </row>
    <row r="170" spans="1:38" ht="43.5" x14ac:dyDescent="0.35">
      <c r="A170" s="255"/>
      <c r="B170" s="244" t="s">
        <v>649</v>
      </c>
      <c r="C170" s="152" t="s">
        <v>715</v>
      </c>
      <c r="D170" s="661" t="s">
        <v>698</v>
      </c>
      <c r="E170" s="222" t="s">
        <v>551</v>
      </c>
      <c r="F170" s="222" t="s">
        <v>552</v>
      </c>
      <c r="G170" s="151" t="s">
        <v>673</v>
      </c>
      <c r="H170" s="151" t="s">
        <v>674</v>
      </c>
      <c r="I170" s="222" t="s">
        <v>675</v>
      </c>
      <c r="J170" s="255"/>
      <c r="K170" s="255"/>
      <c r="L170" s="196"/>
      <c r="M170" s="196"/>
      <c r="N170" s="196"/>
      <c r="O170" s="196"/>
      <c r="P170" s="196"/>
      <c r="Q170" s="196"/>
      <c r="R170" s="120"/>
      <c r="S170" s="120"/>
      <c r="T170" s="120"/>
      <c r="U170" s="120"/>
      <c r="V170" s="120"/>
      <c r="W170" s="120"/>
      <c r="X170" s="120"/>
      <c r="AH170" s="251"/>
      <c r="AI170" s="251"/>
      <c r="AJ170" s="251"/>
      <c r="AK170" s="251"/>
      <c r="AL170" s="251"/>
    </row>
    <row r="171" spans="1:38" x14ac:dyDescent="0.35">
      <c r="A171" s="255"/>
      <c r="B171" s="304" t="str">
        <f>B159</f>
        <v>Treatment A</v>
      </c>
      <c r="C171" s="136">
        <f>'Capacity inputs'!G22</f>
        <v>0</v>
      </c>
      <c r="D171" s="115">
        <f>'Financial impact (cash)'!D13*'Capacity (local prices)'!$C171</f>
        <v>0</v>
      </c>
      <c r="E171" s="115">
        <f>'Financial impact (cash)'!E13*'Capacity (local prices)'!$C171</f>
        <v>0</v>
      </c>
      <c r="F171" s="115">
        <f>'Financial impact (cash)'!F13*'Capacity (local prices)'!$C171</f>
        <v>0</v>
      </c>
      <c r="G171" s="115">
        <f>'Financial impact (cash)'!G13*'Capacity (local prices)'!$C171</f>
        <v>0</v>
      </c>
      <c r="H171" s="115">
        <f>'Financial impact (cash)'!H13*'Capacity (local prices)'!$C171</f>
        <v>0</v>
      </c>
      <c r="I171" s="115">
        <f>'Financial impact (cash)'!I13*'Capacity (local prices)'!$C171</f>
        <v>0</v>
      </c>
      <c r="J171" s="255"/>
      <c r="K171" s="255"/>
      <c r="L171" s="196"/>
      <c r="M171" s="196"/>
      <c r="N171" s="196"/>
      <c r="O171" s="196"/>
      <c r="P171" s="196"/>
      <c r="Q171" s="196"/>
      <c r="R171" s="120"/>
      <c r="S171" s="120"/>
      <c r="T171" s="120"/>
      <c r="U171" s="120"/>
      <c r="V171" s="120"/>
      <c r="W171" s="120"/>
      <c r="X171" s="120"/>
      <c r="AH171" s="251"/>
      <c r="AI171" s="251"/>
      <c r="AJ171" s="251"/>
      <c r="AK171" s="251"/>
      <c r="AL171" s="251"/>
    </row>
    <row r="172" spans="1:38" x14ac:dyDescent="0.35">
      <c r="A172" s="255"/>
      <c r="B172" s="304" t="str">
        <f t="shared" ref="B172:B177" si="62">B160</f>
        <v>Treatment B</v>
      </c>
      <c r="C172" s="136">
        <f>'Capacity inputs'!H22</f>
        <v>0</v>
      </c>
      <c r="D172" s="115">
        <f>'Financial impact (cash)'!D14*'Capacity (local prices)'!$C172</f>
        <v>0</v>
      </c>
      <c r="E172" s="115">
        <f>'Financial impact (cash)'!E14*'Capacity (local prices)'!$C172</f>
        <v>0</v>
      </c>
      <c r="F172" s="115">
        <f>'Financial impact (cash)'!F14*'Capacity (local prices)'!$C172</f>
        <v>0</v>
      </c>
      <c r="G172" s="115">
        <f>'Financial impact (cash)'!G14*'Capacity (local prices)'!$C172</f>
        <v>0</v>
      </c>
      <c r="H172" s="115">
        <f>'Financial impact (cash)'!H14*'Capacity (local prices)'!$C172</f>
        <v>0</v>
      </c>
      <c r="I172" s="115">
        <f>'Financial impact (cash)'!I14*'Capacity (local prices)'!$C172</f>
        <v>0</v>
      </c>
      <c r="J172" s="255"/>
      <c r="K172" s="255"/>
      <c r="L172" s="196"/>
      <c r="M172" s="196"/>
      <c r="N172" s="196"/>
      <c r="O172" s="196"/>
      <c r="P172" s="196"/>
      <c r="Q172" s="196"/>
      <c r="R172" s="120"/>
      <c r="S172" s="120"/>
      <c r="T172" s="120"/>
      <c r="U172" s="120"/>
      <c r="V172" s="120"/>
      <c r="W172" s="120"/>
      <c r="X172" s="120"/>
      <c r="AH172" s="251"/>
      <c r="AI172" s="251"/>
      <c r="AJ172" s="251"/>
      <c r="AK172" s="251"/>
      <c r="AL172" s="251"/>
    </row>
    <row r="173" spans="1:38" x14ac:dyDescent="0.35">
      <c r="A173" s="255"/>
      <c r="B173" s="304" t="str">
        <f t="shared" si="62"/>
        <v>Treatment C</v>
      </c>
      <c r="C173" s="136">
        <f>'Capacity inputs'!I22</f>
        <v>0</v>
      </c>
      <c r="D173" s="115" t="e">
        <f>'Financial impact (cash)'!D15*'Capacity (local prices)'!$C173</f>
        <v>#REF!</v>
      </c>
      <c r="E173" s="115" t="e">
        <f>'Financial impact (cash)'!E15*'Capacity (local prices)'!$C173</f>
        <v>#REF!</v>
      </c>
      <c r="F173" s="115" t="e">
        <f>'Financial impact (cash)'!F15*'Capacity (local prices)'!$C173</f>
        <v>#REF!</v>
      </c>
      <c r="G173" s="115" t="e">
        <f>'Financial impact (cash)'!G15*'Capacity (local prices)'!$C173</f>
        <v>#REF!</v>
      </c>
      <c r="H173" s="115" t="e">
        <f>'Financial impact (cash)'!H15*'Capacity (local prices)'!$C173</f>
        <v>#REF!</v>
      </c>
      <c r="I173" s="115" t="e">
        <f>'Financial impact (cash)'!I15*'Capacity (local prices)'!$C173</f>
        <v>#REF!</v>
      </c>
      <c r="J173" s="255"/>
      <c r="K173" s="255"/>
      <c r="L173" s="196"/>
      <c r="M173" s="196"/>
      <c r="N173" s="196"/>
      <c r="O173" s="196"/>
      <c r="P173" s="196"/>
      <c r="Q173" s="196"/>
      <c r="R173" s="120"/>
      <c r="S173" s="120"/>
      <c r="T173" s="120"/>
      <c r="U173" s="120"/>
      <c r="V173" s="120"/>
      <c r="W173" s="120"/>
      <c r="X173" s="120"/>
      <c r="AH173" s="251"/>
      <c r="AI173" s="251"/>
      <c r="AJ173" s="251"/>
      <c r="AK173" s="251"/>
      <c r="AL173" s="251"/>
    </row>
    <row r="174" spans="1:38" x14ac:dyDescent="0.35">
      <c r="A174" s="255"/>
      <c r="B174" s="304" t="str">
        <f t="shared" si="62"/>
        <v>Treatment D</v>
      </c>
      <c r="C174" s="136">
        <f>'Capacity inputs'!J22</f>
        <v>0</v>
      </c>
      <c r="D174" s="115" t="e">
        <f>'Financial impact (cash)'!D16*'Capacity (local prices)'!$C174</f>
        <v>#REF!</v>
      </c>
      <c r="E174" s="115" t="e">
        <f>'Financial impact (cash)'!E16*'Capacity (local prices)'!$C174</f>
        <v>#REF!</v>
      </c>
      <c r="F174" s="115" t="e">
        <f>'Financial impact (cash)'!F16*'Capacity (local prices)'!$C174</f>
        <v>#REF!</v>
      </c>
      <c r="G174" s="115" t="e">
        <f>'Financial impact (cash)'!G16*'Capacity (local prices)'!$C174</f>
        <v>#REF!</v>
      </c>
      <c r="H174" s="115" t="e">
        <f>'Financial impact (cash)'!H16*'Capacity (local prices)'!$C174</f>
        <v>#REF!</v>
      </c>
      <c r="I174" s="115" t="e">
        <f>'Financial impact (cash)'!I16*'Capacity (local prices)'!$C174</f>
        <v>#REF!</v>
      </c>
      <c r="J174" s="255"/>
      <c r="K174" s="255"/>
      <c r="L174" s="196"/>
      <c r="M174" s="196"/>
      <c r="N174" s="196"/>
      <c r="O174" s="196"/>
      <c r="P174" s="196"/>
      <c r="Q174" s="196"/>
      <c r="R174" s="120"/>
      <c r="S174" s="120"/>
      <c r="T174" s="120"/>
      <c r="U174" s="120"/>
      <c r="V174" s="120"/>
      <c r="W174" s="120"/>
      <c r="X174" s="120"/>
      <c r="AH174" s="251"/>
      <c r="AI174" s="251"/>
      <c r="AJ174" s="251"/>
      <c r="AK174" s="251"/>
      <c r="AL174" s="251"/>
    </row>
    <row r="175" spans="1:38" x14ac:dyDescent="0.35">
      <c r="A175" s="255"/>
      <c r="B175" s="304" t="str">
        <f t="shared" si="62"/>
        <v>Treatment E</v>
      </c>
      <c r="C175" s="136">
        <f>'Capacity inputs'!K22</f>
        <v>0</v>
      </c>
      <c r="D175" s="115" t="e">
        <f>'Financial impact (cash)'!D17*'Capacity (local prices)'!$C175</f>
        <v>#REF!</v>
      </c>
      <c r="E175" s="115" t="e">
        <f>'Financial impact (cash)'!E17*'Capacity (local prices)'!$C175</f>
        <v>#REF!</v>
      </c>
      <c r="F175" s="115" t="e">
        <f>'Financial impact (cash)'!F17*'Capacity (local prices)'!$C175</f>
        <v>#REF!</v>
      </c>
      <c r="G175" s="115" t="e">
        <f>'Financial impact (cash)'!G17*'Capacity (local prices)'!$C175</f>
        <v>#REF!</v>
      </c>
      <c r="H175" s="115" t="e">
        <f>'Financial impact (cash)'!H17*'Capacity (local prices)'!$C175</f>
        <v>#REF!</v>
      </c>
      <c r="I175" s="115" t="e">
        <f>'Financial impact (cash)'!I17*'Capacity (local prices)'!$C175</f>
        <v>#REF!</v>
      </c>
      <c r="J175" s="255"/>
      <c r="K175" s="255"/>
      <c r="L175" s="196"/>
      <c r="M175" s="196"/>
      <c r="N175" s="196"/>
      <c r="O175" s="196"/>
      <c r="P175" s="196"/>
      <c r="Q175" s="196"/>
      <c r="R175" s="120"/>
      <c r="S175" s="120"/>
      <c r="T175" s="120"/>
      <c r="U175" s="120"/>
      <c r="V175" s="120"/>
      <c r="W175" s="120"/>
      <c r="X175" s="120"/>
      <c r="AH175" s="251"/>
      <c r="AI175" s="251"/>
      <c r="AJ175" s="251"/>
      <c r="AK175" s="251"/>
      <c r="AL175" s="251"/>
    </row>
    <row r="176" spans="1:38" x14ac:dyDescent="0.35">
      <c r="A176" s="255"/>
      <c r="B176" s="304" t="str">
        <f t="shared" si="62"/>
        <v>Treatment F</v>
      </c>
      <c r="C176" s="136">
        <f>'Capacity inputs'!L22</f>
        <v>0</v>
      </c>
      <c r="D176" s="115" t="e">
        <f>'Financial impact (cash)'!D18*'Capacity (local prices)'!$C176</f>
        <v>#REF!</v>
      </c>
      <c r="E176" s="115" t="e">
        <f>'Financial impact (cash)'!E18*'Capacity (local prices)'!$C176</f>
        <v>#REF!</v>
      </c>
      <c r="F176" s="115" t="e">
        <f>'Financial impact (cash)'!F18*'Capacity (local prices)'!$C176</f>
        <v>#REF!</v>
      </c>
      <c r="G176" s="115" t="e">
        <f>'Financial impact (cash)'!G18*'Capacity (local prices)'!$C176</f>
        <v>#REF!</v>
      </c>
      <c r="H176" s="115" t="e">
        <f>'Financial impact (cash)'!H18*'Capacity (local prices)'!$C176</f>
        <v>#REF!</v>
      </c>
      <c r="I176" s="115" t="e">
        <f>'Financial impact (cash)'!I18*'Capacity (local prices)'!$C176</f>
        <v>#REF!</v>
      </c>
      <c r="J176" s="255"/>
      <c r="K176" s="255"/>
      <c r="L176" s="196"/>
      <c r="M176" s="196"/>
      <c r="N176" s="196"/>
      <c r="O176" s="196"/>
      <c r="P176" s="196"/>
      <c r="Q176" s="196"/>
      <c r="R176" s="120"/>
      <c r="S176" s="120"/>
      <c r="T176" s="120"/>
      <c r="U176" s="120"/>
      <c r="V176" s="120"/>
      <c r="W176" s="120"/>
      <c r="X176" s="120"/>
      <c r="AH176" s="251"/>
      <c r="AI176" s="251"/>
      <c r="AJ176" s="251"/>
      <c r="AK176" s="251"/>
      <c r="AL176" s="251"/>
    </row>
    <row r="177" spans="1:38" x14ac:dyDescent="0.35">
      <c r="A177" s="255"/>
      <c r="B177" s="304" t="str">
        <f t="shared" si="62"/>
        <v>Treatment G</v>
      </c>
      <c r="C177" s="136">
        <f>'Capacity inputs'!M22</f>
        <v>0</v>
      </c>
      <c r="D177" s="115" t="e">
        <f>'Financial impact (cash)'!D19*'Capacity (local prices)'!$C177</f>
        <v>#REF!</v>
      </c>
      <c r="E177" s="115" t="e">
        <f>'Financial impact (cash)'!E19*'Capacity (local prices)'!$C177</f>
        <v>#REF!</v>
      </c>
      <c r="F177" s="115" t="e">
        <f>'Financial impact (cash)'!F19*'Capacity (local prices)'!$C177</f>
        <v>#REF!</v>
      </c>
      <c r="G177" s="115" t="e">
        <f>'Financial impact (cash)'!G19*'Capacity (local prices)'!$C177</f>
        <v>#REF!</v>
      </c>
      <c r="H177" s="115" t="e">
        <f>'Financial impact (cash)'!H19*'Capacity (local prices)'!$C177</f>
        <v>#REF!</v>
      </c>
      <c r="I177" s="115" t="e">
        <f>'Financial impact (cash)'!I19*'Capacity (local prices)'!$C177</f>
        <v>#REF!</v>
      </c>
      <c r="J177" s="255"/>
      <c r="K177" s="255"/>
      <c r="L177" s="196"/>
      <c r="M177" s="196"/>
      <c r="N177" s="196"/>
      <c r="O177" s="196"/>
      <c r="P177" s="196"/>
      <c r="Q177" s="196"/>
      <c r="R177" s="120"/>
      <c r="S177" s="120"/>
      <c r="T177" s="120"/>
      <c r="U177" s="120"/>
      <c r="V177" s="120"/>
      <c r="W177" s="120"/>
      <c r="X177" s="120"/>
      <c r="AH177" s="251"/>
      <c r="AI177" s="251"/>
      <c r="AJ177" s="251"/>
      <c r="AK177" s="251"/>
      <c r="AL177" s="251"/>
    </row>
    <row r="178" spans="1:38" x14ac:dyDescent="0.35">
      <c r="A178" s="255"/>
      <c r="B178" s="245"/>
      <c r="C178" s="184"/>
      <c r="D178" s="167" t="e">
        <f>SUM(D171:D177)</f>
        <v>#REF!</v>
      </c>
      <c r="E178" s="167" t="e">
        <f t="shared" ref="E178:I178" si="63">SUM(E171:E177)</f>
        <v>#REF!</v>
      </c>
      <c r="F178" s="167" t="e">
        <f t="shared" si="63"/>
        <v>#REF!</v>
      </c>
      <c r="G178" s="167" t="e">
        <f t="shared" si="63"/>
        <v>#REF!</v>
      </c>
      <c r="H178" s="167" t="e">
        <f t="shared" si="63"/>
        <v>#REF!</v>
      </c>
      <c r="I178" s="167" t="e">
        <f t="shared" si="63"/>
        <v>#REF!</v>
      </c>
      <c r="J178" s="255"/>
      <c r="K178" s="255"/>
      <c r="L178" s="196"/>
      <c r="M178" s="196"/>
      <c r="N178" s="196"/>
      <c r="O178" s="196"/>
      <c r="P178" s="196"/>
      <c r="Q178" s="196"/>
      <c r="R178" s="120"/>
      <c r="S178" s="120"/>
      <c r="T178" s="120"/>
      <c r="U178" s="120"/>
      <c r="V178" s="120"/>
      <c r="W178" s="120"/>
      <c r="X178" s="120"/>
      <c r="AH178" s="251"/>
      <c r="AI178" s="251"/>
      <c r="AJ178" s="251"/>
      <c r="AK178" s="251"/>
      <c r="AL178" s="251"/>
    </row>
    <row r="179" spans="1:38" x14ac:dyDescent="0.35">
      <c r="A179" s="255"/>
      <c r="B179" s="272"/>
      <c r="C179" s="223"/>
      <c r="D179" s="250" t="s">
        <v>742</v>
      </c>
      <c r="E179" s="167" t="e">
        <f>E178-$D$178</f>
        <v>#REF!</v>
      </c>
      <c r="F179" s="167" t="e">
        <f>F178-$D$178</f>
        <v>#REF!</v>
      </c>
      <c r="G179" s="167" t="e">
        <f>G178-$D$178</f>
        <v>#REF!</v>
      </c>
      <c r="H179" s="167" t="e">
        <f>H178-$D$178</f>
        <v>#REF!</v>
      </c>
      <c r="I179" s="167" t="e">
        <f>I178-$D$178</f>
        <v>#REF!</v>
      </c>
      <c r="J179" s="255"/>
      <c r="K179" s="255"/>
      <c r="L179" s="196"/>
      <c r="M179" s="196"/>
      <c r="N179" s="196"/>
      <c r="O179" s="196"/>
      <c r="P179" s="196"/>
      <c r="Q179" s="196"/>
      <c r="R179" s="120"/>
      <c r="T179" s="120"/>
    </row>
    <row r="180" spans="1:38" x14ac:dyDescent="0.35">
      <c r="A180" s="255"/>
      <c r="B180" s="255"/>
      <c r="C180" s="196"/>
      <c r="D180" s="255"/>
      <c r="E180" s="255"/>
      <c r="F180" s="255"/>
      <c r="G180" s="255"/>
      <c r="H180" s="255"/>
      <c r="I180" s="196"/>
      <c r="J180" s="196"/>
      <c r="K180" s="196"/>
      <c r="L180" s="196"/>
      <c r="M180" s="196"/>
      <c r="N180" s="196"/>
      <c r="O180" s="196"/>
      <c r="P180" s="196"/>
      <c r="Q180" s="196"/>
      <c r="R180" s="120"/>
      <c r="T180" s="120"/>
    </row>
    <row r="181" spans="1:38" x14ac:dyDescent="0.35">
      <c r="B181"/>
    </row>
    <row r="182" spans="1:38" x14ac:dyDescent="0.35">
      <c r="B182"/>
    </row>
    <row r="183" spans="1:38" x14ac:dyDescent="0.35">
      <c r="B183"/>
    </row>
    <row r="184" spans="1:38" x14ac:dyDescent="0.35">
      <c r="B184"/>
    </row>
    <row r="185" spans="1:38" x14ac:dyDescent="0.35">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 E26:I26"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85"/>
  <sheetViews>
    <sheetView showGridLines="0" topLeftCell="A13" zoomScale="60" zoomScaleNormal="60" zoomScaleSheetLayoutView="30" workbookViewId="0">
      <selection activeCell="M54" sqref="M54"/>
    </sheetView>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40" t="str">
        <f>'Resource impact'!B1</f>
        <v>Digital platforms to support cardiac rehabilitation: early value assessment</v>
      </c>
      <c r="C1" s="114"/>
      <c r="D1" s="114"/>
      <c r="E1" s="114"/>
      <c r="F1" s="114"/>
      <c r="G1" s="114"/>
      <c r="H1" s="114"/>
      <c r="I1" s="114"/>
      <c r="J1" s="114"/>
      <c r="K1" s="114"/>
      <c r="L1" s="114"/>
      <c r="M1" s="114"/>
      <c r="N1" s="114"/>
      <c r="O1" s="114"/>
      <c r="P1" s="114"/>
      <c r="Q1" s="114"/>
      <c r="R1" s="114"/>
      <c r="S1" s="114"/>
      <c r="T1" s="114"/>
      <c r="U1" s="114"/>
      <c r="V1" s="114"/>
      <c r="W1" s="114"/>
      <c r="X1" s="114"/>
      <c r="Y1" s="114"/>
      <c r="Z1" s="114"/>
    </row>
    <row r="2" spans="1:40" ht="42.65" customHeight="1" x14ac:dyDescent="0.35">
      <c r="B2" s="187" t="s">
        <v>743</v>
      </c>
      <c r="C2" s="114" t="s">
        <v>556</v>
      </c>
      <c r="D2" s="114" t="s">
        <v>556</v>
      </c>
      <c r="E2" s="114" t="s">
        <v>556</v>
      </c>
      <c r="F2" s="114" t="s">
        <v>556</v>
      </c>
      <c r="G2" s="114" t="s">
        <v>556</v>
      </c>
      <c r="H2" s="114" t="s">
        <v>556</v>
      </c>
      <c r="I2" s="114" t="s">
        <v>556</v>
      </c>
      <c r="J2" s="114" t="s">
        <v>556</v>
      </c>
      <c r="K2" s="114"/>
      <c r="L2" s="114" t="s">
        <v>556</v>
      </c>
      <c r="M2" s="114" t="s">
        <v>556</v>
      </c>
      <c r="N2" s="114" t="s">
        <v>556</v>
      </c>
      <c r="O2" s="114" t="s">
        <v>556</v>
      </c>
      <c r="P2" s="114" t="s">
        <v>556</v>
      </c>
      <c r="Q2" s="114"/>
      <c r="R2" s="114"/>
      <c r="S2" s="114"/>
      <c r="T2" s="114"/>
      <c r="U2" s="114"/>
      <c r="V2" s="114"/>
      <c r="W2" s="114"/>
      <c r="X2" s="114"/>
      <c r="Y2" s="114"/>
      <c r="Z2" s="114"/>
    </row>
    <row r="3" spans="1:40" ht="14.5" customHeight="1" x14ac:dyDescent="0.35">
      <c r="B3" s="117" t="s">
        <v>556</v>
      </c>
      <c r="C3" s="120" t="s">
        <v>556</v>
      </c>
      <c r="D3" s="120" t="s">
        <v>556</v>
      </c>
      <c r="E3" s="120" t="s">
        <v>556</v>
      </c>
      <c r="F3" s="120" t="s">
        <v>556</v>
      </c>
      <c r="G3" s="120" t="s">
        <v>556</v>
      </c>
      <c r="H3" s="120" t="s">
        <v>556</v>
      </c>
      <c r="I3" s="120" t="s">
        <v>556</v>
      </c>
      <c r="J3" s="120" t="s">
        <v>556</v>
      </c>
      <c r="K3" s="120"/>
      <c r="L3" s="120" t="s">
        <v>556</v>
      </c>
      <c r="M3" s="120" t="s">
        <v>556</v>
      </c>
      <c r="N3" s="120" t="s">
        <v>556</v>
      </c>
      <c r="O3" s="120" t="s">
        <v>556</v>
      </c>
      <c r="P3" s="120" t="s">
        <v>556</v>
      </c>
      <c r="Q3" s="120"/>
      <c r="R3" s="120"/>
      <c r="S3" s="114"/>
      <c r="T3" s="114"/>
      <c r="U3" s="114"/>
      <c r="V3" s="114"/>
      <c r="W3" s="114"/>
      <c r="X3" s="114"/>
      <c r="Y3" s="120"/>
      <c r="Z3" s="120"/>
    </row>
    <row r="4" spans="1:40" ht="14.5" customHeight="1" x14ac:dyDescent="0.35">
      <c r="B4" t="s">
        <v>744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5" customHeight="1" x14ac:dyDescent="0.35">
      <c r="B5" s="5"/>
      <c r="F5" s="120"/>
      <c r="G5" s="120"/>
      <c r="H5" s="120"/>
      <c r="I5" s="120"/>
      <c r="J5" s="120"/>
      <c r="K5" s="120"/>
      <c r="L5" s="120"/>
      <c r="M5" s="120"/>
      <c r="N5" s="120"/>
      <c r="O5" s="120"/>
      <c r="P5" s="120"/>
      <c r="Q5" s="120"/>
      <c r="R5" s="120"/>
      <c r="S5" s="114"/>
      <c r="T5" s="114"/>
      <c r="U5" s="114"/>
      <c r="V5" s="114"/>
      <c r="W5" s="114"/>
      <c r="X5" s="114"/>
      <c r="Y5" s="120"/>
      <c r="Z5" s="120"/>
    </row>
    <row r="6" spans="1:40" ht="43.5" x14ac:dyDescent="0.35">
      <c r="B6" s="224" t="s">
        <v>676</v>
      </c>
      <c r="C6" s="184"/>
      <c r="D6" s="661" t="s">
        <v>698</v>
      </c>
      <c r="E6" s="222" t="s">
        <v>551</v>
      </c>
      <c r="F6" s="222" t="s">
        <v>552</v>
      </c>
      <c r="G6" s="151" t="s">
        <v>673</v>
      </c>
      <c r="H6" s="151" t="s">
        <v>674</v>
      </c>
      <c r="I6" s="222" t="s">
        <v>675</v>
      </c>
      <c r="L6" s="661" t="s">
        <v>698</v>
      </c>
      <c r="M6" s="222" t="s">
        <v>551</v>
      </c>
      <c r="N6" s="222" t="s">
        <v>552</v>
      </c>
      <c r="O6" s="151" t="s">
        <v>673</v>
      </c>
      <c r="P6" s="151" t="s">
        <v>674</v>
      </c>
      <c r="Q6" s="222" t="s">
        <v>675</v>
      </c>
      <c r="R6" s="120"/>
      <c r="S6" s="114"/>
      <c r="T6" s="114"/>
      <c r="U6" s="114"/>
      <c r="V6" s="114"/>
      <c r="W6" s="114"/>
      <c r="X6" s="114"/>
      <c r="Y6" s="120"/>
      <c r="Z6" s="120"/>
      <c r="AJ6" s="251"/>
      <c r="AK6" s="251"/>
      <c r="AL6" s="251"/>
      <c r="AM6" s="251"/>
      <c r="AN6" s="251"/>
    </row>
    <row r="7" spans="1:40" ht="14.5" customHeight="1" x14ac:dyDescent="0.35">
      <c r="B7" s="198" t="s">
        <v>676</v>
      </c>
      <c r="C7" s="154"/>
      <c r="D7" s="326">
        <f>'Resource impact'!E36</f>
        <v>126605.00117543283</v>
      </c>
      <c r="E7" s="326">
        <f>'Resource impact'!G36</f>
        <v>0</v>
      </c>
      <c r="F7" s="326" t="e">
        <f>'Resource impact'!#REF!</f>
        <v>#REF!</v>
      </c>
      <c r="G7" s="326">
        <f>'Resource impact'!H36</f>
        <v>0</v>
      </c>
      <c r="H7" s="326">
        <f>'Resource impact'!I36</f>
        <v>0</v>
      </c>
      <c r="I7" s="326">
        <f>'Resource impact'!J36</f>
        <v>0</v>
      </c>
      <c r="P7" s="120"/>
      <c r="Q7" s="120"/>
      <c r="R7" s="120"/>
      <c r="S7" s="114"/>
      <c r="T7" s="114"/>
      <c r="U7" s="114"/>
      <c r="V7" s="114"/>
      <c r="W7" s="114"/>
      <c r="X7" s="114"/>
      <c r="Y7" s="120"/>
      <c r="Z7" s="120"/>
      <c r="AJ7" s="251"/>
      <c r="AK7" s="251"/>
      <c r="AL7" s="251"/>
      <c r="AM7" s="251"/>
      <c r="AN7" s="251"/>
    </row>
    <row r="8" spans="1:40" ht="14.5" customHeight="1" x14ac:dyDescent="0.35">
      <c r="B8"/>
      <c r="P8" s="120"/>
      <c r="Q8" s="120"/>
      <c r="R8" s="120"/>
      <c r="S8" s="114"/>
      <c r="T8" s="114"/>
      <c r="U8" s="114"/>
      <c r="V8" s="114"/>
      <c r="W8" s="114"/>
      <c r="X8" s="114"/>
      <c r="Y8" s="120"/>
      <c r="Z8" s="120"/>
      <c r="AJ8" s="251"/>
      <c r="AK8" s="251"/>
      <c r="AL8" s="251"/>
      <c r="AM8" s="251"/>
      <c r="AN8" s="251"/>
    </row>
    <row r="9" spans="1:40" ht="14.5" customHeight="1" x14ac:dyDescent="0.35">
      <c r="B9" s="244" t="s">
        <v>709</v>
      </c>
      <c r="C9" s="353" t="s">
        <v>710</v>
      </c>
      <c r="D9" s="372"/>
      <c r="E9" s="373"/>
      <c r="F9" s="372"/>
      <c r="G9" s="374"/>
      <c r="H9" s="375"/>
      <c r="I9" s="375"/>
      <c r="J9" s="458"/>
      <c r="K9" s="577"/>
      <c r="L9" s="521" t="s">
        <v>682</v>
      </c>
      <c r="M9" s="521" t="s">
        <v>682</v>
      </c>
      <c r="N9" s="521" t="s">
        <v>682</v>
      </c>
      <c r="O9" s="521" t="s">
        <v>682</v>
      </c>
      <c r="P9" s="521" t="s">
        <v>682</v>
      </c>
      <c r="Q9" s="521" t="s">
        <v>682</v>
      </c>
      <c r="R9" s="120"/>
      <c r="S9" s="114"/>
      <c r="T9" s="114"/>
      <c r="U9" s="114"/>
      <c r="V9" s="114"/>
      <c r="W9" s="114"/>
      <c r="X9" s="114"/>
      <c r="Y9" s="120"/>
      <c r="Z9" s="120"/>
      <c r="AJ9" s="251"/>
      <c r="AK9" s="251"/>
      <c r="AL9" s="251"/>
      <c r="AM9" s="251"/>
      <c r="AN9" s="251"/>
    </row>
    <row r="10" spans="1:40" ht="14.5" customHeight="1" x14ac:dyDescent="0.35">
      <c r="A10" s="253"/>
      <c r="B10" s="379" t="str">
        <f>B32</f>
        <v>First attendances</v>
      </c>
      <c r="C10" s="331"/>
      <c r="D10" s="361" t="e">
        <f>D41</f>
        <v>#REF!</v>
      </c>
      <c r="E10" s="361" t="e">
        <f t="shared" ref="E10:I10" si="0">E41</f>
        <v>#REF!</v>
      </c>
      <c r="F10" s="361" t="e">
        <f t="shared" si="0"/>
        <v>#REF!</v>
      </c>
      <c r="G10" s="361" t="e">
        <f t="shared" si="0"/>
        <v>#REF!</v>
      </c>
      <c r="H10" s="361" t="e">
        <f t="shared" si="0"/>
        <v>#REF!</v>
      </c>
      <c r="I10" s="361" t="e">
        <f t="shared" si="0"/>
        <v>#REF!</v>
      </c>
      <c r="L10" s="256" t="e">
        <f>L41</f>
        <v>#REF!</v>
      </c>
      <c r="M10" s="256" t="e">
        <f t="shared" ref="M10:Q10" si="1">M41</f>
        <v>#REF!</v>
      </c>
      <c r="N10" s="256" t="e">
        <f t="shared" si="1"/>
        <v>#REF!</v>
      </c>
      <c r="O10" s="256" t="e">
        <f t="shared" si="1"/>
        <v>#REF!</v>
      </c>
      <c r="P10" s="256" t="e">
        <f t="shared" si="1"/>
        <v>#REF!</v>
      </c>
      <c r="Q10" s="256" t="e">
        <f t="shared" si="1"/>
        <v>#REF!</v>
      </c>
      <c r="R10" s="120"/>
      <c r="S10" s="120"/>
      <c r="T10" s="120"/>
      <c r="U10" s="120"/>
      <c r="V10" s="120"/>
      <c r="W10" s="120"/>
      <c r="X10" s="120"/>
      <c r="Y10" s="120"/>
      <c r="Z10" s="120"/>
      <c r="AJ10" s="251"/>
      <c r="AK10" s="251"/>
      <c r="AL10" s="251"/>
      <c r="AM10" s="251"/>
      <c r="AN10" s="251"/>
    </row>
    <row r="11" spans="1:40" ht="14.5" customHeight="1" x14ac:dyDescent="0.35">
      <c r="A11" s="253"/>
      <c r="B11" s="379" t="str">
        <f>B32&amp;" - hours"</f>
        <v>First attendances - hours</v>
      </c>
      <c r="C11" s="568">
        <f>'Capacity inputs'!F13</f>
        <v>0</v>
      </c>
      <c r="D11" s="361" t="e">
        <f>D10*$C11/60</f>
        <v>#REF!</v>
      </c>
      <c r="E11" s="361" t="e">
        <f t="shared" ref="E11:I11" si="2">E10*$C11/60</f>
        <v>#REF!</v>
      </c>
      <c r="F11" s="361" t="e">
        <f t="shared" si="2"/>
        <v>#REF!</v>
      </c>
      <c r="G11" s="361" t="e">
        <f t="shared" si="2"/>
        <v>#REF!</v>
      </c>
      <c r="H11" s="361" t="e">
        <f t="shared" si="2"/>
        <v>#REF!</v>
      </c>
      <c r="I11" s="361" t="e">
        <f t="shared" si="2"/>
        <v>#REF!</v>
      </c>
      <c r="L11" s="569"/>
      <c r="M11" s="569"/>
      <c r="N11" s="569"/>
      <c r="O11" s="569"/>
      <c r="P11" s="569"/>
      <c r="Q11" s="569"/>
      <c r="R11" s="120"/>
      <c r="S11" s="120"/>
      <c r="T11" s="120"/>
      <c r="U11" s="120"/>
      <c r="V11" s="120"/>
      <c r="W11" s="120"/>
      <c r="X11" s="120"/>
      <c r="Y11" s="120"/>
      <c r="Z11" s="120"/>
      <c r="AJ11" s="251"/>
      <c r="AK11" s="251"/>
      <c r="AL11" s="251"/>
      <c r="AM11" s="251"/>
      <c r="AN11" s="251"/>
    </row>
    <row r="12" spans="1:40" ht="14.5" customHeight="1" x14ac:dyDescent="0.35">
      <c r="A12" s="253"/>
      <c r="B12" s="379" t="str">
        <f>B44</f>
        <v>Follow up attendances</v>
      </c>
      <c r="C12" s="331"/>
      <c r="D12" s="361" t="e">
        <f>D53</f>
        <v>#REF!</v>
      </c>
      <c r="E12" s="361" t="e">
        <f t="shared" ref="E12:I12" si="3">E53</f>
        <v>#REF!</v>
      </c>
      <c r="F12" s="361" t="e">
        <f t="shared" si="3"/>
        <v>#REF!</v>
      </c>
      <c r="G12" s="361" t="e">
        <f t="shared" si="3"/>
        <v>#REF!</v>
      </c>
      <c r="H12" s="361" t="e">
        <f t="shared" si="3"/>
        <v>#REF!</v>
      </c>
      <c r="I12" s="361" t="e">
        <f t="shared" si="3"/>
        <v>#REF!</v>
      </c>
      <c r="L12" s="256" t="e">
        <f>L53</f>
        <v>#REF!</v>
      </c>
      <c r="M12" s="256" t="e">
        <f t="shared" ref="M12:Q12" si="4">M53</f>
        <v>#REF!</v>
      </c>
      <c r="N12" s="256" t="e">
        <f t="shared" si="4"/>
        <v>#REF!</v>
      </c>
      <c r="O12" s="256" t="e">
        <f t="shared" si="4"/>
        <v>#REF!</v>
      </c>
      <c r="P12" s="256" t="e">
        <f t="shared" si="4"/>
        <v>#REF!</v>
      </c>
      <c r="Q12" s="256" t="e">
        <f t="shared" si="4"/>
        <v>#REF!</v>
      </c>
      <c r="R12" s="120"/>
      <c r="S12" s="120"/>
      <c r="T12" s="120"/>
      <c r="U12" s="120"/>
      <c r="V12" s="120"/>
      <c r="W12" s="120"/>
      <c r="X12" s="120"/>
      <c r="Y12" s="120"/>
      <c r="Z12" s="120"/>
      <c r="AJ12" s="251"/>
      <c r="AK12" s="251"/>
      <c r="AL12" s="251"/>
      <c r="AM12" s="251"/>
      <c r="AN12" s="251"/>
    </row>
    <row r="13" spans="1:40" ht="14.5" customHeight="1" x14ac:dyDescent="0.35">
      <c r="A13" s="253"/>
      <c r="B13" s="379" t="str">
        <f>B44&amp;" - hours"</f>
        <v>Follow up attendances - hours</v>
      </c>
      <c r="C13" s="568">
        <f>'Capacity inputs'!F14</f>
        <v>0</v>
      </c>
      <c r="D13" s="361" t="e">
        <f>$C13/60*D12</f>
        <v>#REF!</v>
      </c>
      <c r="E13" s="361" t="e">
        <f t="shared" ref="E13:I13" si="5">$C13/60*E12</f>
        <v>#REF!</v>
      </c>
      <c r="F13" s="361" t="e">
        <f t="shared" si="5"/>
        <v>#REF!</v>
      </c>
      <c r="G13" s="361" t="e">
        <f t="shared" si="5"/>
        <v>#REF!</v>
      </c>
      <c r="H13" s="361" t="e">
        <f t="shared" si="5"/>
        <v>#REF!</v>
      </c>
      <c r="I13" s="361" t="e">
        <f t="shared" si="5"/>
        <v>#REF!</v>
      </c>
      <c r="L13" s="569"/>
      <c r="M13" s="569"/>
      <c r="N13" s="569"/>
      <c r="O13" s="569"/>
      <c r="P13" s="569"/>
      <c r="Q13" s="569"/>
      <c r="R13" s="120"/>
      <c r="S13" s="120"/>
      <c r="T13" s="120"/>
      <c r="U13" s="120"/>
      <c r="V13" s="120"/>
      <c r="W13" s="120"/>
      <c r="X13" s="120"/>
      <c r="Y13" s="120"/>
      <c r="Z13" s="120"/>
      <c r="AJ13" s="251"/>
      <c r="AK13" s="251"/>
      <c r="AL13" s="251"/>
      <c r="AM13" s="251"/>
      <c r="AN13" s="251"/>
    </row>
    <row r="14" spans="1:40" ht="14.5" customHeight="1" x14ac:dyDescent="0.35">
      <c r="A14" s="259"/>
      <c r="B14" s="376" t="str">
        <f>B69</f>
        <v>Number of administrations</v>
      </c>
      <c r="C14" s="357"/>
      <c r="D14" s="356" t="e">
        <f>D78</f>
        <v>#REF!</v>
      </c>
      <c r="E14" s="356" t="e">
        <f t="shared" ref="E14:I14" si="6">E78</f>
        <v>#REF!</v>
      </c>
      <c r="F14" s="356" t="e">
        <f t="shared" si="6"/>
        <v>#REF!</v>
      </c>
      <c r="G14" s="356" t="e">
        <f t="shared" si="6"/>
        <v>#REF!</v>
      </c>
      <c r="H14" s="356" t="e">
        <f t="shared" si="6"/>
        <v>#REF!</v>
      </c>
      <c r="I14" s="356" t="e">
        <f t="shared" si="6"/>
        <v>#REF!</v>
      </c>
      <c r="L14" s="256" t="e">
        <f>L78</f>
        <v>#REF!</v>
      </c>
      <c r="M14" s="256" t="e">
        <f t="shared" ref="M14:Q14" si="7">M78</f>
        <v>#REF!</v>
      </c>
      <c r="N14" s="256" t="e">
        <f t="shared" si="7"/>
        <v>#REF!</v>
      </c>
      <c r="O14" s="256" t="e">
        <f t="shared" si="7"/>
        <v>#REF!</v>
      </c>
      <c r="P14" s="256" t="e">
        <f t="shared" si="7"/>
        <v>#REF!</v>
      </c>
      <c r="Q14" s="256" t="e">
        <f t="shared" si="7"/>
        <v>#REF!</v>
      </c>
      <c r="R14" s="120"/>
      <c r="S14" s="120"/>
      <c r="T14" s="120"/>
      <c r="U14" s="120"/>
      <c r="V14" s="120"/>
      <c r="W14" s="120"/>
      <c r="X14" s="120"/>
      <c r="Y14" s="120"/>
      <c r="Z14" s="120"/>
      <c r="AJ14" s="251"/>
      <c r="AK14" s="251"/>
      <c r="AL14" s="251"/>
      <c r="AM14" s="251"/>
      <c r="AN14" s="251"/>
    </row>
    <row r="15" spans="1:40" ht="14.5" customHeight="1" x14ac:dyDescent="0.35">
      <c r="A15" s="252"/>
      <c r="B15" s="377" t="str">
        <f>B82&amp;" - hours"</f>
        <v>Nursing - administrations - hours</v>
      </c>
      <c r="C15" s="382"/>
      <c r="D15" s="358" t="e">
        <f>($C84*D84)+($C85*D85)+($C86*D86)+($C87*D87)+($C88*D88)+($C89*D89)+($C90*D90)</f>
        <v>#REF!</v>
      </c>
      <c r="E15" s="358" t="e">
        <f t="shared" ref="E15:I15" si="8">($C84*E84)+($C85*E85)+($C86*E86)+($C87*E87)+($C88*E88)+($C89*E89)+($C90*E90)</f>
        <v>#REF!</v>
      </c>
      <c r="F15" s="358" t="e">
        <f t="shared" si="8"/>
        <v>#REF!</v>
      </c>
      <c r="G15" s="358" t="e">
        <f t="shared" si="8"/>
        <v>#REF!</v>
      </c>
      <c r="H15" s="358" t="e">
        <f t="shared" si="8"/>
        <v>#REF!</v>
      </c>
      <c r="I15" s="358" t="e">
        <f t="shared" si="8"/>
        <v>#REF!</v>
      </c>
      <c r="L15" s="183"/>
      <c r="M15" s="183"/>
      <c r="N15" s="183"/>
      <c r="O15" s="183"/>
      <c r="P15" s="355"/>
      <c r="Q15" s="355"/>
      <c r="R15" s="120"/>
      <c r="S15" s="120"/>
      <c r="T15" s="120"/>
      <c r="U15" s="120"/>
      <c r="V15" s="120"/>
      <c r="W15" s="120"/>
      <c r="X15" s="120"/>
      <c r="Y15" s="120"/>
      <c r="Z15" s="120"/>
      <c r="AJ15" s="251"/>
      <c r="AK15" s="251"/>
      <c r="AL15" s="251"/>
      <c r="AM15" s="251"/>
      <c r="AN15" s="251"/>
    </row>
    <row r="16" spans="1:40" ht="14.5" customHeight="1" x14ac:dyDescent="0.35">
      <c r="A16" s="252"/>
      <c r="B16" s="377" t="str">
        <f>B94&amp;" - hours"</f>
        <v>Nursing patient preparation time - hours</v>
      </c>
      <c r="C16" s="382"/>
      <c r="D16" s="358" t="e">
        <f>($C96*D96)+($C97*D97)+($C98*D98)+($C99*D99)+($C100*D100)+($C101*D101)+($C102*D102)</f>
        <v>#REF!</v>
      </c>
      <c r="E16" s="358" t="e">
        <f t="shared" ref="E16:I16" si="9">($C96*E96)+($C97*E97)+($C98*E98)+($C99*E99)+($C100*E100)+($C101*E101)+($C102*E102)</f>
        <v>#REF!</v>
      </c>
      <c r="F16" s="358" t="e">
        <f t="shared" si="9"/>
        <v>#REF!</v>
      </c>
      <c r="G16" s="358" t="e">
        <f t="shared" si="9"/>
        <v>#REF!</v>
      </c>
      <c r="H16" s="358" t="e">
        <f t="shared" si="9"/>
        <v>#REF!</v>
      </c>
      <c r="I16" s="358" t="e">
        <f t="shared" si="9"/>
        <v>#REF!</v>
      </c>
      <c r="L16" s="183"/>
      <c r="M16" s="183"/>
      <c r="N16" s="183"/>
      <c r="O16" s="183"/>
      <c r="P16" s="355"/>
      <c r="Q16" s="355"/>
      <c r="R16" s="120"/>
      <c r="S16" s="120"/>
      <c r="T16" s="120"/>
      <c r="U16" s="120"/>
      <c r="V16" s="120"/>
      <c r="W16" s="120"/>
      <c r="X16" s="120"/>
      <c r="Y16" s="120"/>
      <c r="Z16" s="120"/>
      <c r="AJ16" s="251"/>
      <c r="AK16" s="251"/>
      <c r="AL16" s="251"/>
      <c r="AM16" s="251"/>
      <c r="AN16" s="251"/>
    </row>
    <row r="17" spans="1:40" ht="14.5" customHeight="1" x14ac:dyDescent="0.35">
      <c r="A17" s="252"/>
      <c r="B17" s="377" t="str">
        <f>B106&amp;" - hours"</f>
        <v>Post administration nursing time - hours</v>
      </c>
      <c r="C17" s="382"/>
      <c r="D17" s="358" t="e">
        <f>($C108*D108)+($C109*D109)+($C110*D110)+($C111*D111)+($C112*D112)+($C113*D113)+($C114*D114)</f>
        <v>#REF!</v>
      </c>
      <c r="E17" s="358" t="e">
        <f t="shared" ref="E17:I17" si="10">($C108*E108)+($C109*E109)+($C110*E110)+($C111*E111)+($C112*E112)+($C113*E113)+($C114*E114)</f>
        <v>#REF!</v>
      </c>
      <c r="F17" s="358" t="e">
        <f t="shared" si="10"/>
        <v>#REF!</v>
      </c>
      <c r="G17" s="358" t="e">
        <f t="shared" si="10"/>
        <v>#REF!</v>
      </c>
      <c r="H17" s="358" t="e">
        <f t="shared" si="10"/>
        <v>#REF!</v>
      </c>
      <c r="I17" s="358" t="e">
        <f t="shared" si="10"/>
        <v>#REF!</v>
      </c>
      <c r="L17" s="183"/>
      <c r="M17" s="183"/>
      <c r="N17" s="183"/>
      <c r="O17" s="183"/>
      <c r="P17" s="355"/>
      <c r="Q17" s="355"/>
      <c r="R17" s="120"/>
      <c r="S17" s="120"/>
      <c r="T17" s="120"/>
      <c r="U17" s="120"/>
      <c r="V17" s="120"/>
      <c r="W17" s="120"/>
      <c r="X17" s="120"/>
      <c r="Y17" s="120"/>
      <c r="Z17" s="120"/>
      <c r="AJ17" s="251"/>
      <c r="AK17" s="251"/>
      <c r="AL17" s="251"/>
      <c r="AM17" s="251"/>
      <c r="AN17" s="251"/>
    </row>
    <row r="18" spans="1:40" ht="14.5" customHeight="1" x14ac:dyDescent="0.35">
      <c r="A18" s="254"/>
      <c r="B18" s="378" t="str">
        <f>B119</f>
        <v>Pharmacy support</v>
      </c>
      <c r="C18" s="383"/>
      <c r="D18" s="359" t="e">
        <f>D128</f>
        <v>#REF!</v>
      </c>
      <c r="E18" s="359" t="e">
        <f t="shared" ref="E18:I18" si="11">E128</f>
        <v>#REF!</v>
      </c>
      <c r="F18" s="359" t="e">
        <f t="shared" si="11"/>
        <v>#REF!</v>
      </c>
      <c r="G18" s="359" t="e">
        <f t="shared" si="11"/>
        <v>#REF!</v>
      </c>
      <c r="H18" s="359" t="e">
        <f t="shared" si="11"/>
        <v>#REF!</v>
      </c>
      <c r="I18" s="359" t="e">
        <f t="shared" si="11"/>
        <v>#REF!</v>
      </c>
      <c r="L18" s="183"/>
      <c r="M18" s="183"/>
      <c r="N18" s="183"/>
      <c r="O18" s="183"/>
      <c r="P18" s="355"/>
      <c r="Q18" s="355"/>
      <c r="R18" s="120"/>
      <c r="S18" s="120"/>
      <c r="T18" s="120"/>
      <c r="U18" s="120"/>
      <c r="V18" s="120"/>
      <c r="W18" s="120"/>
      <c r="X18" s="120"/>
      <c r="Y18" s="120"/>
      <c r="Z18" s="120"/>
      <c r="AJ18" s="251"/>
      <c r="AK18" s="251"/>
      <c r="AL18" s="251"/>
      <c r="AM18" s="251"/>
      <c r="AN18" s="251"/>
    </row>
    <row r="19" spans="1:40" ht="14.5" customHeight="1" x14ac:dyDescent="0.35">
      <c r="A19" s="254"/>
      <c r="B19" s="378" t="str">
        <f>B119&amp;" - hours"</f>
        <v>Pharmacy support - hours</v>
      </c>
      <c r="C19" s="383"/>
      <c r="D19" s="359" t="e">
        <f>($C121*D121)+($C122*D122)+($C123*D123)+($C124*D124)+($C125*D125)+($C126*D126)+($C127*D127)</f>
        <v>#REF!</v>
      </c>
      <c r="E19" s="359" t="e">
        <f t="shared" ref="E19:I19" si="12">($C121*E121)+($C122*E122)+($C123*E123)+($C124*E124)+($C125*E125)+($C126*E126)+($C127*E127)</f>
        <v>#REF!</v>
      </c>
      <c r="F19" s="359" t="e">
        <f t="shared" si="12"/>
        <v>#REF!</v>
      </c>
      <c r="G19" s="359" t="e">
        <f t="shared" si="12"/>
        <v>#REF!</v>
      </c>
      <c r="H19" s="359" t="e">
        <f t="shared" si="12"/>
        <v>#REF!</v>
      </c>
      <c r="I19" s="359" t="e">
        <f t="shared" si="12"/>
        <v>#REF!</v>
      </c>
      <c r="L19" s="183"/>
      <c r="M19" s="183"/>
      <c r="N19" s="183"/>
      <c r="O19" s="183"/>
      <c r="P19" s="355"/>
      <c r="Q19" s="355"/>
      <c r="R19" s="120"/>
      <c r="S19" s="120"/>
      <c r="T19" s="120"/>
      <c r="U19" s="120"/>
      <c r="V19" s="120"/>
      <c r="W19" s="120"/>
      <c r="X19" s="120"/>
      <c r="Y19" s="120"/>
      <c r="Z19" s="120"/>
      <c r="AJ19" s="251"/>
      <c r="AK19" s="251"/>
      <c r="AL19" s="251"/>
      <c r="AM19" s="251"/>
      <c r="AN19" s="251"/>
    </row>
    <row r="20" spans="1:40" ht="14.5" customHeight="1" x14ac:dyDescent="0.35">
      <c r="A20" s="288"/>
      <c r="B20" s="380" t="str">
        <f>B132</f>
        <v>Appointments with supporting specialty x</v>
      </c>
      <c r="C20" s="384"/>
      <c r="D20" s="362" t="e">
        <f>D141</f>
        <v>#REF!</v>
      </c>
      <c r="E20" s="362" t="e">
        <f t="shared" ref="E20:I20" si="13">E141</f>
        <v>#REF!</v>
      </c>
      <c r="F20" s="362" t="e">
        <f t="shared" si="13"/>
        <v>#REF!</v>
      </c>
      <c r="G20" s="362" t="e">
        <f t="shared" si="13"/>
        <v>#REF!</v>
      </c>
      <c r="H20" s="362" t="e">
        <f t="shared" si="13"/>
        <v>#REF!</v>
      </c>
      <c r="I20" s="362" t="e">
        <f t="shared" si="13"/>
        <v>#REF!</v>
      </c>
      <c r="L20" s="256" t="e">
        <f>L141</f>
        <v>#REF!</v>
      </c>
      <c r="M20" s="256" t="e">
        <f t="shared" ref="M20:Q20" si="14">M141</f>
        <v>#REF!</v>
      </c>
      <c r="N20" s="256" t="e">
        <f t="shared" si="14"/>
        <v>#REF!</v>
      </c>
      <c r="O20" s="256" t="e">
        <f t="shared" si="14"/>
        <v>#REF!</v>
      </c>
      <c r="P20" s="256" t="e">
        <f t="shared" si="14"/>
        <v>#REF!</v>
      </c>
      <c r="Q20" s="256" t="e">
        <f t="shared" si="14"/>
        <v>#REF!</v>
      </c>
      <c r="R20" s="120"/>
      <c r="S20" s="120"/>
      <c r="T20" s="120"/>
      <c r="U20" s="120"/>
      <c r="V20" s="120"/>
      <c r="W20" s="120"/>
      <c r="X20" s="120"/>
      <c r="Y20" s="120"/>
      <c r="Z20" s="120"/>
      <c r="AJ20" s="251"/>
      <c r="AK20" s="251"/>
      <c r="AL20" s="251"/>
      <c r="AM20" s="251"/>
      <c r="AN20" s="251"/>
    </row>
    <row r="21" spans="1:40" ht="14.5" customHeight="1" x14ac:dyDescent="0.35">
      <c r="A21" s="288"/>
      <c r="B21" s="380" t="str">
        <f>B132&amp;" - hours"</f>
        <v>Appointments with supporting specialty x - hours</v>
      </c>
      <c r="C21" s="362">
        <f>'Capacity inputs'!F19</f>
        <v>0</v>
      </c>
      <c r="D21" s="362" t="e">
        <f>$C21/60*D20</f>
        <v>#REF!</v>
      </c>
      <c r="E21" s="362" t="e">
        <f t="shared" ref="E21:I21" si="15">$C21/60*E20</f>
        <v>#REF!</v>
      </c>
      <c r="F21" s="362" t="e">
        <f t="shared" si="15"/>
        <v>#REF!</v>
      </c>
      <c r="G21" s="362" t="e">
        <f t="shared" si="15"/>
        <v>#REF!</v>
      </c>
      <c r="H21" s="362" t="e">
        <f t="shared" si="15"/>
        <v>#REF!</v>
      </c>
      <c r="I21" s="362" t="e">
        <f t="shared" si="15"/>
        <v>#REF!</v>
      </c>
      <c r="L21" s="183"/>
      <c r="M21" s="183"/>
      <c r="N21" s="183"/>
      <c r="O21" s="183"/>
      <c r="P21" s="355"/>
      <c r="Q21" s="355"/>
      <c r="R21" s="120"/>
      <c r="S21" s="120"/>
      <c r="T21" s="120"/>
      <c r="U21" s="120"/>
      <c r="V21" s="120"/>
      <c r="W21" s="120"/>
      <c r="X21" s="120"/>
      <c r="Y21" s="120"/>
      <c r="Z21" s="120"/>
      <c r="AJ21" s="251"/>
      <c r="AK21" s="251"/>
      <c r="AL21" s="251"/>
      <c r="AM21" s="251"/>
      <c r="AN21" s="251"/>
    </row>
    <row r="22" spans="1:40" ht="14.5" customHeight="1" x14ac:dyDescent="0.35">
      <c r="A22" s="255"/>
      <c r="B22" s="381" t="str">
        <f>B145</f>
        <v>Imaging scans</v>
      </c>
      <c r="C22" s="385"/>
      <c r="D22" s="363" t="e">
        <f>D154</f>
        <v>#REF!</v>
      </c>
      <c r="E22" s="363" t="e">
        <f t="shared" ref="E22:I22" si="16">E154</f>
        <v>#REF!</v>
      </c>
      <c r="F22" s="363" t="e">
        <f t="shared" si="16"/>
        <v>#REF!</v>
      </c>
      <c r="G22" s="363" t="e">
        <f t="shared" si="16"/>
        <v>#REF!</v>
      </c>
      <c r="H22" s="363" t="e">
        <f t="shared" si="16"/>
        <v>#REF!</v>
      </c>
      <c r="I22" s="363" t="e">
        <f t="shared" si="16"/>
        <v>#REF!</v>
      </c>
      <c r="L22" s="256" t="e">
        <f>L154</f>
        <v>#REF!</v>
      </c>
      <c r="M22" s="256" t="e">
        <f t="shared" ref="M22:Q22" si="17">M154</f>
        <v>#REF!</v>
      </c>
      <c r="N22" s="256" t="e">
        <f t="shared" si="17"/>
        <v>#REF!</v>
      </c>
      <c r="O22" s="256" t="e">
        <f t="shared" si="17"/>
        <v>#REF!</v>
      </c>
      <c r="P22" s="256" t="e">
        <f t="shared" si="17"/>
        <v>#REF!</v>
      </c>
      <c r="Q22" s="256" t="e">
        <f t="shared" si="17"/>
        <v>#REF!</v>
      </c>
      <c r="R22" s="120"/>
      <c r="S22" s="120"/>
      <c r="T22" s="120"/>
      <c r="U22" s="120"/>
      <c r="V22" s="120"/>
      <c r="W22" s="120"/>
      <c r="X22" s="120"/>
      <c r="Y22" s="120"/>
      <c r="Z22" s="120"/>
      <c r="AJ22" s="251"/>
      <c r="AK22" s="251"/>
      <c r="AL22" s="251"/>
      <c r="AM22" s="251"/>
      <c r="AN22" s="251"/>
    </row>
    <row r="23" spans="1:40" ht="14.5" customHeight="1" x14ac:dyDescent="0.35">
      <c r="A23" s="255"/>
      <c r="B23" s="381" t="str">
        <f>B145&amp;" - hours"</f>
        <v>Imaging scans - hours</v>
      </c>
      <c r="C23" s="363">
        <f>'Capacity inputs'!F20</f>
        <v>0</v>
      </c>
      <c r="D23" s="363" t="e">
        <f>$C$23/60*D22</f>
        <v>#REF!</v>
      </c>
      <c r="E23" s="363" t="e">
        <f t="shared" ref="E23:I23" si="18">$C$23/60*E22</f>
        <v>#REF!</v>
      </c>
      <c r="F23" s="363" t="e">
        <f t="shared" si="18"/>
        <v>#REF!</v>
      </c>
      <c r="G23" s="363" t="e">
        <f t="shared" si="18"/>
        <v>#REF!</v>
      </c>
      <c r="H23" s="363" t="e">
        <f t="shared" si="18"/>
        <v>#REF!</v>
      </c>
      <c r="I23" s="363" t="e">
        <f t="shared" si="18"/>
        <v>#REF!</v>
      </c>
      <c r="L23" s="569"/>
      <c r="M23" s="569"/>
      <c r="N23" s="569"/>
      <c r="O23" s="569"/>
      <c r="P23" s="569"/>
      <c r="Q23" s="569"/>
      <c r="R23" s="120"/>
      <c r="S23" s="120"/>
      <c r="T23" s="120"/>
      <c r="U23" s="120"/>
      <c r="V23" s="120"/>
      <c r="W23" s="120"/>
      <c r="X23" s="120"/>
      <c r="Y23" s="120"/>
      <c r="Z23" s="120"/>
      <c r="AJ23" s="251"/>
      <c r="AK23" s="251"/>
      <c r="AL23" s="251"/>
      <c r="AM23" s="251"/>
      <c r="AN23" s="251"/>
    </row>
    <row r="24" spans="1:40" ht="14.5" customHeight="1" x14ac:dyDescent="0.35">
      <c r="A24" s="255"/>
      <c r="B24" s="381" t="str">
        <f>B157</f>
        <v>Pathology tests</v>
      </c>
      <c r="C24" s="385"/>
      <c r="D24" s="363" t="e">
        <f>D166</f>
        <v>#REF!</v>
      </c>
      <c r="E24" s="363" t="e">
        <f t="shared" ref="E24:I24" si="19">E166</f>
        <v>#REF!</v>
      </c>
      <c r="F24" s="363" t="e">
        <f t="shared" si="19"/>
        <v>#REF!</v>
      </c>
      <c r="G24" s="363" t="e">
        <f t="shared" si="19"/>
        <v>#REF!</v>
      </c>
      <c r="H24" s="363" t="e">
        <f t="shared" si="19"/>
        <v>#REF!</v>
      </c>
      <c r="I24" s="363" t="e">
        <f t="shared" si="19"/>
        <v>#REF!</v>
      </c>
      <c r="L24" s="183"/>
      <c r="M24" s="183"/>
      <c r="N24" s="183"/>
      <c r="O24" s="183"/>
      <c r="P24" s="355"/>
      <c r="Q24" s="355"/>
      <c r="R24" s="120"/>
      <c r="S24" s="120"/>
      <c r="T24" s="120"/>
      <c r="U24" s="120"/>
      <c r="V24" s="120"/>
      <c r="W24" s="120"/>
      <c r="X24" s="120"/>
      <c r="Y24" s="120"/>
      <c r="Z24" s="120"/>
      <c r="AJ24" s="251"/>
      <c r="AK24" s="251"/>
      <c r="AL24" s="251"/>
      <c r="AM24" s="251"/>
      <c r="AN24" s="251"/>
    </row>
    <row r="25" spans="1:40" ht="14.5" customHeight="1" x14ac:dyDescent="0.35">
      <c r="A25" s="255"/>
      <c r="B25" s="381" t="str">
        <f>B157&amp;" - hours"</f>
        <v>Pathology tests - hours</v>
      </c>
      <c r="C25" s="363">
        <f>'Capacity inputs'!F21</f>
        <v>0</v>
      </c>
      <c r="D25" s="363" t="e">
        <f>$C25/60*D24</f>
        <v>#REF!</v>
      </c>
      <c r="E25" s="363" t="e">
        <f t="shared" ref="E25:I25" si="20">$C25/60*E24</f>
        <v>#REF!</v>
      </c>
      <c r="F25" s="363" t="e">
        <f t="shared" si="20"/>
        <v>#REF!</v>
      </c>
      <c r="G25" s="363" t="e">
        <f t="shared" si="20"/>
        <v>#REF!</v>
      </c>
      <c r="H25" s="363" t="e">
        <f t="shared" si="20"/>
        <v>#REF!</v>
      </c>
      <c r="I25" s="363" t="e">
        <f t="shared" si="20"/>
        <v>#REF!</v>
      </c>
      <c r="L25" s="183"/>
      <c r="M25" s="183"/>
      <c r="N25" s="183"/>
      <c r="O25" s="183"/>
      <c r="P25" s="355"/>
      <c r="Q25" s="355"/>
      <c r="R25" s="120"/>
      <c r="S25" s="120"/>
      <c r="T25" s="120"/>
      <c r="U25" s="120"/>
      <c r="V25" s="120"/>
      <c r="W25" s="120"/>
      <c r="X25" s="120"/>
      <c r="Y25" s="120"/>
      <c r="Z25" s="120"/>
      <c r="AJ25" s="251"/>
      <c r="AK25" s="251"/>
      <c r="AL25" s="251"/>
      <c r="AM25" s="251"/>
      <c r="AN25" s="251"/>
    </row>
    <row r="26" spans="1:40" ht="14.5" customHeight="1" x14ac:dyDescent="0.35">
      <c r="A26" s="255"/>
      <c r="B26" s="381" t="str">
        <f>B169</f>
        <v>Genomic tests</v>
      </c>
      <c r="C26" s="385"/>
      <c r="D26" s="363" t="e">
        <f>D178</f>
        <v>#REF!</v>
      </c>
      <c r="E26" s="363" t="e">
        <f t="shared" ref="E26:I26" si="21">E178</f>
        <v>#REF!</v>
      </c>
      <c r="F26" s="363" t="e">
        <f t="shared" si="21"/>
        <v>#REF!</v>
      </c>
      <c r="G26" s="363" t="e">
        <f t="shared" si="21"/>
        <v>#REF!</v>
      </c>
      <c r="H26" s="363" t="e">
        <f t="shared" si="21"/>
        <v>#REF!</v>
      </c>
      <c r="I26" s="363" t="e">
        <f t="shared" si="21"/>
        <v>#REF!</v>
      </c>
      <c r="L26" s="183"/>
      <c r="M26" s="183"/>
      <c r="N26" s="183"/>
      <c r="O26" s="183"/>
      <c r="P26" s="355"/>
      <c r="Q26" s="355"/>
      <c r="R26" s="120"/>
      <c r="S26" s="120"/>
      <c r="T26" s="120"/>
      <c r="U26" s="120"/>
      <c r="V26" s="120"/>
      <c r="W26" s="120"/>
      <c r="X26" s="120"/>
      <c r="Y26" s="120"/>
      <c r="Z26" s="120"/>
      <c r="AJ26" s="251"/>
      <c r="AK26" s="251"/>
      <c r="AL26" s="251"/>
      <c r="AM26" s="251"/>
      <c r="AN26" s="251"/>
    </row>
    <row r="27" spans="1:40" ht="14.5" customHeight="1" x14ac:dyDescent="0.35">
      <c r="A27" s="255"/>
      <c r="B27" s="575" t="str">
        <f>B169&amp;" - hours"</f>
        <v>Genomic tests - hours</v>
      </c>
      <c r="C27" s="576">
        <f>'Capacity inputs'!F22</f>
        <v>0</v>
      </c>
      <c r="D27" s="363" t="e">
        <f>$C27/60*D26</f>
        <v>#REF!</v>
      </c>
      <c r="E27" s="363" t="e">
        <f t="shared" ref="E27:I27" si="22">$C27/60*E26</f>
        <v>#REF!</v>
      </c>
      <c r="F27" s="363" t="e">
        <f t="shared" si="22"/>
        <v>#REF!</v>
      </c>
      <c r="G27" s="363" t="e">
        <f t="shared" si="22"/>
        <v>#REF!</v>
      </c>
      <c r="H27" s="363" t="e">
        <f t="shared" si="22"/>
        <v>#REF!</v>
      </c>
      <c r="I27" s="363" t="e">
        <f t="shared" si="22"/>
        <v>#REF!</v>
      </c>
      <c r="L27" s="183"/>
      <c r="M27" s="183"/>
      <c r="N27" s="183"/>
      <c r="O27" s="183"/>
      <c r="P27" s="355"/>
      <c r="Q27" s="355"/>
      <c r="R27" s="120"/>
      <c r="S27" s="120"/>
      <c r="T27" s="120"/>
      <c r="U27" s="120"/>
      <c r="V27" s="120"/>
      <c r="W27" s="120"/>
      <c r="X27" s="120"/>
      <c r="Y27" s="120"/>
      <c r="Z27" s="120"/>
      <c r="AJ27" s="251"/>
      <c r="AK27" s="251"/>
      <c r="AL27" s="251"/>
      <c r="AM27" s="251"/>
      <c r="AN27" s="251"/>
    </row>
    <row r="28" spans="1:40" ht="14.5" customHeight="1" x14ac:dyDescent="0.35">
      <c r="B28" s="214"/>
      <c r="D28" s="251"/>
      <c r="F28" s="120"/>
      <c r="G28" s="120"/>
      <c r="H28" s="120"/>
      <c r="I28" s="120"/>
      <c r="J28" s="120"/>
      <c r="K28" s="120"/>
      <c r="L28" s="257" t="e">
        <f t="shared" ref="L28:Q28" si="23">SUM(L10:L27)</f>
        <v>#REF!</v>
      </c>
      <c r="M28" s="257" t="e">
        <f t="shared" si="23"/>
        <v>#REF!</v>
      </c>
      <c r="N28" s="257" t="e">
        <f t="shared" si="23"/>
        <v>#REF!</v>
      </c>
      <c r="O28" s="257" t="e">
        <f t="shared" si="23"/>
        <v>#REF!</v>
      </c>
      <c r="P28" s="257" t="e">
        <f t="shared" si="23"/>
        <v>#REF!</v>
      </c>
      <c r="Q28" s="257" t="e">
        <f t="shared" si="23"/>
        <v>#REF!</v>
      </c>
      <c r="R28" s="120"/>
      <c r="S28" s="120"/>
      <c r="T28" s="120"/>
      <c r="U28" s="120"/>
      <c r="V28" s="120"/>
      <c r="W28" s="120"/>
      <c r="X28" s="120"/>
      <c r="Y28" s="120"/>
      <c r="Z28" s="120"/>
    </row>
    <row r="29" spans="1:40" x14ac:dyDescent="0.35">
      <c r="B29" s="279"/>
      <c r="C29" s="279"/>
      <c r="D29" s="279"/>
      <c r="E29" s="279"/>
      <c r="F29" s="279"/>
      <c r="G29" s="279"/>
      <c r="H29" s="279"/>
      <c r="I29" s="279"/>
      <c r="J29" s="279"/>
      <c r="K29" s="279"/>
      <c r="L29" s="279"/>
      <c r="P29" s="120"/>
      <c r="Q29" s="120"/>
      <c r="R29" s="120"/>
      <c r="S29" s="120"/>
      <c r="V29" s="120"/>
      <c r="W29" s="120"/>
      <c r="X29" s="120"/>
      <c r="Y29" s="120"/>
      <c r="Z29" s="120"/>
      <c r="AJ29" s="251"/>
      <c r="AK29" s="251"/>
      <c r="AL29" s="251"/>
      <c r="AM29" s="251"/>
      <c r="AN29" s="251"/>
    </row>
    <row r="30" spans="1:40" x14ac:dyDescent="0.35">
      <c r="B30" s="318" t="s">
        <v>712</v>
      </c>
      <c r="C30" s="319"/>
      <c r="D30" s="319"/>
      <c r="E30" s="320"/>
      <c r="F30" s="319"/>
      <c r="G30" s="321"/>
      <c r="H30" s="322"/>
      <c r="I30" s="322"/>
      <c r="J30" s="322"/>
      <c r="K30" s="322"/>
      <c r="L30" s="322"/>
      <c r="M30" s="322"/>
      <c r="N30" s="322"/>
      <c r="O30" s="322"/>
      <c r="P30" s="322"/>
      <c r="Q30" s="323"/>
      <c r="R30" s="120"/>
      <c r="S30" s="120"/>
      <c r="T30" s="120"/>
      <c r="U30" s="120"/>
      <c r="V30" s="120"/>
      <c r="W30" s="120"/>
      <c r="X30" s="120"/>
      <c r="Y30" s="120"/>
      <c r="Z30" s="120"/>
      <c r="AJ30" s="251"/>
      <c r="AK30" s="251"/>
      <c r="AL30" s="251"/>
      <c r="AM30" s="251"/>
      <c r="AN30" s="251"/>
    </row>
    <row r="31" spans="1:40" x14ac:dyDescent="0.35">
      <c r="A31" s="253"/>
      <c r="B31" s="452" t="s">
        <v>713</v>
      </c>
      <c r="C31" s="445"/>
      <c r="D31" s="446"/>
      <c r="E31" s="447"/>
      <c r="F31" s="253"/>
      <c r="G31" s="253"/>
      <c r="H31" s="192"/>
      <c r="I31" s="192"/>
      <c r="J31" s="192"/>
      <c r="K31" s="192"/>
      <c r="L31" s="192"/>
      <c r="M31" s="192"/>
      <c r="N31" s="192"/>
      <c r="O31" s="192"/>
      <c r="P31" s="192"/>
      <c r="Q31" s="192"/>
      <c r="R31" s="120"/>
      <c r="S31" s="120"/>
      <c r="T31" s="120"/>
      <c r="U31" s="120"/>
      <c r="V31" s="120"/>
      <c r="W31" s="120"/>
      <c r="X31" s="120"/>
      <c r="Y31" s="120"/>
      <c r="Z31" s="120"/>
      <c r="AJ31" s="251"/>
      <c r="AK31" s="251"/>
      <c r="AL31" s="251"/>
      <c r="AM31" s="251"/>
      <c r="AN31" s="251"/>
    </row>
    <row r="32" spans="1:40" x14ac:dyDescent="0.35">
      <c r="A32" s="443"/>
      <c r="B32" s="448" t="s">
        <v>714</v>
      </c>
      <c r="C32" s="341"/>
      <c r="D32" s="341"/>
      <c r="E32" s="341"/>
      <c r="F32" s="341"/>
      <c r="G32" s="341"/>
      <c r="H32" s="341"/>
      <c r="I32" s="191"/>
      <c r="J32" s="192"/>
      <c r="K32" s="192"/>
      <c r="L32" s="192"/>
      <c r="M32" s="192"/>
      <c r="N32" s="192"/>
      <c r="O32" s="192"/>
      <c r="P32" s="192"/>
      <c r="Q32" s="192"/>
      <c r="R32" s="120"/>
      <c r="S32" s="120"/>
      <c r="T32" s="120"/>
      <c r="U32" s="120"/>
      <c r="V32" s="120"/>
      <c r="W32" s="120"/>
      <c r="X32" s="120"/>
      <c r="Y32" s="120"/>
      <c r="Z32" s="120"/>
      <c r="AJ32" s="251"/>
      <c r="AK32" s="251"/>
      <c r="AL32" s="251"/>
      <c r="AM32" s="251"/>
      <c r="AN32" s="251"/>
    </row>
    <row r="33" spans="1:40" ht="43.5" x14ac:dyDescent="0.35">
      <c r="A33" s="443"/>
      <c r="B33" s="278" t="s">
        <v>649</v>
      </c>
      <c r="C33" s="152" t="s">
        <v>715</v>
      </c>
      <c r="D33" s="661" t="s">
        <v>698</v>
      </c>
      <c r="E33" s="222" t="s">
        <v>551</v>
      </c>
      <c r="F33" s="222" t="s">
        <v>552</v>
      </c>
      <c r="G33" s="151" t="s">
        <v>673</v>
      </c>
      <c r="H33" s="151" t="s">
        <v>674</v>
      </c>
      <c r="I33" s="222" t="s">
        <v>675</v>
      </c>
      <c r="J33" s="451"/>
      <c r="K33" s="442" t="s">
        <v>745</v>
      </c>
      <c r="L33" s="661" t="s">
        <v>698</v>
      </c>
      <c r="M33" s="663" t="s">
        <v>551</v>
      </c>
      <c r="N33" s="663" t="s">
        <v>552</v>
      </c>
      <c r="O33" s="360" t="s">
        <v>673</v>
      </c>
      <c r="P33" s="360" t="s">
        <v>674</v>
      </c>
      <c r="Q33" s="663" t="s">
        <v>675</v>
      </c>
      <c r="R33" s="120"/>
      <c r="S33" s="120"/>
      <c r="T33" s="120"/>
      <c r="U33" s="120"/>
      <c r="V33" s="120"/>
      <c r="W33" s="120"/>
      <c r="X33" s="120"/>
      <c r="Y33" s="120"/>
      <c r="Z33" s="120"/>
      <c r="AJ33" s="251"/>
      <c r="AK33" s="251"/>
      <c r="AL33" s="251"/>
      <c r="AM33" s="251"/>
      <c r="AN33" s="251"/>
    </row>
    <row r="34" spans="1:40" x14ac:dyDescent="0.35">
      <c r="A34" s="443"/>
      <c r="B34" s="304" t="str">
        <f>'Capacity inputs'!G12</f>
        <v>Treatment A</v>
      </c>
      <c r="C34" s="136">
        <f>'Capacity inputs'!G$13</f>
        <v>0</v>
      </c>
      <c r="D34" s="115">
        <f>'Financial impact (cash)'!D13*$C$34</f>
        <v>0</v>
      </c>
      <c r="E34" s="115">
        <f>'Financial impact (cash)'!E13*$C$34</f>
        <v>0</v>
      </c>
      <c r="F34" s="115">
        <f>'Financial impact (cash)'!F13*$C$34</f>
        <v>0</v>
      </c>
      <c r="G34" s="115">
        <f>'Financial impact (cash)'!G13*$C$34</f>
        <v>0</v>
      </c>
      <c r="H34" s="115">
        <f>'Financial impact (cash)'!H13*$C$34</f>
        <v>0</v>
      </c>
      <c r="I34" s="115">
        <f>'Financial impact (cash)'!I13*$C$34</f>
        <v>0</v>
      </c>
      <c r="J34" s="451"/>
      <c r="K34" s="454">
        <f>'Unit costs'!N80</f>
        <v>0</v>
      </c>
      <c r="L34" s="256">
        <f>(D34*$K34)/1000</f>
        <v>0</v>
      </c>
      <c r="M34" s="256">
        <f t="shared" ref="M34:Q40" si="24">(E34*$K34)/1000</f>
        <v>0</v>
      </c>
      <c r="N34" s="256">
        <f t="shared" si="24"/>
        <v>0</v>
      </c>
      <c r="O34" s="256">
        <f t="shared" si="24"/>
        <v>0</v>
      </c>
      <c r="P34" s="256">
        <f t="shared" si="24"/>
        <v>0</v>
      </c>
      <c r="Q34" s="256">
        <f t="shared" si="24"/>
        <v>0</v>
      </c>
      <c r="R34" s="120"/>
      <c r="S34" s="120"/>
      <c r="T34" s="120"/>
      <c r="U34" s="120"/>
      <c r="V34" s="120"/>
      <c r="W34" s="120"/>
      <c r="X34" s="120"/>
      <c r="Y34" s="120"/>
      <c r="Z34" s="120"/>
      <c r="AJ34" s="251"/>
      <c r="AK34" s="251"/>
      <c r="AL34" s="251"/>
      <c r="AM34" s="251"/>
      <c r="AN34" s="251"/>
    </row>
    <row r="35" spans="1:40" x14ac:dyDescent="0.35">
      <c r="A35" s="443"/>
      <c r="B35" s="304" t="str">
        <f>'Capacity inputs'!H12</f>
        <v>Treatment B</v>
      </c>
      <c r="C35" s="136">
        <f>'Capacity inputs'!H$13</f>
        <v>0</v>
      </c>
      <c r="D35" s="115">
        <f>'Financial impact (cash)'!D14*$C$34</f>
        <v>0</v>
      </c>
      <c r="E35" s="115">
        <f>'Financial impact (cash)'!E14*$C$34</f>
        <v>0</v>
      </c>
      <c r="F35" s="115">
        <f>'Financial impact (cash)'!F14*$C$34</f>
        <v>0</v>
      </c>
      <c r="G35" s="115">
        <f>'Financial impact (cash)'!G14*$C$34</f>
        <v>0</v>
      </c>
      <c r="H35" s="115">
        <f>'Financial impact (cash)'!H14*$C$34</f>
        <v>0</v>
      </c>
      <c r="I35" s="115">
        <f>'Financial impact (cash)'!I14*$C$34</f>
        <v>0</v>
      </c>
      <c r="J35" s="451"/>
      <c r="K35" s="454">
        <f>K34</f>
        <v>0</v>
      </c>
      <c r="L35" s="256">
        <f t="shared" ref="L35:L40" si="25">(D35*$K35)/1000</f>
        <v>0</v>
      </c>
      <c r="M35" s="256">
        <f t="shared" si="24"/>
        <v>0</v>
      </c>
      <c r="N35" s="256">
        <f t="shared" si="24"/>
        <v>0</v>
      </c>
      <c r="O35" s="256">
        <f t="shared" si="24"/>
        <v>0</v>
      </c>
      <c r="P35" s="256">
        <f t="shared" si="24"/>
        <v>0</v>
      </c>
      <c r="Q35" s="256">
        <f t="shared" si="24"/>
        <v>0</v>
      </c>
      <c r="R35" s="120"/>
      <c r="S35" s="120"/>
      <c r="T35" s="120"/>
      <c r="U35" s="120"/>
      <c r="V35" s="120"/>
      <c r="W35" s="120"/>
      <c r="X35" s="120"/>
      <c r="Y35" s="120"/>
      <c r="Z35" s="120"/>
      <c r="AJ35" s="251"/>
      <c r="AK35" s="251"/>
      <c r="AL35" s="251"/>
      <c r="AM35" s="251"/>
      <c r="AN35" s="251"/>
    </row>
    <row r="36" spans="1:40" x14ac:dyDescent="0.35">
      <c r="A36" s="443"/>
      <c r="B36" s="304" t="str">
        <f>'Capacity inputs'!I12</f>
        <v>Treatment C</v>
      </c>
      <c r="C36" s="136">
        <f>'Capacity inputs'!I$13</f>
        <v>0</v>
      </c>
      <c r="D36" s="115" t="e">
        <f>'Financial impact (cash)'!D15*$C$34</f>
        <v>#REF!</v>
      </c>
      <c r="E36" s="115" t="e">
        <f>'Financial impact (cash)'!E15*$C$34</f>
        <v>#REF!</v>
      </c>
      <c r="F36" s="115" t="e">
        <f>'Financial impact (cash)'!F15*$C$34</f>
        <v>#REF!</v>
      </c>
      <c r="G36" s="115" t="e">
        <f>'Financial impact (cash)'!G15*$C$34</f>
        <v>#REF!</v>
      </c>
      <c r="H36" s="115" t="e">
        <f>'Financial impact (cash)'!H15*$C$34</f>
        <v>#REF!</v>
      </c>
      <c r="I36" s="115" t="e">
        <f>'Financial impact (cash)'!I15*$C$34</f>
        <v>#REF!</v>
      </c>
      <c r="J36" s="451"/>
      <c r="K36" s="454">
        <f>K34</f>
        <v>0</v>
      </c>
      <c r="L36" s="256" t="e">
        <f t="shared" si="25"/>
        <v>#REF!</v>
      </c>
      <c r="M36" s="256" t="e">
        <f t="shared" si="24"/>
        <v>#REF!</v>
      </c>
      <c r="N36" s="256" t="e">
        <f t="shared" si="24"/>
        <v>#REF!</v>
      </c>
      <c r="O36" s="256" t="e">
        <f t="shared" si="24"/>
        <v>#REF!</v>
      </c>
      <c r="P36" s="256" t="e">
        <f t="shared" si="24"/>
        <v>#REF!</v>
      </c>
      <c r="Q36" s="256" t="e">
        <f t="shared" si="24"/>
        <v>#REF!</v>
      </c>
      <c r="R36" s="120"/>
      <c r="S36" s="120"/>
      <c r="T36" s="120"/>
      <c r="U36" s="120"/>
      <c r="V36" s="120"/>
      <c r="W36" s="120"/>
      <c r="X36" s="120"/>
      <c r="Y36" s="120"/>
      <c r="Z36" s="120"/>
      <c r="AJ36" s="251"/>
      <c r="AK36" s="251"/>
      <c r="AL36" s="251"/>
      <c r="AM36" s="251"/>
      <c r="AN36" s="251"/>
    </row>
    <row r="37" spans="1:40" x14ac:dyDescent="0.35">
      <c r="A37" s="443"/>
      <c r="B37" s="674" t="str">
        <f>'Capacity inputs'!J12</f>
        <v>Treatment D</v>
      </c>
      <c r="C37" s="136">
        <f>'Capacity inputs'!J$13</f>
        <v>0</v>
      </c>
      <c r="D37" s="115" t="e">
        <f>'Financial impact (cash)'!D16*$C$34</f>
        <v>#REF!</v>
      </c>
      <c r="E37" s="115" t="e">
        <f>'Financial impact (cash)'!E16*$C$34</f>
        <v>#REF!</v>
      </c>
      <c r="F37" s="115" t="e">
        <f>'Financial impact (cash)'!F16*$C$34</f>
        <v>#REF!</v>
      </c>
      <c r="G37" s="115" t="e">
        <f>'Financial impact (cash)'!G16*$C$34</f>
        <v>#REF!</v>
      </c>
      <c r="H37" s="115" t="e">
        <f>'Financial impact (cash)'!H16*$C$34</f>
        <v>#REF!</v>
      </c>
      <c r="I37" s="115" t="e">
        <f>'Financial impact (cash)'!I16*$C$34</f>
        <v>#REF!</v>
      </c>
      <c r="J37" s="451"/>
      <c r="K37" s="454">
        <f>K34</f>
        <v>0</v>
      </c>
      <c r="L37" s="256" t="e">
        <f t="shared" si="25"/>
        <v>#REF!</v>
      </c>
      <c r="M37" s="256" t="e">
        <f t="shared" si="24"/>
        <v>#REF!</v>
      </c>
      <c r="N37" s="256" t="e">
        <f t="shared" si="24"/>
        <v>#REF!</v>
      </c>
      <c r="O37" s="256" t="e">
        <f t="shared" si="24"/>
        <v>#REF!</v>
      </c>
      <c r="P37" s="256" t="e">
        <f t="shared" si="24"/>
        <v>#REF!</v>
      </c>
      <c r="Q37" s="256" t="e">
        <f t="shared" si="24"/>
        <v>#REF!</v>
      </c>
      <c r="R37" s="120"/>
      <c r="S37" s="120"/>
      <c r="T37" s="120"/>
      <c r="U37" s="120"/>
      <c r="V37" s="120"/>
      <c r="W37" s="120"/>
      <c r="X37" s="120"/>
      <c r="Y37" s="120"/>
      <c r="Z37" s="120"/>
      <c r="AJ37" s="251"/>
      <c r="AK37" s="251"/>
      <c r="AL37" s="251"/>
      <c r="AM37" s="251"/>
      <c r="AN37" s="251"/>
    </row>
    <row r="38" spans="1:40" x14ac:dyDescent="0.35">
      <c r="A38" s="443"/>
      <c r="B38" s="674" t="str">
        <f>'Capacity inputs'!K12</f>
        <v>Treatment E</v>
      </c>
      <c r="C38" s="136">
        <f>'Capacity inputs'!K$13</f>
        <v>0</v>
      </c>
      <c r="D38" s="115" t="e">
        <f>'Financial impact (cash)'!D17*$C$34</f>
        <v>#REF!</v>
      </c>
      <c r="E38" s="115" t="e">
        <f>'Financial impact (cash)'!E17*$C$34</f>
        <v>#REF!</v>
      </c>
      <c r="F38" s="115" t="e">
        <f>'Financial impact (cash)'!F17*$C$34</f>
        <v>#REF!</v>
      </c>
      <c r="G38" s="115" t="e">
        <f>'Financial impact (cash)'!G17*$C$34</f>
        <v>#REF!</v>
      </c>
      <c r="H38" s="115" t="e">
        <f>'Financial impact (cash)'!H17*$C$34</f>
        <v>#REF!</v>
      </c>
      <c r="I38" s="115" t="e">
        <f>'Financial impact (cash)'!I17*$C$34</f>
        <v>#REF!</v>
      </c>
      <c r="J38" s="451"/>
      <c r="K38" s="454">
        <f>K34</f>
        <v>0</v>
      </c>
      <c r="L38" s="256" t="e">
        <f t="shared" si="25"/>
        <v>#REF!</v>
      </c>
      <c r="M38" s="256" t="e">
        <f t="shared" si="24"/>
        <v>#REF!</v>
      </c>
      <c r="N38" s="256" t="e">
        <f t="shared" si="24"/>
        <v>#REF!</v>
      </c>
      <c r="O38" s="256" t="e">
        <f t="shared" si="24"/>
        <v>#REF!</v>
      </c>
      <c r="P38" s="256" t="e">
        <f t="shared" si="24"/>
        <v>#REF!</v>
      </c>
      <c r="Q38" s="256" t="e">
        <f t="shared" si="24"/>
        <v>#REF!</v>
      </c>
      <c r="R38" s="120"/>
      <c r="S38" s="120"/>
      <c r="T38" s="120"/>
      <c r="U38" s="120"/>
      <c r="V38" s="120"/>
      <c r="W38" s="120"/>
      <c r="X38" s="120"/>
      <c r="Y38" s="120"/>
      <c r="Z38" s="120"/>
      <c r="AJ38" s="251"/>
      <c r="AK38" s="251"/>
      <c r="AL38" s="251"/>
      <c r="AM38" s="251"/>
      <c r="AN38" s="251"/>
    </row>
    <row r="39" spans="1:40" x14ac:dyDescent="0.35">
      <c r="A39" s="443"/>
      <c r="B39" s="674" t="str">
        <f>'Capacity inputs'!L12</f>
        <v>Treatment F</v>
      </c>
      <c r="C39" s="136">
        <f>'Capacity inputs'!L$13</f>
        <v>0</v>
      </c>
      <c r="D39" s="115" t="e">
        <f>'Financial impact (cash)'!D18*$C$34</f>
        <v>#REF!</v>
      </c>
      <c r="E39" s="115" t="e">
        <f>'Financial impact (cash)'!E18*$C$34</f>
        <v>#REF!</v>
      </c>
      <c r="F39" s="115" t="e">
        <f>'Financial impact (cash)'!F18*$C$34</f>
        <v>#REF!</v>
      </c>
      <c r="G39" s="115" t="e">
        <f>'Financial impact (cash)'!G18*$C$34</f>
        <v>#REF!</v>
      </c>
      <c r="H39" s="115" t="e">
        <f>'Financial impact (cash)'!H18*$C$34</f>
        <v>#REF!</v>
      </c>
      <c r="I39" s="115" t="e">
        <f>'Financial impact (cash)'!I18*$C$34</f>
        <v>#REF!</v>
      </c>
      <c r="J39" s="451"/>
      <c r="K39" s="454">
        <f>K34</f>
        <v>0</v>
      </c>
      <c r="L39" s="256" t="e">
        <f t="shared" si="25"/>
        <v>#REF!</v>
      </c>
      <c r="M39" s="256" t="e">
        <f t="shared" si="24"/>
        <v>#REF!</v>
      </c>
      <c r="N39" s="256" t="e">
        <f t="shared" si="24"/>
        <v>#REF!</v>
      </c>
      <c r="O39" s="256" t="e">
        <f t="shared" si="24"/>
        <v>#REF!</v>
      </c>
      <c r="P39" s="256" t="e">
        <f t="shared" si="24"/>
        <v>#REF!</v>
      </c>
      <c r="Q39" s="256" t="e">
        <f t="shared" si="24"/>
        <v>#REF!</v>
      </c>
      <c r="R39" s="120"/>
      <c r="S39" s="120"/>
      <c r="T39" s="120"/>
      <c r="U39" s="120"/>
      <c r="V39" s="120"/>
      <c r="W39" s="120"/>
      <c r="X39" s="120"/>
      <c r="Y39" s="120"/>
      <c r="Z39" s="120"/>
      <c r="AJ39" s="251"/>
      <c r="AK39" s="251"/>
      <c r="AL39" s="251"/>
      <c r="AM39" s="251"/>
      <c r="AN39" s="251"/>
    </row>
    <row r="40" spans="1:40" x14ac:dyDescent="0.35">
      <c r="A40" s="443"/>
      <c r="B40" s="674" t="str">
        <f>'Capacity inputs'!M12</f>
        <v>Treatment G</v>
      </c>
      <c r="C40" s="136">
        <f>'Capacity inputs'!M$13</f>
        <v>0</v>
      </c>
      <c r="D40" s="115" t="e">
        <f>'Financial impact (cash)'!D19*$C$34</f>
        <v>#REF!</v>
      </c>
      <c r="E40" s="115" t="e">
        <f>'Financial impact (cash)'!E19*$C$34</f>
        <v>#REF!</v>
      </c>
      <c r="F40" s="115" t="e">
        <f>'Financial impact (cash)'!F19*$C$34</f>
        <v>#REF!</v>
      </c>
      <c r="G40" s="115" t="e">
        <f>'Financial impact (cash)'!G19*$C$34</f>
        <v>#REF!</v>
      </c>
      <c r="H40" s="115" t="e">
        <f>'Financial impact (cash)'!H19*$C$34</f>
        <v>#REF!</v>
      </c>
      <c r="I40" s="115" t="e">
        <f>'Financial impact (cash)'!I19*$C$34</f>
        <v>#REF!</v>
      </c>
      <c r="J40" s="451"/>
      <c r="K40" s="454">
        <f>K34</f>
        <v>0</v>
      </c>
      <c r="L40" s="256" t="e">
        <f t="shared" si="25"/>
        <v>#REF!</v>
      </c>
      <c r="M40" s="256" t="e">
        <f t="shared" si="24"/>
        <v>#REF!</v>
      </c>
      <c r="N40" s="256" t="e">
        <f t="shared" si="24"/>
        <v>#REF!</v>
      </c>
      <c r="O40" s="256" t="e">
        <f t="shared" si="24"/>
        <v>#REF!</v>
      </c>
      <c r="P40" s="256" t="e">
        <f t="shared" si="24"/>
        <v>#REF!</v>
      </c>
      <c r="Q40" s="256" t="e">
        <f t="shared" si="24"/>
        <v>#REF!</v>
      </c>
      <c r="R40" s="120"/>
      <c r="S40" s="120"/>
      <c r="T40" s="120"/>
      <c r="U40" s="120"/>
      <c r="V40" s="120"/>
      <c r="W40" s="120"/>
      <c r="X40" s="120"/>
      <c r="Y40" s="120"/>
      <c r="Z40" s="120"/>
      <c r="AJ40" s="251"/>
      <c r="AK40" s="251"/>
      <c r="AL40" s="251"/>
      <c r="AM40" s="251"/>
      <c r="AN40" s="251"/>
    </row>
    <row r="41" spans="1:40" x14ac:dyDescent="0.35">
      <c r="A41" s="443"/>
      <c r="B41" s="432"/>
      <c r="C41" s="282"/>
      <c r="D41" s="167" t="e">
        <f>SUM(D34:D40)</f>
        <v>#REF!</v>
      </c>
      <c r="E41" s="167" t="e">
        <f t="shared" ref="E41:I41" si="26">SUM(E34:E40)</f>
        <v>#REF!</v>
      </c>
      <c r="F41" s="167" t="e">
        <f t="shared" si="26"/>
        <v>#REF!</v>
      </c>
      <c r="G41" s="167" t="e">
        <f t="shared" si="26"/>
        <v>#REF!</v>
      </c>
      <c r="H41" s="167" t="e">
        <f t="shared" si="26"/>
        <v>#REF!</v>
      </c>
      <c r="I41" s="167" t="e">
        <f t="shared" si="26"/>
        <v>#REF!</v>
      </c>
      <c r="J41" s="451"/>
      <c r="K41" s="192"/>
      <c r="L41" s="257" t="e">
        <f>SUM(L34:L40)</f>
        <v>#REF!</v>
      </c>
      <c r="M41" s="257" t="e">
        <f t="shared" ref="M41:Q41" si="27">SUM(M34:M40)</f>
        <v>#REF!</v>
      </c>
      <c r="N41" s="257" t="e">
        <f t="shared" si="27"/>
        <v>#REF!</v>
      </c>
      <c r="O41" s="257" t="e">
        <f t="shared" si="27"/>
        <v>#REF!</v>
      </c>
      <c r="P41" s="257" t="e">
        <f t="shared" si="27"/>
        <v>#REF!</v>
      </c>
      <c r="Q41" s="257" t="e">
        <f t="shared" si="27"/>
        <v>#REF!</v>
      </c>
      <c r="R41" s="120"/>
      <c r="S41" s="120"/>
      <c r="T41" s="120"/>
      <c r="U41" s="120"/>
      <c r="V41" s="120"/>
      <c r="W41" s="120"/>
      <c r="X41" s="120"/>
      <c r="Y41" s="120"/>
      <c r="Z41" s="120"/>
      <c r="AJ41" s="251"/>
      <c r="AK41" s="251"/>
      <c r="AL41" s="251"/>
      <c r="AM41" s="251"/>
      <c r="AN41" s="251"/>
    </row>
    <row r="42" spans="1:40" x14ac:dyDescent="0.35">
      <c r="A42" s="443"/>
      <c r="B42" s="223"/>
      <c r="C42" s="282"/>
      <c r="D42" s="250" t="s">
        <v>716</v>
      </c>
      <c r="E42" s="167" t="e">
        <f>E41-$D$41</f>
        <v>#REF!</v>
      </c>
      <c r="F42" s="167" t="e">
        <f>F41-$D$41</f>
        <v>#REF!</v>
      </c>
      <c r="G42" s="167" t="e">
        <f>G41-$D$41</f>
        <v>#REF!</v>
      </c>
      <c r="H42" s="167" t="e">
        <f>H41-$D$41</f>
        <v>#REF!</v>
      </c>
      <c r="I42" s="167" t="e">
        <f>I41-$D$41</f>
        <v>#REF!</v>
      </c>
      <c r="J42" s="451"/>
      <c r="K42" s="192"/>
      <c r="L42" s="192"/>
      <c r="M42" s="257" t="e">
        <f>M41-$L41</f>
        <v>#REF!</v>
      </c>
      <c r="N42" s="257" t="e">
        <f t="shared" ref="N42:Q42" si="28">N41-$L41</f>
        <v>#REF!</v>
      </c>
      <c r="O42" s="257" t="e">
        <f t="shared" si="28"/>
        <v>#REF!</v>
      </c>
      <c r="P42" s="257" t="e">
        <f t="shared" si="28"/>
        <v>#REF!</v>
      </c>
      <c r="Q42" s="257" t="e">
        <f t="shared" si="28"/>
        <v>#REF!</v>
      </c>
      <c r="R42" s="120"/>
      <c r="S42" s="120"/>
      <c r="T42" s="120"/>
      <c r="U42" s="120"/>
      <c r="V42" s="120"/>
      <c r="W42" s="120"/>
      <c r="X42" s="120"/>
      <c r="Y42" s="120"/>
      <c r="Z42" s="120"/>
      <c r="AJ42" s="251"/>
      <c r="AK42" s="251"/>
      <c r="AL42" s="251"/>
      <c r="AM42" s="251"/>
      <c r="AN42" s="251"/>
    </row>
    <row r="43" spans="1:40" x14ac:dyDescent="0.35">
      <c r="A43" s="253"/>
      <c r="B43" s="444"/>
      <c r="C43" s="445"/>
      <c r="D43" s="446"/>
      <c r="E43" s="447"/>
      <c r="F43" s="253"/>
      <c r="G43" s="253"/>
      <c r="H43" s="253"/>
      <c r="I43" s="273"/>
      <c r="J43" s="192"/>
      <c r="K43" s="192"/>
      <c r="L43" s="192"/>
      <c r="M43" s="192"/>
      <c r="N43" s="192"/>
      <c r="O43" s="192"/>
      <c r="P43" s="192"/>
      <c r="Q43" s="192"/>
      <c r="R43" s="120"/>
      <c r="S43" s="120"/>
      <c r="T43" s="120"/>
      <c r="U43" s="120"/>
      <c r="V43" s="120"/>
      <c r="W43" s="120"/>
      <c r="X43" s="120"/>
      <c r="Y43" s="120"/>
      <c r="Z43" s="120"/>
      <c r="AJ43" s="251"/>
      <c r="AK43" s="251"/>
      <c r="AL43" s="251"/>
      <c r="AM43" s="251"/>
      <c r="AN43" s="251"/>
    </row>
    <row r="44" spans="1:40" x14ac:dyDescent="0.35">
      <c r="A44" s="253"/>
      <c r="B44" s="340" t="s">
        <v>717</v>
      </c>
      <c r="C44" s="341"/>
      <c r="D44" s="341"/>
      <c r="E44" s="341"/>
      <c r="F44" s="341"/>
      <c r="G44" s="341"/>
      <c r="H44" s="341"/>
      <c r="I44" s="191"/>
      <c r="J44" s="192"/>
      <c r="K44" s="192"/>
      <c r="L44" s="192"/>
      <c r="M44" s="192"/>
      <c r="N44" s="192"/>
      <c r="O44" s="192"/>
      <c r="P44" s="192"/>
      <c r="Q44" s="192"/>
      <c r="R44" s="120"/>
      <c r="S44" s="120"/>
      <c r="T44" s="120"/>
      <c r="U44" s="120"/>
      <c r="V44" s="120"/>
      <c r="W44" s="120"/>
      <c r="X44" s="120"/>
      <c r="Y44" s="120"/>
      <c r="Z44" s="120"/>
      <c r="AJ44" s="251"/>
      <c r="AK44" s="251"/>
      <c r="AL44" s="251"/>
      <c r="AM44" s="251"/>
      <c r="AN44" s="251"/>
    </row>
    <row r="45" spans="1:40" ht="43.5" x14ac:dyDescent="0.35">
      <c r="A45" s="253"/>
      <c r="B45" s="244" t="s">
        <v>649</v>
      </c>
      <c r="C45" s="152" t="s">
        <v>715</v>
      </c>
      <c r="D45" s="661" t="s">
        <v>698</v>
      </c>
      <c r="E45" s="222" t="s">
        <v>551</v>
      </c>
      <c r="F45" s="222" t="s">
        <v>552</v>
      </c>
      <c r="G45" s="151" t="s">
        <v>673</v>
      </c>
      <c r="H45" s="151" t="s">
        <v>674</v>
      </c>
      <c r="I45" s="222" t="s">
        <v>675</v>
      </c>
      <c r="J45" s="192"/>
      <c r="K45" s="442" t="s">
        <v>745</v>
      </c>
      <c r="L45" s="661" t="s">
        <v>698</v>
      </c>
      <c r="M45" s="663" t="s">
        <v>551</v>
      </c>
      <c r="N45" s="663" t="s">
        <v>552</v>
      </c>
      <c r="O45" s="360" t="s">
        <v>673</v>
      </c>
      <c r="P45" s="360" t="s">
        <v>674</v>
      </c>
      <c r="Q45" s="663" t="s">
        <v>675</v>
      </c>
      <c r="R45" s="120"/>
      <c r="S45" s="120"/>
      <c r="T45" s="120"/>
      <c r="U45" s="120"/>
      <c r="V45" s="120"/>
      <c r="W45" s="120"/>
      <c r="X45" s="120"/>
      <c r="Y45" s="120"/>
      <c r="Z45" s="120"/>
      <c r="AJ45" s="251"/>
      <c r="AK45" s="251"/>
      <c r="AL45" s="251"/>
      <c r="AM45" s="251"/>
      <c r="AN45" s="251"/>
    </row>
    <row r="46" spans="1:40" x14ac:dyDescent="0.35">
      <c r="A46" s="253"/>
      <c r="B46" s="303" t="str">
        <f>B34</f>
        <v>Treatment A</v>
      </c>
      <c r="C46" s="136">
        <f>'Capacity inputs'!G$14</f>
        <v>0</v>
      </c>
      <c r="D46" s="115">
        <f>'Financial impact (cash)'!D13*$C46</f>
        <v>0</v>
      </c>
      <c r="E46" s="115">
        <f>'Financial impact (cash)'!E13*$C46</f>
        <v>0</v>
      </c>
      <c r="F46" s="115">
        <f>'Financial impact (cash)'!F13*$C46</f>
        <v>0</v>
      </c>
      <c r="G46" s="115">
        <f>'Financial impact (cash)'!G13*$C46</f>
        <v>0</v>
      </c>
      <c r="H46" s="115">
        <f>'Financial impact (cash)'!H13*$C46</f>
        <v>0</v>
      </c>
      <c r="I46" s="115">
        <f>'Financial impact (cash)'!I13*$C46</f>
        <v>0</v>
      </c>
      <c r="J46" s="192"/>
      <c r="K46" s="454">
        <f>'Unit costs'!N81</f>
        <v>0</v>
      </c>
      <c r="L46" s="256">
        <f>(D46*$K46)/1000</f>
        <v>0</v>
      </c>
      <c r="M46" s="256">
        <f t="shared" ref="M46:Q52" si="29">(E46*$K46)/1000</f>
        <v>0</v>
      </c>
      <c r="N46" s="256">
        <f t="shared" si="29"/>
        <v>0</v>
      </c>
      <c r="O46" s="256">
        <f t="shared" si="29"/>
        <v>0</v>
      </c>
      <c r="P46" s="256">
        <f t="shared" si="29"/>
        <v>0</v>
      </c>
      <c r="Q46" s="256">
        <f t="shared" si="29"/>
        <v>0</v>
      </c>
      <c r="R46" s="120"/>
      <c r="S46" s="120"/>
      <c r="T46" s="120"/>
      <c r="U46" s="120"/>
      <c r="V46" s="120"/>
      <c r="W46" s="120"/>
      <c r="X46" s="120"/>
      <c r="Y46" s="120"/>
      <c r="Z46" s="120"/>
      <c r="AJ46" s="251"/>
      <c r="AK46" s="251"/>
      <c r="AL46" s="251"/>
      <c r="AM46" s="251"/>
      <c r="AN46" s="251"/>
    </row>
    <row r="47" spans="1:40" x14ac:dyDescent="0.35">
      <c r="A47" s="253"/>
      <c r="B47" s="303" t="str">
        <f t="shared" ref="B47:B52" si="30">B35</f>
        <v>Treatment B</v>
      </c>
      <c r="C47" s="136">
        <f>'Capacity inputs'!H$14</f>
        <v>0</v>
      </c>
      <c r="D47" s="115">
        <f>'Financial impact (cash)'!D14*$C47</f>
        <v>0</v>
      </c>
      <c r="E47" s="115">
        <f>'Financial impact (cash)'!E14*$C47</f>
        <v>0</v>
      </c>
      <c r="F47" s="115">
        <f>'Financial impact (cash)'!F14*$C47</f>
        <v>0</v>
      </c>
      <c r="G47" s="115">
        <f>'Financial impact (cash)'!G14*$C47</f>
        <v>0</v>
      </c>
      <c r="H47" s="115">
        <f>'Financial impact (cash)'!H14*$C47</f>
        <v>0</v>
      </c>
      <c r="I47" s="115">
        <f>'Financial impact (cash)'!I14*$C47</f>
        <v>0</v>
      </c>
      <c r="J47" s="192"/>
      <c r="K47" s="454">
        <f>K46</f>
        <v>0</v>
      </c>
      <c r="L47" s="256">
        <f t="shared" ref="L47:L52" si="31">(D47*$K47)/1000</f>
        <v>0</v>
      </c>
      <c r="M47" s="256">
        <f t="shared" si="29"/>
        <v>0</v>
      </c>
      <c r="N47" s="256">
        <f t="shared" si="29"/>
        <v>0</v>
      </c>
      <c r="O47" s="256">
        <f t="shared" si="29"/>
        <v>0</v>
      </c>
      <c r="P47" s="256">
        <f t="shared" si="29"/>
        <v>0</v>
      </c>
      <c r="Q47" s="256">
        <f t="shared" si="29"/>
        <v>0</v>
      </c>
      <c r="R47" s="120"/>
      <c r="S47" s="120"/>
      <c r="T47" s="120"/>
      <c r="U47" s="120"/>
      <c r="V47" s="120"/>
      <c r="W47" s="120"/>
      <c r="X47" s="120"/>
      <c r="Y47" s="120"/>
      <c r="Z47" s="120"/>
      <c r="AJ47" s="251"/>
      <c r="AK47" s="251"/>
      <c r="AL47" s="251"/>
      <c r="AM47" s="251"/>
      <c r="AN47" s="251"/>
    </row>
    <row r="48" spans="1:40" x14ac:dyDescent="0.35">
      <c r="A48" s="253"/>
      <c r="B48" s="303" t="str">
        <f t="shared" si="30"/>
        <v>Treatment C</v>
      </c>
      <c r="C48" s="136">
        <f>'Capacity inputs'!I$14</f>
        <v>0</v>
      </c>
      <c r="D48" s="115" t="e">
        <f>'Financial impact (cash)'!D15*$C48</f>
        <v>#REF!</v>
      </c>
      <c r="E48" s="115" t="e">
        <f>'Financial impact (cash)'!E15*$C48</f>
        <v>#REF!</v>
      </c>
      <c r="F48" s="115" t="e">
        <f>'Financial impact (cash)'!F15*$C48</f>
        <v>#REF!</v>
      </c>
      <c r="G48" s="115" t="e">
        <f>'Financial impact (cash)'!G15*$C48</f>
        <v>#REF!</v>
      </c>
      <c r="H48" s="115" t="e">
        <f>'Financial impact (cash)'!H15*$C48</f>
        <v>#REF!</v>
      </c>
      <c r="I48" s="115" t="e">
        <f>'Financial impact (cash)'!I15*$C48</f>
        <v>#REF!</v>
      </c>
      <c r="J48" s="192"/>
      <c r="K48" s="454">
        <f>K46</f>
        <v>0</v>
      </c>
      <c r="L48" s="256" t="e">
        <f t="shared" si="31"/>
        <v>#REF!</v>
      </c>
      <c r="M48" s="256" t="e">
        <f t="shared" si="29"/>
        <v>#REF!</v>
      </c>
      <c r="N48" s="256" t="e">
        <f t="shared" si="29"/>
        <v>#REF!</v>
      </c>
      <c r="O48" s="256" t="e">
        <f t="shared" si="29"/>
        <v>#REF!</v>
      </c>
      <c r="P48" s="256" t="e">
        <f t="shared" si="29"/>
        <v>#REF!</v>
      </c>
      <c r="Q48" s="256" t="e">
        <f t="shared" si="29"/>
        <v>#REF!</v>
      </c>
      <c r="R48" s="120"/>
      <c r="S48" s="120"/>
      <c r="T48" s="120"/>
      <c r="U48" s="120"/>
      <c r="V48" s="120"/>
      <c r="W48" s="120"/>
      <c r="X48" s="120"/>
      <c r="Y48" s="120"/>
      <c r="Z48" s="120"/>
      <c r="AJ48" s="251"/>
      <c r="AK48" s="251"/>
      <c r="AL48" s="251"/>
      <c r="AM48" s="251"/>
      <c r="AN48" s="251"/>
    </row>
    <row r="49" spans="1:40" x14ac:dyDescent="0.35">
      <c r="A49" s="253"/>
      <c r="B49" s="303" t="str">
        <f t="shared" si="30"/>
        <v>Treatment D</v>
      </c>
      <c r="C49" s="136">
        <f>'Capacity inputs'!J$14</f>
        <v>0</v>
      </c>
      <c r="D49" s="115" t="e">
        <f>'Financial impact (cash)'!D16*$C49</f>
        <v>#REF!</v>
      </c>
      <c r="E49" s="115" t="e">
        <f>'Financial impact (cash)'!E16*$C49</f>
        <v>#REF!</v>
      </c>
      <c r="F49" s="115" t="e">
        <f>'Financial impact (cash)'!F16*$C49</f>
        <v>#REF!</v>
      </c>
      <c r="G49" s="115" t="e">
        <f>'Financial impact (cash)'!G16*$C49</f>
        <v>#REF!</v>
      </c>
      <c r="H49" s="115" t="e">
        <f>'Financial impact (cash)'!H16*$C49</f>
        <v>#REF!</v>
      </c>
      <c r="I49" s="115" t="e">
        <f>'Financial impact (cash)'!I16*$C49</f>
        <v>#REF!</v>
      </c>
      <c r="J49" s="192"/>
      <c r="K49" s="454">
        <f>K46</f>
        <v>0</v>
      </c>
      <c r="L49" s="256" t="e">
        <f t="shared" si="31"/>
        <v>#REF!</v>
      </c>
      <c r="M49" s="256" t="e">
        <f t="shared" si="29"/>
        <v>#REF!</v>
      </c>
      <c r="N49" s="256" t="e">
        <f t="shared" si="29"/>
        <v>#REF!</v>
      </c>
      <c r="O49" s="256" t="e">
        <f t="shared" si="29"/>
        <v>#REF!</v>
      </c>
      <c r="P49" s="256" t="e">
        <f t="shared" si="29"/>
        <v>#REF!</v>
      </c>
      <c r="Q49" s="256" t="e">
        <f t="shared" si="29"/>
        <v>#REF!</v>
      </c>
      <c r="R49" s="120"/>
      <c r="S49" s="120"/>
      <c r="T49" s="120"/>
      <c r="U49" s="120"/>
      <c r="V49" s="120"/>
      <c r="W49" s="120"/>
      <c r="X49" s="120"/>
      <c r="Y49" s="120"/>
      <c r="Z49" s="120"/>
      <c r="AJ49" s="251"/>
      <c r="AK49" s="251"/>
      <c r="AL49" s="251"/>
      <c r="AM49" s="251"/>
      <c r="AN49" s="251"/>
    </row>
    <row r="50" spans="1:40" x14ac:dyDescent="0.35">
      <c r="A50" s="253"/>
      <c r="B50" s="303" t="str">
        <f t="shared" si="30"/>
        <v>Treatment E</v>
      </c>
      <c r="C50" s="136">
        <f>'Capacity inputs'!K$14</f>
        <v>0</v>
      </c>
      <c r="D50" s="115" t="e">
        <f>'Financial impact (cash)'!D17*$C50</f>
        <v>#REF!</v>
      </c>
      <c r="E50" s="115" t="e">
        <f>'Financial impact (cash)'!E17*$C50</f>
        <v>#REF!</v>
      </c>
      <c r="F50" s="115" t="e">
        <f>'Financial impact (cash)'!F17*$C50</f>
        <v>#REF!</v>
      </c>
      <c r="G50" s="115" t="e">
        <f>'Financial impact (cash)'!G17*$C50</f>
        <v>#REF!</v>
      </c>
      <c r="H50" s="115" t="e">
        <f>'Financial impact (cash)'!H17*$C50</f>
        <v>#REF!</v>
      </c>
      <c r="I50" s="115" t="e">
        <f>'Financial impact (cash)'!I17*$C50</f>
        <v>#REF!</v>
      </c>
      <c r="J50" s="192"/>
      <c r="K50" s="454">
        <f>K46</f>
        <v>0</v>
      </c>
      <c r="L50" s="256" t="e">
        <f t="shared" si="31"/>
        <v>#REF!</v>
      </c>
      <c r="M50" s="256" t="e">
        <f t="shared" si="29"/>
        <v>#REF!</v>
      </c>
      <c r="N50" s="256" t="e">
        <f t="shared" si="29"/>
        <v>#REF!</v>
      </c>
      <c r="O50" s="256" t="e">
        <f t="shared" si="29"/>
        <v>#REF!</v>
      </c>
      <c r="P50" s="256" t="e">
        <f t="shared" si="29"/>
        <v>#REF!</v>
      </c>
      <c r="Q50" s="256" t="e">
        <f t="shared" si="29"/>
        <v>#REF!</v>
      </c>
      <c r="R50" s="120"/>
      <c r="S50" s="120"/>
      <c r="T50" s="120"/>
      <c r="U50" s="120"/>
      <c r="V50" s="120"/>
      <c r="W50" s="120"/>
      <c r="X50" s="120"/>
      <c r="Y50" s="120"/>
      <c r="Z50" s="120"/>
      <c r="AJ50" s="251"/>
      <c r="AK50" s="251"/>
      <c r="AL50" s="251"/>
      <c r="AM50" s="251"/>
      <c r="AN50" s="251"/>
    </row>
    <row r="51" spans="1:40" x14ac:dyDescent="0.35">
      <c r="A51" s="253"/>
      <c r="B51" s="303" t="str">
        <f t="shared" si="30"/>
        <v>Treatment F</v>
      </c>
      <c r="C51" s="136">
        <f>'Capacity inputs'!L$14</f>
        <v>0</v>
      </c>
      <c r="D51" s="115" t="e">
        <f>'Financial impact (cash)'!D18*$C51</f>
        <v>#REF!</v>
      </c>
      <c r="E51" s="115" t="e">
        <f>'Financial impact (cash)'!E18*$C51</f>
        <v>#REF!</v>
      </c>
      <c r="F51" s="115" t="e">
        <f>'Financial impact (cash)'!F18*$C51</f>
        <v>#REF!</v>
      </c>
      <c r="G51" s="115" t="e">
        <f>'Financial impact (cash)'!G18*$C51</f>
        <v>#REF!</v>
      </c>
      <c r="H51" s="115" t="e">
        <f>'Financial impact (cash)'!H18*$C51</f>
        <v>#REF!</v>
      </c>
      <c r="I51" s="115" t="e">
        <f>'Financial impact (cash)'!I18*$C51</f>
        <v>#REF!</v>
      </c>
      <c r="J51" s="192"/>
      <c r="K51" s="454">
        <f>K46</f>
        <v>0</v>
      </c>
      <c r="L51" s="256" t="e">
        <f t="shared" si="31"/>
        <v>#REF!</v>
      </c>
      <c r="M51" s="256" t="e">
        <f t="shared" si="29"/>
        <v>#REF!</v>
      </c>
      <c r="N51" s="256" t="e">
        <f t="shared" si="29"/>
        <v>#REF!</v>
      </c>
      <c r="O51" s="256" t="e">
        <f t="shared" si="29"/>
        <v>#REF!</v>
      </c>
      <c r="P51" s="256" t="e">
        <f t="shared" si="29"/>
        <v>#REF!</v>
      </c>
      <c r="Q51" s="256" t="e">
        <f t="shared" si="29"/>
        <v>#REF!</v>
      </c>
      <c r="R51" s="120"/>
      <c r="S51" s="120"/>
      <c r="T51" s="120"/>
      <c r="U51" s="120"/>
      <c r="V51" s="120"/>
      <c r="W51" s="120"/>
      <c r="X51" s="120"/>
      <c r="Y51" s="120"/>
      <c r="Z51" s="120"/>
      <c r="AJ51" s="251"/>
      <c r="AK51" s="251"/>
      <c r="AL51" s="251"/>
      <c r="AM51" s="251"/>
      <c r="AN51" s="251"/>
    </row>
    <row r="52" spans="1:40" x14ac:dyDescent="0.35">
      <c r="A52" s="253"/>
      <c r="B52" s="303" t="str">
        <f t="shared" si="30"/>
        <v>Treatment G</v>
      </c>
      <c r="C52" s="136">
        <f>'Capacity inputs'!M$14</f>
        <v>0</v>
      </c>
      <c r="D52" s="115" t="e">
        <f>'Financial impact (cash)'!D19*$C52</f>
        <v>#REF!</v>
      </c>
      <c r="E52" s="115" t="e">
        <f>'Financial impact (cash)'!E19*$C52</f>
        <v>#REF!</v>
      </c>
      <c r="F52" s="115" t="e">
        <f>'Financial impact (cash)'!F19*$C52</f>
        <v>#REF!</v>
      </c>
      <c r="G52" s="115" t="e">
        <f>'Financial impact (cash)'!G19*$C52</f>
        <v>#REF!</v>
      </c>
      <c r="H52" s="115" t="e">
        <f>'Financial impact (cash)'!H19*$C52</f>
        <v>#REF!</v>
      </c>
      <c r="I52" s="115" t="e">
        <f>'Financial impact (cash)'!I19*$C52</f>
        <v>#REF!</v>
      </c>
      <c r="J52" s="192"/>
      <c r="K52" s="454">
        <f>K46</f>
        <v>0</v>
      </c>
      <c r="L52" s="256" t="e">
        <f t="shared" si="31"/>
        <v>#REF!</v>
      </c>
      <c r="M52" s="256" t="e">
        <f t="shared" si="29"/>
        <v>#REF!</v>
      </c>
      <c r="N52" s="256" t="e">
        <f t="shared" si="29"/>
        <v>#REF!</v>
      </c>
      <c r="O52" s="256" t="e">
        <f t="shared" si="29"/>
        <v>#REF!</v>
      </c>
      <c r="P52" s="256" t="e">
        <f t="shared" si="29"/>
        <v>#REF!</v>
      </c>
      <c r="Q52" s="256" t="e">
        <f t="shared" si="29"/>
        <v>#REF!</v>
      </c>
      <c r="R52" s="120"/>
      <c r="S52" s="120"/>
      <c r="T52" s="120"/>
      <c r="U52" s="120"/>
      <c r="V52" s="120"/>
      <c r="W52" s="120"/>
      <c r="X52" s="120"/>
      <c r="Y52" s="120"/>
      <c r="Z52" s="120"/>
      <c r="AJ52" s="251"/>
      <c r="AK52" s="251"/>
      <c r="AL52" s="251"/>
      <c r="AM52" s="251"/>
      <c r="AN52" s="251"/>
    </row>
    <row r="53" spans="1:40" x14ac:dyDescent="0.35">
      <c r="A53" s="253"/>
      <c r="B53" s="245"/>
      <c r="C53" s="282"/>
      <c r="D53" s="167" t="e">
        <f>SUM(D46:D52)</f>
        <v>#REF!</v>
      </c>
      <c r="E53" s="167" t="e">
        <f t="shared" ref="E53:I53" si="32">SUM(E46:E52)</f>
        <v>#REF!</v>
      </c>
      <c r="F53" s="167" t="e">
        <f t="shared" si="32"/>
        <v>#REF!</v>
      </c>
      <c r="G53" s="167" t="e">
        <f t="shared" si="32"/>
        <v>#REF!</v>
      </c>
      <c r="H53" s="167" t="e">
        <f t="shared" si="32"/>
        <v>#REF!</v>
      </c>
      <c r="I53" s="167" t="e">
        <f t="shared" si="32"/>
        <v>#REF!</v>
      </c>
      <c r="J53" s="192"/>
      <c r="K53" s="192"/>
      <c r="L53" s="257" t="e">
        <f>SUM(L46:L52)</f>
        <v>#REF!</v>
      </c>
      <c r="M53" s="257" t="e">
        <f t="shared" ref="M53:Q53" si="33">SUM(M46:M52)</f>
        <v>#REF!</v>
      </c>
      <c r="N53" s="257" t="e">
        <f t="shared" si="33"/>
        <v>#REF!</v>
      </c>
      <c r="O53" s="257" t="e">
        <f t="shared" si="33"/>
        <v>#REF!</v>
      </c>
      <c r="P53" s="257" t="e">
        <f t="shared" si="33"/>
        <v>#REF!</v>
      </c>
      <c r="Q53" s="257" t="e">
        <f t="shared" si="33"/>
        <v>#REF!</v>
      </c>
      <c r="R53" s="120"/>
      <c r="S53" s="120"/>
      <c r="T53" s="120"/>
      <c r="U53" s="120"/>
      <c r="V53" s="120"/>
      <c r="W53" s="120"/>
      <c r="X53" s="120"/>
      <c r="Y53" s="120"/>
      <c r="Z53" s="120"/>
      <c r="AJ53" s="251"/>
      <c r="AK53" s="251"/>
      <c r="AL53" s="251"/>
      <c r="AM53" s="251"/>
      <c r="AN53" s="251"/>
    </row>
    <row r="54" spans="1:40" x14ac:dyDescent="0.35">
      <c r="A54" s="253"/>
      <c r="B54" s="272"/>
      <c r="C54" s="223"/>
      <c r="D54" s="250" t="s">
        <v>718</v>
      </c>
      <c r="E54" s="167" t="e">
        <f>E53-$D$53</f>
        <v>#REF!</v>
      </c>
      <c r="F54" s="167" t="e">
        <f t="shared" ref="F54:I54" si="34">F53-$D$53</f>
        <v>#REF!</v>
      </c>
      <c r="G54" s="167" t="e">
        <f t="shared" si="34"/>
        <v>#REF!</v>
      </c>
      <c r="H54" s="167" t="e">
        <f t="shared" si="34"/>
        <v>#REF!</v>
      </c>
      <c r="I54" s="167" t="e">
        <f t="shared" si="34"/>
        <v>#REF!</v>
      </c>
      <c r="J54" s="192"/>
      <c r="K54" s="192"/>
      <c r="L54" s="192"/>
      <c r="M54" s="257" t="e">
        <f>M53-$L53</f>
        <v>#REF!</v>
      </c>
      <c r="N54" s="257" t="e">
        <f t="shared" ref="N54:Q54" si="35">N53-$L53</f>
        <v>#REF!</v>
      </c>
      <c r="O54" s="257" t="e">
        <f t="shared" si="35"/>
        <v>#REF!</v>
      </c>
      <c r="P54" s="257" t="e">
        <f t="shared" si="35"/>
        <v>#REF!</v>
      </c>
      <c r="Q54" s="257" t="e">
        <f t="shared" si="35"/>
        <v>#REF!</v>
      </c>
      <c r="R54" s="120"/>
      <c r="S54" s="120"/>
      <c r="T54" s="120"/>
      <c r="U54" s="120"/>
      <c r="V54" s="120"/>
      <c r="W54" s="120"/>
      <c r="X54" s="120"/>
      <c r="Y54" s="120"/>
      <c r="Z54" s="120"/>
      <c r="AJ54" s="251"/>
      <c r="AK54" s="251"/>
      <c r="AL54" s="251"/>
      <c r="AM54" s="251"/>
      <c r="AN54" s="251"/>
    </row>
    <row r="55" spans="1:40" x14ac:dyDescent="0.35">
      <c r="A55" s="253"/>
      <c r="B55" s="253"/>
      <c r="C55" s="253"/>
      <c r="D55" s="449"/>
      <c r="E55" s="450"/>
      <c r="F55" s="450"/>
      <c r="G55" s="450"/>
      <c r="H55" s="450"/>
      <c r="I55" s="450"/>
      <c r="J55" s="192"/>
      <c r="K55" s="192"/>
      <c r="L55" s="192"/>
      <c r="M55" s="192"/>
      <c r="N55" s="192"/>
      <c r="O55" s="192"/>
      <c r="P55" s="192"/>
      <c r="Q55" s="192"/>
      <c r="R55" s="120"/>
      <c r="S55" s="120"/>
      <c r="T55" s="120"/>
      <c r="U55" s="120"/>
      <c r="V55" s="120"/>
      <c r="W55" s="120"/>
      <c r="X55" s="120"/>
      <c r="Y55" s="120"/>
      <c r="Z55" s="120"/>
      <c r="AJ55" s="251"/>
      <c r="AK55" s="251"/>
      <c r="AL55" s="251"/>
      <c r="AM55" s="251"/>
      <c r="AN55" s="251"/>
    </row>
    <row r="56" spans="1:40" x14ac:dyDescent="0.35">
      <c r="A56" s="259"/>
      <c r="B56" s="280" t="s">
        <v>719</v>
      </c>
      <c r="C56" s="260"/>
      <c r="D56" s="260"/>
      <c r="E56" s="261"/>
      <c r="F56" s="262"/>
      <c r="G56" s="263"/>
      <c r="H56" s="263"/>
      <c r="I56" s="367"/>
      <c r="J56" s="368"/>
      <c r="K56" s="259"/>
      <c r="L56" s="259"/>
      <c r="M56" s="259"/>
      <c r="N56" s="259"/>
      <c r="O56" s="259"/>
      <c r="P56" s="259"/>
      <c r="Q56" s="188"/>
      <c r="R56" s="120"/>
      <c r="S56" s="120"/>
      <c r="V56" s="120"/>
    </row>
    <row r="57" spans="1:40" x14ac:dyDescent="0.35">
      <c r="A57" s="259"/>
      <c r="B57" s="571" t="s">
        <v>720</v>
      </c>
      <c r="C57" s="334"/>
      <c r="D57" s="334"/>
      <c r="E57" s="334"/>
      <c r="F57" s="334"/>
      <c r="G57" s="334"/>
      <c r="H57" s="334"/>
      <c r="I57" s="334"/>
      <c r="J57" s="364"/>
      <c r="K57" s="188"/>
      <c r="L57" s="188"/>
      <c r="M57" s="188"/>
      <c r="N57" s="188"/>
      <c r="O57" s="188"/>
      <c r="P57" s="188"/>
      <c r="Q57" s="188"/>
      <c r="R57" s="120"/>
      <c r="S57" s="120"/>
      <c r="T57" s="120"/>
      <c r="U57" s="120"/>
      <c r="V57" s="120"/>
      <c r="W57" s="120"/>
      <c r="X57" s="120"/>
      <c r="Y57" s="120"/>
      <c r="Z57" s="120"/>
      <c r="AJ57" s="251"/>
      <c r="AK57" s="251"/>
      <c r="AL57" s="251"/>
      <c r="AM57" s="251"/>
      <c r="AN57" s="251"/>
    </row>
    <row r="58" spans="1:40" ht="43.5" x14ac:dyDescent="0.35">
      <c r="A58" s="259"/>
      <c r="B58" s="247" t="s">
        <v>649</v>
      </c>
      <c r="C58" s="152" t="s">
        <v>646</v>
      </c>
      <c r="D58" s="206" t="s">
        <v>698</v>
      </c>
      <c r="E58" s="151" t="s">
        <v>551</v>
      </c>
      <c r="F58" s="151" t="s">
        <v>552</v>
      </c>
      <c r="G58" s="151" t="s">
        <v>673</v>
      </c>
      <c r="H58" s="151" t="s">
        <v>674</v>
      </c>
      <c r="I58" s="151" t="s">
        <v>675</v>
      </c>
      <c r="J58" s="364"/>
      <c r="K58" s="188"/>
      <c r="L58" s="188"/>
      <c r="M58" s="188"/>
      <c r="N58" s="188"/>
      <c r="O58" s="188"/>
      <c r="P58" s="188"/>
      <c r="Q58" s="188"/>
      <c r="R58" s="120"/>
      <c r="S58" s="120"/>
      <c r="T58" s="120"/>
      <c r="U58" s="120"/>
      <c r="V58" s="120"/>
      <c r="W58" s="120"/>
      <c r="X58" s="120"/>
      <c r="Y58" s="120"/>
      <c r="Z58" s="120"/>
      <c r="AJ58" s="251"/>
      <c r="AK58" s="251"/>
      <c r="AL58" s="251"/>
      <c r="AM58" s="251"/>
      <c r="AN58" s="251"/>
    </row>
    <row r="59" spans="1:40" x14ac:dyDescent="0.35">
      <c r="A59" s="259"/>
      <c r="B59" s="303" t="str">
        <f>B46</f>
        <v>Treatment A</v>
      </c>
      <c r="C59" s="675" t="e">
        <f>'Resource impact'!#REF!</f>
        <v>#REF!</v>
      </c>
      <c r="D59" s="115" t="e">
        <f>'Resource impact'!J48*$C59</f>
        <v>#REF!</v>
      </c>
      <c r="E59" s="115" t="e">
        <f>'Resource impact'!K48*'Resource impact'!#REF!</f>
        <v>#REF!</v>
      </c>
      <c r="F59" s="115" t="e">
        <f>'Resource impact'!M48*'Resource impact'!#REF!</f>
        <v>#REF!</v>
      </c>
      <c r="G59" s="115" t="e">
        <f>'Resource impact'!N48*'Resource impact'!#REF!</f>
        <v>#REF!</v>
      </c>
      <c r="H59" s="115" t="e">
        <f>'Resource impact'!O48*'Resource impact'!#REF!</f>
        <v>#REF!</v>
      </c>
      <c r="I59" s="115" t="e">
        <f>'Resource impact'!P48*'Resource impact'!#REF!</f>
        <v>#REF!</v>
      </c>
      <c r="J59" s="364"/>
      <c r="K59" s="188"/>
      <c r="L59" s="188"/>
      <c r="M59" s="188"/>
      <c r="N59" s="188"/>
      <c r="O59" s="188"/>
      <c r="P59" s="188"/>
      <c r="Q59" s="188"/>
      <c r="R59" s="120"/>
      <c r="S59" s="120"/>
      <c r="T59" s="120"/>
      <c r="U59" s="120"/>
      <c r="V59" s="120"/>
      <c r="W59" s="120"/>
      <c r="X59" s="120"/>
      <c r="Y59" s="120"/>
      <c r="Z59" s="120"/>
      <c r="AJ59" s="251"/>
      <c r="AK59" s="251"/>
      <c r="AL59" s="251"/>
      <c r="AM59" s="251"/>
      <c r="AN59" s="251"/>
    </row>
    <row r="60" spans="1:40" x14ac:dyDescent="0.35">
      <c r="A60" s="259"/>
      <c r="B60" s="303" t="str">
        <f t="shared" ref="B60:B65" si="36">B47</f>
        <v>Treatment B</v>
      </c>
      <c r="C60" s="675" t="e">
        <f>'Resource impact'!#REF!</f>
        <v>#REF!</v>
      </c>
      <c r="D60" s="115" t="e">
        <f>'Resource impact'!J50*$C60</f>
        <v>#REF!</v>
      </c>
      <c r="E60" s="115" t="e">
        <f>'Resource impact'!K50*'Resource impact'!#REF!</f>
        <v>#REF!</v>
      </c>
      <c r="F60" s="115" t="e">
        <f>'Resource impact'!M50*'Resource impact'!#REF!</f>
        <v>#REF!</v>
      </c>
      <c r="G60" s="115" t="e">
        <f>'Resource impact'!N50*'Resource impact'!#REF!</f>
        <v>#REF!</v>
      </c>
      <c r="H60" s="115" t="e">
        <f>'Resource impact'!O50*'Resource impact'!#REF!</f>
        <v>#REF!</v>
      </c>
      <c r="I60" s="115" t="e">
        <f>'Resource impact'!P50*'Resource impact'!#REF!</f>
        <v>#REF!</v>
      </c>
      <c r="J60" s="364"/>
      <c r="K60" s="188"/>
      <c r="L60" s="188"/>
      <c r="M60" s="188"/>
      <c r="N60" s="188"/>
      <c r="O60" s="188"/>
      <c r="P60" s="188"/>
      <c r="Q60" s="188"/>
      <c r="R60" s="120"/>
      <c r="S60" s="120"/>
      <c r="T60" s="120"/>
      <c r="U60" s="120"/>
      <c r="V60" s="120"/>
      <c r="W60" s="120"/>
      <c r="X60" s="120"/>
      <c r="Y60" s="120"/>
      <c r="Z60" s="120"/>
      <c r="AJ60" s="251"/>
      <c r="AK60" s="251"/>
      <c r="AL60" s="251"/>
      <c r="AM60" s="251"/>
      <c r="AN60" s="251"/>
    </row>
    <row r="61" spans="1:40" x14ac:dyDescent="0.35">
      <c r="A61" s="259"/>
      <c r="B61" s="303" t="str">
        <f t="shared" si="36"/>
        <v>Treatment C</v>
      </c>
      <c r="C61" s="675" t="e">
        <f>'Resource impact'!#REF!</f>
        <v>#REF!</v>
      </c>
      <c r="D61" s="115" t="e">
        <f>'Resource impact'!#REF!*$C61</f>
        <v>#REF!</v>
      </c>
      <c r="E61" s="115" t="e">
        <f>'Resource impact'!#REF!*'Resource impact'!#REF!</f>
        <v>#REF!</v>
      </c>
      <c r="F61" s="115" t="e">
        <f>'Resource impact'!#REF!*'Resource impact'!#REF!</f>
        <v>#REF!</v>
      </c>
      <c r="G61" s="115" t="e">
        <f>'Resource impact'!#REF!*'Resource impact'!#REF!</f>
        <v>#REF!</v>
      </c>
      <c r="H61" s="115" t="e">
        <f>'Resource impact'!#REF!*'Resource impact'!#REF!</f>
        <v>#REF!</v>
      </c>
      <c r="I61" s="115" t="e">
        <f>'Resource impact'!#REF!*'Resource impact'!#REF!</f>
        <v>#REF!</v>
      </c>
      <c r="J61" s="364"/>
      <c r="K61" s="188"/>
      <c r="L61" s="188"/>
      <c r="M61" s="188"/>
      <c r="N61" s="188"/>
      <c r="O61" s="188"/>
      <c r="P61" s="188"/>
      <c r="Q61" s="188"/>
      <c r="R61" s="120"/>
      <c r="S61" s="120"/>
      <c r="T61" s="120"/>
      <c r="U61" s="120"/>
      <c r="V61" s="120"/>
      <c r="W61" s="120"/>
      <c r="X61" s="120"/>
      <c r="Y61" s="120"/>
      <c r="Z61" s="120"/>
      <c r="AJ61" s="251"/>
      <c r="AK61" s="251"/>
      <c r="AL61" s="251"/>
      <c r="AM61" s="251"/>
      <c r="AN61" s="251"/>
    </row>
    <row r="62" spans="1:40" x14ac:dyDescent="0.35">
      <c r="A62" s="259"/>
      <c r="B62" s="303" t="str">
        <f t="shared" si="36"/>
        <v>Treatment D</v>
      </c>
      <c r="C62" s="675" t="e">
        <f>'Resource impact'!#REF!</f>
        <v>#REF!</v>
      </c>
      <c r="D62" s="115" t="e">
        <f>'Resource impact'!#REF!*$C62</f>
        <v>#REF!</v>
      </c>
      <c r="E62" s="115" t="e">
        <f>'Resource impact'!#REF!*'Resource impact'!#REF!</f>
        <v>#REF!</v>
      </c>
      <c r="F62" s="115" t="e">
        <f>'Resource impact'!#REF!*'Resource impact'!#REF!</f>
        <v>#REF!</v>
      </c>
      <c r="G62" s="115" t="e">
        <f>'Resource impact'!#REF!*'Resource impact'!#REF!</f>
        <v>#REF!</v>
      </c>
      <c r="H62" s="115" t="e">
        <f>'Resource impact'!#REF!*'Resource impact'!#REF!</f>
        <v>#REF!</v>
      </c>
      <c r="I62" s="115" t="e">
        <f>'Resource impact'!#REF!*'Resource impact'!#REF!</f>
        <v>#REF!</v>
      </c>
      <c r="J62" s="364"/>
      <c r="K62" s="188"/>
      <c r="L62" s="188"/>
      <c r="M62" s="188"/>
      <c r="N62" s="188"/>
      <c r="O62" s="188"/>
      <c r="P62" s="188"/>
      <c r="Q62" s="188"/>
      <c r="R62" s="120"/>
      <c r="S62" s="120"/>
      <c r="T62" s="120"/>
      <c r="U62" s="120"/>
      <c r="V62" s="120"/>
      <c r="W62" s="120"/>
      <c r="X62" s="120"/>
      <c r="Y62" s="120"/>
      <c r="Z62" s="120"/>
      <c r="AJ62" s="251"/>
      <c r="AK62" s="251"/>
      <c r="AL62" s="251"/>
      <c r="AM62" s="251"/>
      <c r="AN62" s="251"/>
    </row>
    <row r="63" spans="1:40" x14ac:dyDescent="0.35">
      <c r="A63" s="259"/>
      <c r="B63" s="303" t="str">
        <f t="shared" si="36"/>
        <v>Treatment E</v>
      </c>
      <c r="C63" s="675" t="e">
        <f>'Resource impact'!#REF!</f>
        <v>#REF!</v>
      </c>
      <c r="D63" s="115" t="e">
        <f>'Resource impact'!#REF!*$C63</f>
        <v>#REF!</v>
      </c>
      <c r="E63" s="115" t="e">
        <f>'Resource impact'!#REF!*'Resource impact'!#REF!</f>
        <v>#REF!</v>
      </c>
      <c r="F63" s="115" t="e">
        <f>'Resource impact'!#REF!*'Resource impact'!#REF!</f>
        <v>#REF!</v>
      </c>
      <c r="G63" s="115" t="e">
        <f>'Resource impact'!#REF!*'Resource impact'!#REF!</f>
        <v>#REF!</v>
      </c>
      <c r="H63" s="115" t="e">
        <f>'Resource impact'!#REF!*'Resource impact'!#REF!</f>
        <v>#REF!</v>
      </c>
      <c r="I63" s="115" t="e">
        <f>'Resource impact'!#REF!*'Resource impact'!#REF!</f>
        <v>#REF!</v>
      </c>
      <c r="J63" s="364"/>
      <c r="K63" s="188"/>
      <c r="L63" s="188"/>
      <c r="M63" s="188"/>
      <c r="N63" s="188"/>
      <c r="O63" s="188"/>
      <c r="P63" s="188"/>
      <c r="Q63" s="188"/>
      <c r="R63" s="120"/>
      <c r="S63" s="120"/>
      <c r="T63" s="120"/>
      <c r="U63" s="120"/>
      <c r="V63" s="120"/>
      <c r="W63" s="120"/>
      <c r="X63" s="120"/>
      <c r="Y63" s="120"/>
      <c r="Z63" s="120"/>
      <c r="AJ63" s="251"/>
      <c r="AK63" s="251"/>
      <c r="AL63" s="251"/>
      <c r="AM63" s="251"/>
      <c r="AN63" s="251"/>
    </row>
    <row r="64" spans="1:40" x14ac:dyDescent="0.35">
      <c r="A64" s="259"/>
      <c r="B64" s="303" t="str">
        <f t="shared" si="36"/>
        <v>Treatment F</v>
      </c>
      <c r="C64" s="675" t="e">
        <f>'Resource impact'!#REF!</f>
        <v>#REF!</v>
      </c>
      <c r="D64" s="115" t="e">
        <f>'Resource impact'!#REF!*$C64</f>
        <v>#REF!</v>
      </c>
      <c r="E64" s="115" t="e">
        <f>'Resource impact'!#REF!*'Resource impact'!#REF!</f>
        <v>#REF!</v>
      </c>
      <c r="F64" s="115" t="e">
        <f>'Resource impact'!#REF!*'Resource impact'!#REF!</f>
        <v>#REF!</v>
      </c>
      <c r="G64" s="115" t="e">
        <f>'Resource impact'!#REF!*'Resource impact'!#REF!</f>
        <v>#REF!</v>
      </c>
      <c r="H64" s="115" t="e">
        <f>'Resource impact'!#REF!*'Resource impact'!#REF!</f>
        <v>#REF!</v>
      </c>
      <c r="I64" s="115" t="e">
        <f>'Resource impact'!#REF!*'Resource impact'!#REF!</f>
        <v>#REF!</v>
      </c>
      <c r="J64" s="364"/>
      <c r="K64" s="188"/>
      <c r="L64" s="188"/>
      <c r="M64" s="188"/>
      <c r="N64" s="188"/>
      <c r="O64" s="188"/>
      <c r="P64" s="188"/>
      <c r="Q64" s="188"/>
      <c r="R64" s="120"/>
      <c r="S64" s="120"/>
      <c r="T64" s="120"/>
      <c r="U64" s="120"/>
      <c r="V64" s="120"/>
      <c r="W64" s="120"/>
      <c r="X64" s="120"/>
      <c r="Y64" s="120"/>
      <c r="Z64" s="120"/>
      <c r="AJ64" s="251"/>
      <c r="AK64" s="251"/>
      <c r="AL64" s="251"/>
      <c r="AM64" s="251"/>
      <c r="AN64" s="251"/>
    </row>
    <row r="65" spans="1:40" x14ac:dyDescent="0.35">
      <c r="A65" s="259"/>
      <c r="B65" s="303" t="str">
        <f t="shared" si="36"/>
        <v>Treatment G</v>
      </c>
      <c r="C65" s="675" t="e">
        <f>'Resource impact'!#REF!</f>
        <v>#REF!</v>
      </c>
      <c r="D65" s="115" t="e">
        <f>'Resource impact'!#REF!*$C65</f>
        <v>#REF!</v>
      </c>
      <c r="E65" s="115" t="e">
        <f>'Resource impact'!#REF!*'Resource impact'!#REF!</f>
        <v>#REF!</v>
      </c>
      <c r="F65" s="115" t="e">
        <f>'Resource impact'!#REF!*'Resource impact'!#REF!</f>
        <v>#REF!</v>
      </c>
      <c r="G65" s="115" t="e">
        <f>'Resource impact'!#REF!*'Resource impact'!#REF!</f>
        <v>#REF!</v>
      </c>
      <c r="H65" s="115" t="e">
        <f>'Resource impact'!#REF!*'Resource impact'!#REF!</f>
        <v>#REF!</v>
      </c>
      <c r="I65" s="115" t="e">
        <f>'Resource impact'!#REF!*'Resource impact'!#REF!</f>
        <v>#REF!</v>
      </c>
      <c r="J65" s="364"/>
      <c r="K65" s="188"/>
      <c r="L65" s="188"/>
      <c r="M65" s="188"/>
      <c r="N65" s="188"/>
      <c r="O65" s="188"/>
      <c r="P65" s="188"/>
      <c r="Q65" s="188"/>
      <c r="R65" s="120"/>
      <c r="S65" s="120"/>
      <c r="T65" s="120"/>
      <c r="U65" s="120"/>
      <c r="V65" s="120"/>
      <c r="W65" s="120"/>
      <c r="X65" s="120"/>
      <c r="Y65" s="120"/>
      <c r="Z65" s="120"/>
      <c r="AJ65" s="251"/>
      <c r="AK65" s="251"/>
      <c r="AL65" s="251"/>
      <c r="AM65" s="251"/>
      <c r="AN65" s="251"/>
    </row>
    <row r="66" spans="1:40" x14ac:dyDescent="0.35">
      <c r="A66" s="259"/>
      <c r="B66" s="245"/>
      <c r="C66" s="282"/>
      <c r="D66" s="167" t="e">
        <f>SUM(D59:D65)</f>
        <v>#REF!</v>
      </c>
      <c r="E66" s="167" t="e">
        <f t="shared" ref="E66:I66" si="37">SUM(E59:E65)</f>
        <v>#REF!</v>
      </c>
      <c r="F66" s="167" t="e">
        <f t="shared" si="37"/>
        <v>#REF!</v>
      </c>
      <c r="G66" s="167" t="e">
        <f t="shared" si="37"/>
        <v>#REF!</v>
      </c>
      <c r="H66" s="167" t="e">
        <f t="shared" si="37"/>
        <v>#REF!</v>
      </c>
      <c r="I66" s="167" t="e">
        <f t="shared" si="37"/>
        <v>#REF!</v>
      </c>
      <c r="J66" s="364"/>
      <c r="K66" s="188"/>
      <c r="L66" s="188"/>
      <c r="M66" s="188"/>
      <c r="N66" s="188"/>
      <c r="O66" s="188"/>
      <c r="P66" s="188"/>
      <c r="Q66" s="188"/>
      <c r="R66" s="120"/>
      <c r="S66" s="120"/>
      <c r="T66" s="120"/>
      <c r="U66" s="120"/>
      <c r="V66" s="120"/>
      <c r="W66" s="120"/>
      <c r="X66" s="120"/>
      <c r="Y66" s="120"/>
      <c r="Z66" s="120"/>
      <c r="AJ66" s="251"/>
      <c r="AK66" s="251"/>
      <c r="AL66" s="251"/>
      <c r="AM66" s="251"/>
      <c r="AN66" s="251"/>
    </row>
    <row r="67" spans="1:40" x14ac:dyDescent="0.35">
      <c r="A67" s="259"/>
      <c r="B67" s="183"/>
      <c r="C67" s="183"/>
      <c r="D67" s="570" t="s">
        <v>721</v>
      </c>
      <c r="E67" s="167" t="e">
        <f>E66-$D$66</f>
        <v>#REF!</v>
      </c>
      <c r="F67" s="167" t="e">
        <f>F66-$D$66</f>
        <v>#REF!</v>
      </c>
      <c r="G67" s="167" t="e">
        <f>G66-$D$66</f>
        <v>#REF!</v>
      </c>
      <c r="H67" s="167" t="e">
        <f>H66-$D$66</f>
        <v>#REF!</v>
      </c>
      <c r="I67" s="167" t="e">
        <f>I66-$D$66</f>
        <v>#REF!</v>
      </c>
      <c r="J67" s="364"/>
      <c r="K67" s="188"/>
      <c r="L67" s="188"/>
      <c r="M67" s="188"/>
      <c r="N67" s="188"/>
      <c r="O67" s="188"/>
      <c r="P67" s="188"/>
      <c r="Q67" s="188"/>
      <c r="R67" s="120"/>
      <c r="S67" s="120"/>
      <c r="T67" s="120"/>
      <c r="U67" s="120"/>
      <c r="V67" s="120"/>
      <c r="W67" s="120"/>
      <c r="X67" s="120"/>
      <c r="Y67" s="120"/>
      <c r="Z67" s="120"/>
      <c r="AJ67" s="251"/>
      <c r="AK67" s="251"/>
      <c r="AL67" s="251"/>
      <c r="AM67" s="251"/>
      <c r="AN67" s="251"/>
    </row>
    <row r="68" spans="1:40" x14ac:dyDescent="0.35">
      <c r="A68" s="259"/>
      <c r="B68" s="664"/>
      <c r="C68" s="665"/>
      <c r="D68" s="665"/>
      <c r="E68" s="665"/>
      <c r="F68" s="665"/>
      <c r="G68" s="665"/>
      <c r="H68" s="665"/>
      <c r="I68" s="665"/>
      <c r="J68" s="188"/>
      <c r="K68" s="188"/>
      <c r="L68" s="188"/>
      <c r="M68" s="188"/>
      <c r="N68" s="188"/>
      <c r="O68" s="188"/>
      <c r="P68" s="188"/>
      <c r="Q68" s="188"/>
      <c r="R68" s="120"/>
      <c r="S68" s="120"/>
      <c r="T68" s="120"/>
      <c r="U68" s="120"/>
      <c r="V68" s="120"/>
      <c r="W68" s="120"/>
      <c r="X68" s="120"/>
      <c r="Y68" s="120"/>
      <c r="Z68" s="120"/>
      <c r="AJ68" s="251"/>
      <c r="AK68" s="251"/>
      <c r="AL68" s="251"/>
      <c r="AM68" s="251"/>
      <c r="AN68" s="251"/>
    </row>
    <row r="69" spans="1:40" x14ac:dyDescent="0.35">
      <c r="A69" s="259"/>
      <c r="B69" s="571" t="s">
        <v>722</v>
      </c>
      <c r="C69" s="334"/>
      <c r="D69" s="334"/>
      <c r="E69" s="334"/>
      <c r="F69" s="334"/>
      <c r="G69" s="334"/>
      <c r="H69" s="334"/>
      <c r="I69" s="572"/>
      <c r="J69" s="188"/>
      <c r="K69" s="188"/>
      <c r="L69" s="188"/>
      <c r="M69" s="188"/>
      <c r="N69" s="188"/>
      <c r="O69" s="188"/>
      <c r="P69" s="188"/>
      <c r="Q69" s="188"/>
      <c r="R69" s="120"/>
      <c r="S69" s="120"/>
      <c r="T69" s="120"/>
      <c r="U69" s="120"/>
      <c r="V69" s="120"/>
      <c r="W69" s="120"/>
      <c r="X69" s="120"/>
      <c r="Y69" s="120"/>
      <c r="Z69" s="120"/>
      <c r="AJ69" s="251"/>
      <c r="AK69" s="251"/>
      <c r="AL69" s="251"/>
      <c r="AM69" s="251"/>
      <c r="AN69" s="251"/>
    </row>
    <row r="70" spans="1:40" ht="43.5" x14ac:dyDescent="0.35">
      <c r="A70" s="259"/>
      <c r="B70" s="244" t="s">
        <v>649</v>
      </c>
      <c r="C70" s="516" t="s">
        <v>652</v>
      </c>
      <c r="D70" s="661" t="s">
        <v>698</v>
      </c>
      <c r="E70" s="222" t="s">
        <v>551</v>
      </c>
      <c r="F70" s="222" t="s">
        <v>552</v>
      </c>
      <c r="G70" s="151" t="s">
        <v>673</v>
      </c>
      <c r="H70" s="151" t="s">
        <v>674</v>
      </c>
      <c r="I70" s="222" t="s">
        <v>675</v>
      </c>
      <c r="J70" s="364"/>
      <c r="K70" s="442" t="s">
        <v>745</v>
      </c>
      <c r="L70" s="661" t="s">
        <v>698</v>
      </c>
      <c r="M70" s="663" t="s">
        <v>551</v>
      </c>
      <c r="N70" s="663" t="s">
        <v>552</v>
      </c>
      <c r="O70" s="360" t="s">
        <v>673</v>
      </c>
      <c r="P70" s="360" t="s">
        <v>674</v>
      </c>
      <c r="Q70" s="663" t="s">
        <v>675</v>
      </c>
      <c r="R70" s="120"/>
      <c r="S70" s="120"/>
      <c r="T70" s="120"/>
      <c r="U70" s="120"/>
      <c r="V70" s="120"/>
      <c r="W70" s="120"/>
      <c r="X70" s="120"/>
      <c r="Y70" s="120"/>
      <c r="Z70" s="120"/>
      <c r="AJ70" s="251"/>
      <c r="AK70" s="251"/>
      <c r="AL70" s="251"/>
      <c r="AM70" s="251"/>
      <c r="AN70" s="251"/>
    </row>
    <row r="71" spans="1:40" x14ac:dyDescent="0.35">
      <c r="A71" s="259"/>
      <c r="B71" s="302" t="str">
        <f>B59</f>
        <v>Treatment A</v>
      </c>
      <c r="C71" s="676" t="e">
        <f>'Unit costs'!#REF!</f>
        <v>#REF!</v>
      </c>
      <c r="D71" s="115" t="e">
        <f>$C71*D59</f>
        <v>#REF!</v>
      </c>
      <c r="E71" s="115" t="e">
        <f t="shared" ref="E71:I71" si="38">$C71*E59</f>
        <v>#REF!</v>
      </c>
      <c r="F71" s="115" t="e">
        <f t="shared" si="38"/>
        <v>#REF!</v>
      </c>
      <c r="G71" s="115" t="e">
        <f t="shared" si="38"/>
        <v>#REF!</v>
      </c>
      <c r="H71" s="115" t="e">
        <f t="shared" si="38"/>
        <v>#REF!</v>
      </c>
      <c r="I71" s="115" t="e">
        <f t="shared" si="38"/>
        <v>#REF!</v>
      </c>
      <c r="J71" s="364"/>
      <c r="K71" s="454" t="e">
        <f>'Unit costs'!#REF!</f>
        <v>#REF!</v>
      </c>
      <c r="L71" s="256" t="e">
        <f>D71*$K71/1000</f>
        <v>#REF!</v>
      </c>
      <c r="M71" s="256" t="e">
        <f t="shared" ref="M71:Q77" si="39">E71*$K71/1000</f>
        <v>#REF!</v>
      </c>
      <c r="N71" s="256" t="e">
        <f t="shared" si="39"/>
        <v>#REF!</v>
      </c>
      <c r="O71" s="256" t="e">
        <f t="shared" si="39"/>
        <v>#REF!</v>
      </c>
      <c r="P71" s="256" t="e">
        <f t="shared" si="39"/>
        <v>#REF!</v>
      </c>
      <c r="Q71" s="256" t="e">
        <f t="shared" si="39"/>
        <v>#REF!</v>
      </c>
      <c r="R71" s="120"/>
      <c r="S71" s="120"/>
      <c r="T71" s="120"/>
      <c r="U71" s="120"/>
      <c r="V71" s="120"/>
      <c r="W71" s="120"/>
      <c r="X71" s="120"/>
      <c r="Y71" s="120"/>
      <c r="Z71" s="120"/>
      <c r="AJ71" s="251"/>
      <c r="AK71" s="251"/>
      <c r="AL71" s="251"/>
      <c r="AM71" s="251"/>
      <c r="AN71" s="251"/>
    </row>
    <row r="72" spans="1:40" x14ac:dyDescent="0.35">
      <c r="A72" s="259"/>
      <c r="B72" s="302" t="str">
        <f>B60</f>
        <v>Treatment B</v>
      </c>
      <c r="C72" s="676" t="e">
        <f>'Unit costs'!#REF!</f>
        <v>#REF!</v>
      </c>
      <c r="D72" s="115" t="e">
        <f t="shared" ref="D72:I77" si="40">$C72*D60</f>
        <v>#REF!</v>
      </c>
      <c r="E72" s="115" t="e">
        <f t="shared" si="40"/>
        <v>#REF!</v>
      </c>
      <c r="F72" s="115" t="e">
        <f t="shared" si="40"/>
        <v>#REF!</v>
      </c>
      <c r="G72" s="115" t="e">
        <f t="shared" si="40"/>
        <v>#REF!</v>
      </c>
      <c r="H72" s="115" t="e">
        <f t="shared" si="40"/>
        <v>#REF!</v>
      </c>
      <c r="I72" s="115" t="e">
        <f t="shared" si="40"/>
        <v>#REF!</v>
      </c>
      <c r="J72" s="364"/>
      <c r="K72" s="454" t="e">
        <f>'Unit costs'!#REF!</f>
        <v>#REF!</v>
      </c>
      <c r="L72" s="256" t="e">
        <f t="shared" ref="L72:L77" si="41">D72*$K72/1000</f>
        <v>#REF!</v>
      </c>
      <c r="M72" s="256" t="e">
        <f t="shared" si="39"/>
        <v>#REF!</v>
      </c>
      <c r="N72" s="256" t="e">
        <f t="shared" si="39"/>
        <v>#REF!</v>
      </c>
      <c r="O72" s="256" t="e">
        <f t="shared" si="39"/>
        <v>#REF!</v>
      </c>
      <c r="P72" s="256" t="e">
        <f t="shared" si="39"/>
        <v>#REF!</v>
      </c>
      <c r="Q72" s="256" t="e">
        <f t="shared" si="39"/>
        <v>#REF!</v>
      </c>
      <c r="R72" s="120"/>
      <c r="S72" s="120"/>
      <c r="T72" s="120"/>
      <c r="U72" s="120"/>
      <c r="V72" s="120"/>
      <c r="W72" s="120"/>
      <c r="X72" s="120"/>
      <c r="Y72" s="120"/>
      <c r="Z72" s="120"/>
      <c r="AJ72" s="251"/>
      <c r="AK72" s="251"/>
      <c r="AL72" s="251"/>
      <c r="AM72" s="251"/>
      <c r="AN72" s="251"/>
    </row>
    <row r="73" spans="1:40" x14ac:dyDescent="0.35">
      <c r="A73" s="259"/>
      <c r="B73" s="302" t="str">
        <f>B61</f>
        <v>Treatment C</v>
      </c>
      <c r="C73" s="676" t="e">
        <f>'Unit costs'!#REF!</f>
        <v>#REF!</v>
      </c>
      <c r="D73" s="115" t="e">
        <f t="shared" si="40"/>
        <v>#REF!</v>
      </c>
      <c r="E73" s="115" t="e">
        <f t="shared" si="40"/>
        <v>#REF!</v>
      </c>
      <c r="F73" s="115" t="e">
        <f t="shared" si="40"/>
        <v>#REF!</v>
      </c>
      <c r="G73" s="115" t="e">
        <f t="shared" si="40"/>
        <v>#REF!</v>
      </c>
      <c r="H73" s="115" t="e">
        <f t="shared" si="40"/>
        <v>#REF!</v>
      </c>
      <c r="I73" s="115" t="e">
        <f t="shared" si="40"/>
        <v>#REF!</v>
      </c>
      <c r="J73" s="364"/>
      <c r="K73" s="454" t="e">
        <f>'Unit costs'!#REF!</f>
        <v>#REF!</v>
      </c>
      <c r="L73" s="256" t="e">
        <f t="shared" si="41"/>
        <v>#REF!</v>
      </c>
      <c r="M73" s="256" t="e">
        <f t="shared" si="39"/>
        <v>#REF!</v>
      </c>
      <c r="N73" s="256" t="e">
        <f t="shared" si="39"/>
        <v>#REF!</v>
      </c>
      <c r="O73" s="256" t="e">
        <f t="shared" si="39"/>
        <v>#REF!</v>
      </c>
      <c r="P73" s="256" t="e">
        <f t="shared" si="39"/>
        <v>#REF!</v>
      </c>
      <c r="Q73" s="256" t="e">
        <f t="shared" si="39"/>
        <v>#REF!</v>
      </c>
      <c r="R73" s="120"/>
      <c r="S73" s="120"/>
      <c r="T73" s="120"/>
      <c r="U73" s="120"/>
      <c r="V73" s="120"/>
      <c r="W73" s="120"/>
      <c r="X73" s="120"/>
      <c r="Y73" s="120"/>
      <c r="Z73" s="120"/>
      <c r="AJ73" s="251"/>
      <c r="AK73" s="251"/>
      <c r="AL73" s="251"/>
      <c r="AM73" s="251"/>
      <c r="AN73" s="251"/>
    </row>
    <row r="74" spans="1:40" x14ac:dyDescent="0.35">
      <c r="A74" s="259"/>
      <c r="B74" s="302" t="str">
        <f>B62</f>
        <v>Treatment D</v>
      </c>
      <c r="C74" s="676" t="e">
        <f>'Unit costs'!#REF!</f>
        <v>#REF!</v>
      </c>
      <c r="D74" s="115" t="e">
        <f t="shared" si="40"/>
        <v>#REF!</v>
      </c>
      <c r="E74" s="115" t="e">
        <f t="shared" si="40"/>
        <v>#REF!</v>
      </c>
      <c r="F74" s="115" t="e">
        <f t="shared" si="40"/>
        <v>#REF!</v>
      </c>
      <c r="G74" s="115" t="e">
        <f t="shared" si="40"/>
        <v>#REF!</v>
      </c>
      <c r="H74" s="115" t="e">
        <f t="shared" si="40"/>
        <v>#REF!</v>
      </c>
      <c r="I74" s="115" t="e">
        <f t="shared" si="40"/>
        <v>#REF!</v>
      </c>
      <c r="J74" s="364"/>
      <c r="K74" s="454" t="e">
        <f>'Unit costs'!#REF!</f>
        <v>#REF!</v>
      </c>
      <c r="L74" s="256" t="e">
        <f t="shared" si="41"/>
        <v>#REF!</v>
      </c>
      <c r="M74" s="256" t="e">
        <f t="shared" si="39"/>
        <v>#REF!</v>
      </c>
      <c r="N74" s="256" t="e">
        <f t="shared" si="39"/>
        <v>#REF!</v>
      </c>
      <c r="O74" s="256" t="e">
        <f t="shared" si="39"/>
        <v>#REF!</v>
      </c>
      <c r="P74" s="256" t="e">
        <f t="shared" si="39"/>
        <v>#REF!</v>
      </c>
      <c r="Q74" s="256" t="e">
        <f t="shared" si="39"/>
        <v>#REF!</v>
      </c>
      <c r="R74" s="120"/>
      <c r="S74" s="120"/>
      <c r="T74" s="120"/>
      <c r="U74" s="120"/>
      <c r="V74" s="120"/>
      <c r="W74" s="120"/>
      <c r="X74" s="120"/>
      <c r="Y74" s="120"/>
      <c r="Z74" s="120"/>
      <c r="AJ74" s="251"/>
      <c r="AK74" s="251"/>
      <c r="AL74" s="251"/>
      <c r="AM74" s="251"/>
      <c r="AN74" s="251"/>
    </row>
    <row r="75" spans="1:40" x14ac:dyDescent="0.35">
      <c r="A75" s="259"/>
      <c r="B75" s="302" t="str">
        <f t="shared" ref="B75:B77" si="42">B63</f>
        <v>Treatment E</v>
      </c>
      <c r="C75" s="676">
        <f>'Unit costs'!O32</f>
        <v>0</v>
      </c>
      <c r="D75" s="115" t="e">
        <f t="shared" si="40"/>
        <v>#REF!</v>
      </c>
      <c r="E75" s="115" t="e">
        <f t="shared" si="40"/>
        <v>#REF!</v>
      </c>
      <c r="F75" s="115" t="e">
        <f t="shared" si="40"/>
        <v>#REF!</v>
      </c>
      <c r="G75" s="115" t="e">
        <f t="shared" si="40"/>
        <v>#REF!</v>
      </c>
      <c r="H75" s="115" t="e">
        <f t="shared" si="40"/>
        <v>#REF!</v>
      </c>
      <c r="I75" s="115" t="e">
        <f t="shared" si="40"/>
        <v>#REF!</v>
      </c>
      <c r="J75" s="364"/>
      <c r="K75" s="454">
        <f>'Unit costs'!Q32</f>
        <v>0</v>
      </c>
      <c r="L75" s="256" t="e">
        <f t="shared" si="41"/>
        <v>#REF!</v>
      </c>
      <c r="M75" s="256" t="e">
        <f t="shared" si="39"/>
        <v>#REF!</v>
      </c>
      <c r="N75" s="256" t="e">
        <f t="shared" si="39"/>
        <v>#REF!</v>
      </c>
      <c r="O75" s="256" t="e">
        <f t="shared" si="39"/>
        <v>#REF!</v>
      </c>
      <c r="P75" s="256" t="e">
        <f t="shared" si="39"/>
        <v>#REF!</v>
      </c>
      <c r="Q75" s="256" t="e">
        <f t="shared" si="39"/>
        <v>#REF!</v>
      </c>
      <c r="R75" s="120"/>
      <c r="S75" s="120"/>
      <c r="T75" s="120"/>
      <c r="U75" s="120"/>
      <c r="V75" s="120"/>
      <c r="W75" s="120"/>
      <c r="X75" s="120"/>
      <c r="Y75" s="120"/>
      <c r="Z75" s="120"/>
      <c r="AJ75" s="251"/>
      <c r="AK75" s="251"/>
      <c r="AL75" s="251"/>
      <c r="AM75" s="251"/>
      <c r="AN75" s="251"/>
    </row>
    <row r="76" spans="1:40" x14ac:dyDescent="0.35">
      <c r="A76" s="259"/>
      <c r="B76" s="302" t="str">
        <f t="shared" si="42"/>
        <v>Treatment F</v>
      </c>
      <c r="C76" s="676">
        <f>'Unit costs'!O51</f>
        <v>0</v>
      </c>
      <c r="D76" s="115" t="e">
        <f t="shared" si="40"/>
        <v>#REF!</v>
      </c>
      <c r="E76" s="115" t="e">
        <f t="shared" si="40"/>
        <v>#REF!</v>
      </c>
      <c r="F76" s="115" t="e">
        <f t="shared" si="40"/>
        <v>#REF!</v>
      </c>
      <c r="G76" s="115" t="e">
        <f t="shared" si="40"/>
        <v>#REF!</v>
      </c>
      <c r="H76" s="115" t="e">
        <f t="shared" si="40"/>
        <v>#REF!</v>
      </c>
      <c r="I76" s="115" t="e">
        <f t="shared" si="40"/>
        <v>#REF!</v>
      </c>
      <c r="J76" s="364"/>
      <c r="K76" s="454">
        <f>'Unit costs'!Q51</f>
        <v>0</v>
      </c>
      <c r="L76" s="256" t="e">
        <f t="shared" si="41"/>
        <v>#REF!</v>
      </c>
      <c r="M76" s="256" t="e">
        <f t="shared" si="39"/>
        <v>#REF!</v>
      </c>
      <c r="N76" s="256" t="e">
        <f t="shared" si="39"/>
        <v>#REF!</v>
      </c>
      <c r="O76" s="256" t="e">
        <f t="shared" si="39"/>
        <v>#REF!</v>
      </c>
      <c r="P76" s="256" t="e">
        <f t="shared" si="39"/>
        <v>#REF!</v>
      </c>
      <c r="Q76" s="256" t="e">
        <f t="shared" si="39"/>
        <v>#REF!</v>
      </c>
      <c r="R76" s="120"/>
      <c r="S76" s="120"/>
      <c r="T76" s="120"/>
      <c r="U76" s="120"/>
      <c r="V76" s="120"/>
      <c r="W76" s="120"/>
      <c r="X76" s="120"/>
      <c r="Y76" s="120"/>
      <c r="Z76" s="120"/>
      <c r="AJ76" s="251"/>
      <c r="AK76" s="251"/>
      <c r="AL76" s="251"/>
      <c r="AM76" s="251"/>
      <c r="AN76" s="251"/>
    </row>
    <row r="77" spans="1:40" x14ac:dyDescent="0.35">
      <c r="A77" s="259"/>
      <c r="B77" s="302" t="str">
        <f t="shared" si="42"/>
        <v>Treatment G</v>
      </c>
      <c r="C77" s="676">
        <f>'Unit costs'!O70</f>
        <v>0</v>
      </c>
      <c r="D77" s="115" t="e">
        <f t="shared" si="40"/>
        <v>#REF!</v>
      </c>
      <c r="E77" s="115" t="e">
        <f t="shared" si="40"/>
        <v>#REF!</v>
      </c>
      <c r="F77" s="115" t="e">
        <f t="shared" si="40"/>
        <v>#REF!</v>
      </c>
      <c r="G77" s="115" t="e">
        <f t="shared" si="40"/>
        <v>#REF!</v>
      </c>
      <c r="H77" s="115" t="e">
        <f t="shared" si="40"/>
        <v>#REF!</v>
      </c>
      <c r="I77" s="115" t="e">
        <f t="shared" si="40"/>
        <v>#REF!</v>
      </c>
      <c r="J77" s="364"/>
      <c r="K77" s="454">
        <f>'Unit costs'!Q70</f>
        <v>0</v>
      </c>
      <c r="L77" s="256" t="e">
        <f t="shared" si="41"/>
        <v>#REF!</v>
      </c>
      <c r="M77" s="256" t="e">
        <f t="shared" si="39"/>
        <v>#REF!</v>
      </c>
      <c r="N77" s="256" t="e">
        <f t="shared" si="39"/>
        <v>#REF!</v>
      </c>
      <c r="O77" s="256" t="e">
        <f t="shared" si="39"/>
        <v>#REF!</v>
      </c>
      <c r="P77" s="256" t="e">
        <f t="shared" si="39"/>
        <v>#REF!</v>
      </c>
      <c r="Q77" s="256" t="e">
        <f t="shared" si="39"/>
        <v>#REF!</v>
      </c>
      <c r="R77" s="120"/>
      <c r="S77" s="120"/>
      <c r="T77" s="120"/>
      <c r="U77" s="120"/>
      <c r="V77" s="120"/>
      <c r="W77" s="120"/>
      <c r="X77" s="120"/>
      <c r="Y77" s="120"/>
      <c r="Z77" s="120"/>
      <c r="AJ77" s="251"/>
      <c r="AK77" s="251"/>
      <c r="AL77" s="251"/>
      <c r="AM77" s="251"/>
      <c r="AN77" s="251"/>
    </row>
    <row r="78" spans="1:40" x14ac:dyDescent="0.35">
      <c r="A78" s="259"/>
      <c r="B78" s="245"/>
      <c r="C78" s="282"/>
      <c r="D78" s="167" t="e">
        <f>SUM(D71:D77)</f>
        <v>#REF!</v>
      </c>
      <c r="E78" s="167" t="e">
        <f t="shared" ref="E78:I78" si="43">SUM(E71:E77)</f>
        <v>#REF!</v>
      </c>
      <c r="F78" s="167" t="e">
        <f t="shared" si="43"/>
        <v>#REF!</v>
      </c>
      <c r="G78" s="167" t="e">
        <f t="shared" si="43"/>
        <v>#REF!</v>
      </c>
      <c r="H78" s="167" t="e">
        <f t="shared" si="43"/>
        <v>#REF!</v>
      </c>
      <c r="I78" s="167" t="e">
        <f t="shared" si="43"/>
        <v>#REF!</v>
      </c>
      <c r="J78" s="364"/>
      <c r="K78" s="188"/>
      <c r="L78" s="257" t="e">
        <f>SUM(L71:L77)</f>
        <v>#REF!</v>
      </c>
      <c r="M78" s="257" t="e">
        <f t="shared" ref="M78:Q78" si="44">SUM(M71:M77)</f>
        <v>#REF!</v>
      </c>
      <c r="N78" s="257" t="e">
        <f t="shared" si="44"/>
        <v>#REF!</v>
      </c>
      <c r="O78" s="257" t="e">
        <f t="shared" si="44"/>
        <v>#REF!</v>
      </c>
      <c r="P78" s="257" t="e">
        <f t="shared" si="44"/>
        <v>#REF!</v>
      </c>
      <c r="Q78" s="257" t="e">
        <f t="shared" si="44"/>
        <v>#REF!</v>
      </c>
      <c r="R78" s="120"/>
      <c r="S78" s="120"/>
      <c r="T78" s="120"/>
      <c r="U78" s="120"/>
      <c r="V78" s="120"/>
      <c r="W78" s="120"/>
      <c r="X78" s="120"/>
      <c r="Y78" s="120"/>
      <c r="Z78" s="120"/>
      <c r="AJ78" s="251"/>
      <c r="AK78" s="251"/>
      <c r="AL78" s="251"/>
      <c r="AM78" s="251"/>
      <c r="AN78" s="251"/>
    </row>
    <row r="79" spans="1:40" x14ac:dyDescent="0.35">
      <c r="A79" s="259"/>
      <c r="B79" s="272"/>
      <c r="C79" s="223"/>
      <c r="D79" s="250" t="s">
        <v>723</v>
      </c>
      <c r="E79" s="167" t="e">
        <f>E78-D78</f>
        <v>#REF!</v>
      </c>
      <c r="F79" s="167" t="e">
        <f>F78-$D$78</f>
        <v>#REF!</v>
      </c>
      <c r="G79" s="167" t="e">
        <f t="shared" ref="G79:I79" si="45">G78-$D$78</f>
        <v>#REF!</v>
      </c>
      <c r="H79" s="167" t="e">
        <f t="shared" si="45"/>
        <v>#REF!</v>
      </c>
      <c r="I79" s="167" t="e">
        <f t="shared" si="45"/>
        <v>#REF!</v>
      </c>
      <c r="J79" s="364"/>
      <c r="K79" s="188"/>
      <c r="L79" s="666"/>
      <c r="M79" s="257" t="e">
        <f>M78-$L78</f>
        <v>#REF!</v>
      </c>
      <c r="N79" s="257" t="e">
        <f t="shared" ref="N79:Q79" si="46">N78-$L78</f>
        <v>#REF!</v>
      </c>
      <c r="O79" s="257" t="e">
        <f t="shared" si="46"/>
        <v>#REF!</v>
      </c>
      <c r="P79" s="257" t="e">
        <f t="shared" si="46"/>
        <v>#REF!</v>
      </c>
      <c r="Q79" s="257" t="e">
        <f t="shared" si="46"/>
        <v>#REF!</v>
      </c>
      <c r="R79" s="120"/>
      <c r="S79" s="120"/>
      <c r="T79" s="120"/>
      <c r="U79" s="120"/>
      <c r="V79" s="120"/>
      <c r="W79" s="120"/>
      <c r="X79" s="120"/>
      <c r="Y79" s="120"/>
      <c r="Z79" s="120"/>
      <c r="AJ79" s="251"/>
      <c r="AK79" s="251"/>
      <c r="AL79" s="251"/>
      <c r="AM79" s="251"/>
      <c r="AN79" s="251"/>
    </row>
    <row r="80" spans="1:40" x14ac:dyDescent="0.35">
      <c r="A80" s="259"/>
      <c r="B80" s="281"/>
      <c r="C80" s="265"/>
      <c r="D80" s="264"/>
      <c r="E80" s="265"/>
      <c r="F80" s="266"/>
      <c r="G80" s="259"/>
      <c r="H80" s="259"/>
      <c r="I80" s="263"/>
      <c r="J80" s="188"/>
      <c r="K80" s="188"/>
      <c r="L80" s="188"/>
      <c r="M80" s="188"/>
      <c r="N80" s="188"/>
      <c r="O80" s="188"/>
      <c r="P80" s="188"/>
      <c r="Q80" s="188"/>
      <c r="R80" s="120"/>
      <c r="S80" s="120"/>
      <c r="T80" s="120"/>
      <c r="U80" s="120"/>
      <c r="V80" s="120"/>
      <c r="W80" s="120"/>
      <c r="X80" s="120"/>
      <c r="Y80" s="120"/>
      <c r="Z80" s="120"/>
      <c r="AJ80" s="251"/>
      <c r="AK80" s="251"/>
      <c r="AL80" s="251"/>
      <c r="AM80" s="251"/>
      <c r="AN80" s="251"/>
    </row>
    <row r="81" spans="1:40" x14ac:dyDescent="0.35">
      <c r="A81" s="252"/>
      <c r="B81" s="283" t="s">
        <v>724</v>
      </c>
      <c r="C81" s="268"/>
      <c r="D81" s="268"/>
      <c r="E81" s="269"/>
      <c r="F81" s="270"/>
      <c r="G81" s="271"/>
      <c r="H81" s="271"/>
      <c r="I81" s="271"/>
      <c r="J81" s="369"/>
      <c r="K81" s="252"/>
      <c r="L81" s="252"/>
      <c r="M81" s="252"/>
      <c r="N81" s="252"/>
      <c r="O81" s="252"/>
      <c r="P81" s="252"/>
      <c r="Q81" s="190"/>
      <c r="R81" s="120"/>
      <c r="S81" s="120"/>
      <c r="V81" s="120"/>
    </row>
    <row r="82" spans="1:40" x14ac:dyDescent="0.35">
      <c r="A82" s="252"/>
      <c r="B82" s="335" t="s">
        <v>725</v>
      </c>
      <c r="C82" s="336"/>
      <c r="D82" s="336"/>
      <c r="E82" s="336"/>
      <c r="F82" s="336"/>
      <c r="G82" s="336"/>
      <c r="H82" s="336"/>
      <c r="I82" s="189"/>
      <c r="J82" s="365"/>
      <c r="K82" s="190"/>
      <c r="L82" s="252"/>
      <c r="M82" s="252"/>
      <c r="N82" s="252"/>
      <c r="O82" s="252"/>
      <c r="P82" s="252"/>
      <c r="Q82" s="190"/>
      <c r="R82" s="120"/>
      <c r="S82" s="120"/>
      <c r="V82" s="120"/>
    </row>
    <row r="83" spans="1:40" ht="43.5" x14ac:dyDescent="0.35">
      <c r="A83" s="252"/>
      <c r="B83" s="247" t="s">
        <v>649</v>
      </c>
      <c r="C83" s="353" t="s">
        <v>710</v>
      </c>
      <c r="D83" s="661" t="s">
        <v>698</v>
      </c>
      <c r="E83" s="222" t="s">
        <v>551</v>
      </c>
      <c r="F83" s="222" t="s">
        <v>552</v>
      </c>
      <c r="G83" s="151" t="s">
        <v>673</v>
      </c>
      <c r="H83" s="151" t="s">
        <v>674</v>
      </c>
      <c r="I83" s="222" t="s">
        <v>675</v>
      </c>
      <c r="J83" s="252"/>
      <c r="K83" s="252"/>
      <c r="L83" s="252"/>
      <c r="M83" s="252"/>
      <c r="N83" s="252"/>
      <c r="O83" s="252"/>
      <c r="P83" s="252"/>
      <c r="Q83" s="190"/>
      <c r="R83" s="120"/>
      <c r="S83" s="120"/>
      <c r="V83" s="120"/>
    </row>
    <row r="84" spans="1:40" x14ac:dyDescent="0.35">
      <c r="A84" s="252"/>
      <c r="B84" s="304" t="str">
        <f>B71</f>
        <v>Treatment A</v>
      </c>
      <c r="C84" s="136">
        <f>'Capacity inputs'!F15*'Capacity inputs'!G15</f>
        <v>0</v>
      </c>
      <c r="D84" s="115" t="e">
        <f>D71</f>
        <v>#REF!</v>
      </c>
      <c r="E84" s="115" t="e">
        <f t="shared" ref="E84:I84" si="47">E71</f>
        <v>#REF!</v>
      </c>
      <c r="F84" s="115" t="e">
        <f t="shared" si="47"/>
        <v>#REF!</v>
      </c>
      <c r="G84" s="115" t="e">
        <f t="shared" si="47"/>
        <v>#REF!</v>
      </c>
      <c r="H84" s="115" t="e">
        <f t="shared" si="47"/>
        <v>#REF!</v>
      </c>
      <c r="I84" s="115" t="e">
        <f t="shared" si="47"/>
        <v>#REF!</v>
      </c>
      <c r="J84" s="252"/>
      <c r="K84" s="252"/>
      <c r="L84" s="252"/>
      <c r="M84" s="252"/>
      <c r="N84" s="252"/>
      <c r="O84" s="252"/>
      <c r="P84" s="252"/>
      <c r="Q84" s="190"/>
      <c r="R84" s="120"/>
      <c r="S84" s="120"/>
      <c r="T84" s="120"/>
      <c r="U84" s="120"/>
      <c r="V84" s="120"/>
      <c r="W84" s="120"/>
      <c r="X84" s="120"/>
      <c r="Y84" s="120"/>
      <c r="Z84" s="120"/>
      <c r="AJ84" s="251"/>
      <c r="AK84" s="251"/>
      <c r="AL84" s="251"/>
      <c r="AM84" s="251"/>
      <c r="AN84" s="251"/>
    </row>
    <row r="85" spans="1:40" x14ac:dyDescent="0.35">
      <c r="A85" s="252"/>
      <c r="B85" s="304" t="str">
        <f t="shared" ref="B85:B90" si="48">B72</f>
        <v>Treatment B</v>
      </c>
      <c r="C85" s="136">
        <f>'Capacity inputs'!F15*'Capacity inputs'!H15</f>
        <v>0</v>
      </c>
      <c r="D85" s="115" t="e">
        <f t="shared" ref="D85:I90" si="49">D72</f>
        <v>#REF!</v>
      </c>
      <c r="E85" s="115" t="e">
        <f t="shared" si="49"/>
        <v>#REF!</v>
      </c>
      <c r="F85" s="115" t="e">
        <f t="shared" si="49"/>
        <v>#REF!</v>
      </c>
      <c r="G85" s="115" t="e">
        <f t="shared" si="49"/>
        <v>#REF!</v>
      </c>
      <c r="H85" s="115" t="e">
        <f t="shared" si="49"/>
        <v>#REF!</v>
      </c>
      <c r="I85" s="115" t="e">
        <f t="shared" si="49"/>
        <v>#REF!</v>
      </c>
      <c r="J85" s="252"/>
      <c r="K85" s="252"/>
      <c r="L85" s="252"/>
      <c r="M85" s="252"/>
      <c r="N85" s="252"/>
      <c r="O85" s="252"/>
      <c r="P85" s="252"/>
      <c r="Q85" s="190"/>
      <c r="R85" s="120"/>
      <c r="S85" s="120"/>
      <c r="T85" s="120"/>
      <c r="U85" s="120"/>
      <c r="V85" s="120"/>
      <c r="W85" s="120"/>
      <c r="X85" s="120"/>
      <c r="Y85" s="120"/>
      <c r="Z85" s="120"/>
      <c r="AJ85" s="251"/>
      <c r="AK85" s="251"/>
      <c r="AL85" s="251"/>
      <c r="AM85" s="251"/>
      <c r="AN85" s="251"/>
    </row>
    <row r="86" spans="1:40" x14ac:dyDescent="0.35">
      <c r="A86" s="252"/>
      <c r="B86" s="304" t="str">
        <f t="shared" si="48"/>
        <v>Treatment C</v>
      </c>
      <c r="C86" s="136">
        <f>'Capacity inputs'!F15*'Capacity inputs'!I15</f>
        <v>0</v>
      </c>
      <c r="D86" s="115" t="e">
        <f t="shared" si="49"/>
        <v>#REF!</v>
      </c>
      <c r="E86" s="115" t="e">
        <f t="shared" si="49"/>
        <v>#REF!</v>
      </c>
      <c r="F86" s="115" t="e">
        <f t="shared" si="49"/>
        <v>#REF!</v>
      </c>
      <c r="G86" s="115" t="e">
        <f t="shared" si="49"/>
        <v>#REF!</v>
      </c>
      <c r="H86" s="115" t="e">
        <f t="shared" si="49"/>
        <v>#REF!</v>
      </c>
      <c r="I86" s="115" t="e">
        <f t="shared" si="49"/>
        <v>#REF!</v>
      </c>
      <c r="J86" s="252"/>
      <c r="K86" s="252"/>
      <c r="L86" s="252"/>
      <c r="M86" s="252"/>
      <c r="N86" s="252"/>
      <c r="O86" s="252"/>
      <c r="P86" s="252"/>
      <c r="Q86" s="190"/>
      <c r="R86" s="120"/>
      <c r="S86" s="120"/>
      <c r="T86" s="120"/>
      <c r="U86" s="120"/>
      <c r="V86" s="120"/>
      <c r="W86" s="120"/>
      <c r="X86" s="120"/>
      <c r="Y86" s="120"/>
      <c r="Z86" s="120"/>
      <c r="AJ86" s="251"/>
      <c r="AK86" s="251"/>
      <c r="AL86" s="251"/>
      <c r="AM86" s="251"/>
      <c r="AN86" s="251"/>
    </row>
    <row r="87" spans="1:40" x14ac:dyDescent="0.35">
      <c r="A87" s="252"/>
      <c r="B87" s="304" t="str">
        <f t="shared" si="48"/>
        <v>Treatment D</v>
      </c>
      <c r="C87" s="136">
        <f>'Capacity inputs'!F15*'Capacity inputs'!J15</f>
        <v>0</v>
      </c>
      <c r="D87" s="115" t="e">
        <f t="shared" si="49"/>
        <v>#REF!</v>
      </c>
      <c r="E87" s="115" t="e">
        <f t="shared" si="49"/>
        <v>#REF!</v>
      </c>
      <c r="F87" s="115" t="e">
        <f t="shared" si="49"/>
        <v>#REF!</v>
      </c>
      <c r="G87" s="115" t="e">
        <f t="shared" si="49"/>
        <v>#REF!</v>
      </c>
      <c r="H87" s="115" t="e">
        <f t="shared" si="49"/>
        <v>#REF!</v>
      </c>
      <c r="I87" s="115" t="e">
        <f t="shared" si="49"/>
        <v>#REF!</v>
      </c>
      <c r="J87" s="252"/>
      <c r="K87" s="252"/>
      <c r="L87" s="252"/>
      <c r="M87" s="252"/>
      <c r="N87" s="252"/>
      <c r="O87" s="252"/>
      <c r="P87" s="252"/>
      <c r="Q87" s="190"/>
      <c r="R87" s="120"/>
      <c r="S87" s="120"/>
      <c r="T87" s="120"/>
      <c r="U87" s="120"/>
      <c r="V87" s="120"/>
      <c r="W87" s="120"/>
      <c r="X87" s="120"/>
      <c r="Y87" s="120"/>
      <c r="Z87" s="120"/>
      <c r="AJ87" s="251"/>
      <c r="AK87" s="251"/>
      <c r="AL87" s="251"/>
      <c r="AM87" s="251"/>
      <c r="AN87" s="251"/>
    </row>
    <row r="88" spans="1:40" x14ac:dyDescent="0.35">
      <c r="A88" s="252"/>
      <c r="B88" s="304" t="str">
        <f t="shared" si="48"/>
        <v>Treatment E</v>
      </c>
      <c r="C88" s="136">
        <f>'Capacity inputs'!F15*'Capacity inputs'!K15</f>
        <v>0</v>
      </c>
      <c r="D88" s="115" t="e">
        <f t="shared" si="49"/>
        <v>#REF!</v>
      </c>
      <c r="E88" s="115" t="e">
        <f t="shared" si="49"/>
        <v>#REF!</v>
      </c>
      <c r="F88" s="115" t="e">
        <f t="shared" si="49"/>
        <v>#REF!</v>
      </c>
      <c r="G88" s="115" t="e">
        <f t="shared" si="49"/>
        <v>#REF!</v>
      </c>
      <c r="H88" s="115" t="e">
        <f t="shared" si="49"/>
        <v>#REF!</v>
      </c>
      <c r="I88" s="115" t="e">
        <f t="shared" si="49"/>
        <v>#REF!</v>
      </c>
      <c r="J88" s="252"/>
      <c r="K88" s="252"/>
      <c r="L88" s="252"/>
      <c r="M88" s="252"/>
      <c r="N88" s="252"/>
      <c r="O88" s="252"/>
      <c r="P88" s="252"/>
      <c r="Q88" s="190"/>
      <c r="R88" s="120"/>
      <c r="S88" s="120"/>
      <c r="T88" s="120"/>
      <c r="U88" s="120"/>
      <c r="V88" s="120"/>
      <c r="W88" s="120"/>
      <c r="X88" s="120"/>
      <c r="Y88" s="120"/>
      <c r="Z88" s="120"/>
      <c r="AJ88" s="251"/>
      <c r="AK88" s="251"/>
      <c r="AL88" s="251"/>
      <c r="AM88" s="251"/>
      <c r="AN88" s="251"/>
    </row>
    <row r="89" spans="1:40" x14ac:dyDescent="0.35">
      <c r="A89" s="252"/>
      <c r="B89" s="304" t="str">
        <f t="shared" si="48"/>
        <v>Treatment F</v>
      </c>
      <c r="C89" s="136">
        <f>'Capacity inputs'!F15*'Capacity inputs'!L15</f>
        <v>0</v>
      </c>
      <c r="D89" s="115" t="e">
        <f t="shared" si="49"/>
        <v>#REF!</v>
      </c>
      <c r="E89" s="115" t="e">
        <f t="shared" si="49"/>
        <v>#REF!</v>
      </c>
      <c r="F89" s="115" t="e">
        <f t="shared" si="49"/>
        <v>#REF!</v>
      </c>
      <c r="G89" s="115" t="e">
        <f t="shared" si="49"/>
        <v>#REF!</v>
      </c>
      <c r="H89" s="115" t="e">
        <f t="shared" si="49"/>
        <v>#REF!</v>
      </c>
      <c r="I89" s="115" t="e">
        <f t="shared" si="49"/>
        <v>#REF!</v>
      </c>
      <c r="J89" s="252"/>
      <c r="K89" s="252"/>
      <c r="L89" s="252"/>
      <c r="M89" s="252"/>
      <c r="N89" s="252"/>
      <c r="O89" s="252"/>
      <c r="P89" s="252"/>
      <c r="Q89" s="190"/>
      <c r="R89" s="120"/>
      <c r="S89" s="120"/>
      <c r="T89" s="120"/>
      <c r="U89" s="120"/>
      <c r="V89" s="120"/>
      <c r="W89" s="120"/>
      <c r="X89" s="120"/>
      <c r="Y89" s="120"/>
      <c r="Z89" s="120"/>
      <c r="AJ89" s="251"/>
      <c r="AK89" s="251"/>
      <c r="AL89" s="251"/>
      <c r="AM89" s="251"/>
      <c r="AN89" s="251"/>
    </row>
    <row r="90" spans="1:40" x14ac:dyDescent="0.35">
      <c r="A90" s="252"/>
      <c r="B90" s="304" t="str">
        <f t="shared" si="48"/>
        <v>Treatment G</v>
      </c>
      <c r="C90" s="136">
        <f>'Capacity inputs'!F15*'Capacity inputs'!M15</f>
        <v>0</v>
      </c>
      <c r="D90" s="115" t="e">
        <f t="shared" si="49"/>
        <v>#REF!</v>
      </c>
      <c r="E90" s="115" t="e">
        <f t="shared" si="49"/>
        <v>#REF!</v>
      </c>
      <c r="F90" s="115" t="e">
        <f t="shared" si="49"/>
        <v>#REF!</v>
      </c>
      <c r="G90" s="115" t="e">
        <f t="shared" si="49"/>
        <v>#REF!</v>
      </c>
      <c r="H90" s="115" t="e">
        <f t="shared" si="49"/>
        <v>#REF!</v>
      </c>
      <c r="I90" s="115" t="e">
        <f t="shared" si="49"/>
        <v>#REF!</v>
      </c>
      <c r="J90" s="252"/>
      <c r="K90" s="252"/>
      <c r="L90" s="252"/>
      <c r="M90" s="252"/>
      <c r="N90" s="252"/>
      <c r="O90" s="252"/>
      <c r="P90" s="252"/>
      <c r="Q90" s="190"/>
      <c r="R90" s="120"/>
      <c r="S90" s="120"/>
      <c r="T90" s="120"/>
      <c r="U90" s="120"/>
      <c r="V90" s="120"/>
      <c r="W90" s="120"/>
      <c r="X90" s="120"/>
      <c r="Y90" s="120"/>
      <c r="Z90" s="120"/>
      <c r="AJ90" s="251"/>
      <c r="AK90" s="251"/>
      <c r="AL90" s="251"/>
      <c r="AM90" s="251"/>
      <c r="AN90" s="251"/>
    </row>
    <row r="91" spans="1:40" x14ac:dyDescent="0.35">
      <c r="A91" s="252"/>
      <c r="B91" s="245" t="s">
        <v>746</v>
      </c>
      <c r="C91" s="282"/>
      <c r="D91" s="167" t="e">
        <f>SUM(D84:D90)</f>
        <v>#REF!</v>
      </c>
      <c r="E91" s="167" t="e">
        <f t="shared" ref="E91:I91" si="50">SUM(E84:E90)</f>
        <v>#REF!</v>
      </c>
      <c r="F91" s="167" t="e">
        <f t="shared" si="50"/>
        <v>#REF!</v>
      </c>
      <c r="G91" s="167" t="e">
        <f t="shared" si="50"/>
        <v>#REF!</v>
      </c>
      <c r="H91" s="167" t="e">
        <f t="shared" si="50"/>
        <v>#REF!</v>
      </c>
      <c r="I91" s="167" t="e">
        <f t="shared" si="50"/>
        <v>#REF!</v>
      </c>
      <c r="J91" s="252"/>
      <c r="K91" s="252"/>
      <c r="L91" s="252"/>
      <c r="M91" s="252"/>
      <c r="N91" s="252"/>
      <c r="O91" s="252"/>
      <c r="P91" s="252"/>
      <c r="Q91" s="190"/>
      <c r="R91" s="120"/>
      <c r="S91" s="120"/>
      <c r="T91" s="120"/>
      <c r="U91" s="120"/>
      <c r="V91" s="120"/>
      <c r="W91" s="120"/>
      <c r="X91" s="120"/>
      <c r="Y91" s="120"/>
      <c r="Z91" s="120"/>
      <c r="AJ91" s="251"/>
      <c r="AK91" s="251"/>
      <c r="AL91" s="251"/>
      <c r="AM91" s="251"/>
      <c r="AN91" s="251"/>
    </row>
    <row r="92" spans="1:40" x14ac:dyDescent="0.35">
      <c r="A92" s="252"/>
      <c r="B92" s="272"/>
      <c r="C92" s="223"/>
      <c r="D92" s="250" t="s">
        <v>726</v>
      </c>
      <c r="E92" s="167" t="e">
        <f>E91-$D$91</f>
        <v>#REF!</v>
      </c>
      <c r="F92" s="167" t="e">
        <f>F91-$D$91</f>
        <v>#REF!</v>
      </c>
      <c r="G92" s="167" t="e">
        <f>G91-$D$91</f>
        <v>#REF!</v>
      </c>
      <c r="H92" s="167" t="e">
        <f>H91-$D$91</f>
        <v>#REF!</v>
      </c>
      <c r="I92" s="167" t="e">
        <f>I91-$D$91</f>
        <v>#REF!</v>
      </c>
      <c r="J92" s="252"/>
      <c r="K92" s="252"/>
      <c r="L92" s="252"/>
      <c r="M92" s="252"/>
      <c r="N92" s="252"/>
      <c r="O92" s="252"/>
      <c r="P92" s="252"/>
      <c r="Q92" s="190"/>
      <c r="R92" s="120"/>
      <c r="S92" s="120"/>
      <c r="T92" s="120"/>
      <c r="U92" s="120"/>
      <c r="V92" s="120"/>
      <c r="W92" s="120"/>
      <c r="X92" s="120"/>
      <c r="Y92" s="120"/>
      <c r="Z92" s="120"/>
      <c r="AJ92" s="251"/>
      <c r="AK92" s="251"/>
      <c r="AL92" s="251"/>
      <c r="AM92" s="251"/>
      <c r="AN92" s="251"/>
    </row>
    <row r="93" spans="1:40" x14ac:dyDescent="0.35">
      <c r="A93" s="252"/>
      <c r="B93" s="284"/>
      <c r="C93" s="190"/>
      <c r="D93" s="190"/>
      <c r="E93" s="190"/>
      <c r="F93" s="190"/>
      <c r="G93" s="190"/>
      <c r="H93" s="190"/>
      <c r="I93" s="190"/>
      <c r="J93" s="190"/>
      <c r="K93" s="190"/>
      <c r="L93" s="252"/>
      <c r="M93" s="252"/>
      <c r="N93" s="252"/>
      <c r="O93" s="252"/>
      <c r="P93" s="252"/>
      <c r="Q93" s="190"/>
      <c r="R93" s="120"/>
      <c r="S93" s="120"/>
      <c r="T93" s="120"/>
      <c r="U93" s="120"/>
      <c r="V93" s="120"/>
      <c r="W93" s="120"/>
      <c r="X93" s="120"/>
      <c r="Y93" s="120"/>
      <c r="Z93" s="120"/>
      <c r="AJ93" s="251"/>
      <c r="AK93" s="251"/>
      <c r="AL93" s="251"/>
      <c r="AM93" s="251"/>
      <c r="AN93" s="251"/>
    </row>
    <row r="94" spans="1:40" x14ac:dyDescent="0.35">
      <c r="A94" s="252"/>
      <c r="B94" s="337" t="s">
        <v>727</v>
      </c>
      <c r="C94" s="336"/>
      <c r="D94" s="336"/>
      <c r="E94" s="336"/>
      <c r="F94" s="336"/>
      <c r="G94" s="336"/>
      <c r="H94" s="336"/>
      <c r="I94" s="189"/>
      <c r="J94" s="365"/>
      <c r="K94" s="190"/>
      <c r="L94" s="190"/>
      <c r="M94" s="190"/>
      <c r="N94" s="190"/>
      <c r="O94" s="190"/>
      <c r="P94" s="190"/>
      <c r="Q94" s="190"/>
      <c r="R94" s="120"/>
      <c r="S94" s="120"/>
      <c r="T94" s="120"/>
      <c r="U94" s="120"/>
      <c r="V94" s="120"/>
      <c r="W94" s="120"/>
      <c r="X94" s="120"/>
      <c r="AH94" s="251"/>
      <c r="AI94" s="251"/>
      <c r="AJ94" s="251"/>
      <c r="AK94" s="251"/>
      <c r="AL94" s="251"/>
    </row>
    <row r="95" spans="1:40" ht="43.5" x14ac:dyDescent="0.35">
      <c r="A95" s="252"/>
      <c r="B95" s="247" t="s">
        <v>649</v>
      </c>
      <c r="C95" s="353" t="s">
        <v>710</v>
      </c>
      <c r="D95" s="661" t="s">
        <v>698</v>
      </c>
      <c r="E95" s="222" t="s">
        <v>551</v>
      </c>
      <c r="F95" s="222" t="s">
        <v>552</v>
      </c>
      <c r="G95" s="151" t="s">
        <v>673</v>
      </c>
      <c r="H95" s="151" t="s">
        <v>674</v>
      </c>
      <c r="I95" s="222" t="s">
        <v>675</v>
      </c>
      <c r="J95" s="252"/>
      <c r="K95" s="190"/>
      <c r="L95" s="190"/>
      <c r="M95" s="190"/>
      <c r="N95" s="190"/>
      <c r="O95" s="190"/>
      <c r="P95" s="190"/>
      <c r="Q95" s="190"/>
      <c r="R95" s="120"/>
      <c r="S95" s="120"/>
      <c r="T95" s="120"/>
      <c r="U95" s="120"/>
      <c r="V95" s="120"/>
      <c r="W95" s="120"/>
      <c r="X95" s="120"/>
      <c r="AH95" s="251"/>
      <c r="AI95" s="251"/>
      <c r="AJ95" s="251"/>
      <c r="AK95" s="251"/>
      <c r="AL95" s="251"/>
    </row>
    <row r="96" spans="1:40" x14ac:dyDescent="0.35">
      <c r="A96" s="252"/>
      <c r="B96" s="304" t="str">
        <f>B84</f>
        <v>Treatment A</v>
      </c>
      <c r="C96" s="136">
        <f>'Capacity inputs'!F16*'Capacity inputs'!G16</f>
        <v>0</v>
      </c>
      <c r="D96" s="115" t="e">
        <f>D71*$C96/60</f>
        <v>#REF!</v>
      </c>
      <c r="E96" s="115" t="e">
        <f t="shared" ref="E96:I96" si="51">E71*$C96/60</f>
        <v>#REF!</v>
      </c>
      <c r="F96" s="115" t="e">
        <f t="shared" si="51"/>
        <v>#REF!</v>
      </c>
      <c r="G96" s="115" t="e">
        <f t="shared" si="51"/>
        <v>#REF!</v>
      </c>
      <c r="H96" s="115" t="e">
        <f t="shared" si="51"/>
        <v>#REF!</v>
      </c>
      <c r="I96" s="115" t="e">
        <f t="shared" si="51"/>
        <v>#REF!</v>
      </c>
      <c r="J96" s="252"/>
      <c r="K96" s="190"/>
      <c r="L96" s="190"/>
      <c r="M96" s="190"/>
      <c r="N96" s="190"/>
      <c r="O96" s="190"/>
      <c r="P96" s="190"/>
      <c r="Q96" s="190"/>
      <c r="R96" s="120"/>
      <c r="S96" s="120"/>
      <c r="T96" s="120"/>
      <c r="U96" s="120"/>
      <c r="V96" s="120"/>
      <c r="W96" s="120"/>
      <c r="X96" s="120"/>
      <c r="AH96" s="251"/>
      <c r="AI96" s="251"/>
      <c r="AJ96" s="251"/>
      <c r="AK96" s="251"/>
      <c r="AL96" s="251"/>
    </row>
    <row r="97" spans="1:38" x14ac:dyDescent="0.35">
      <c r="A97" s="252"/>
      <c r="B97" s="304" t="str">
        <f>B85</f>
        <v>Treatment B</v>
      </c>
      <c r="C97" s="136">
        <f>'Capacity inputs'!F16*'Capacity inputs'!H16</f>
        <v>0</v>
      </c>
      <c r="D97" s="115" t="e">
        <f t="shared" ref="D97:I102" si="52">D72*$C97/60</f>
        <v>#REF!</v>
      </c>
      <c r="E97" s="115" t="e">
        <f t="shared" si="52"/>
        <v>#REF!</v>
      </c>
      <c r="F97" s="115" t="e">
        <f t="shared" si="52"/>
        <v>#REF!</v>
      </c>
      <c r="G97" s="115" t="e">
        <f t="shared" si="52"/>
        <v>#REF!</v>
      </c>
      <c r="H97" s="115" t="e">
        <f t="shared" si="52"/>
        <v>#REF!</v>
      </c>
      <c r="I97" s="115" t="e">
        <f t="shared" si="52"/>
        <v>#REF!</v>
      </c>
      <c r="J97" s="252"/>
      <c r="K97" s="190"/>
      <c r="L97" s="190"/>
      <c r="M97" s="190"/>
      <c r="N97" s="190"/>
      <c r="O97" s="190"/>
      <c r="P97" s="190"/>
      <c r="Q97" s="190"/>
      <c r="R97" s="120"/>
      <c r="S97" s="120"/>
      <c r="T97" s="120"/>
      <c r="U97" s="120"/>
      <c r="V97" s="120"/>
      <c r="W97" s="120"/>
      <c r="X97" s="120"/>
      <c r="AH97" s="251"/>
      <c r="AI97" s="251"/>
      <c r="AJ97" s="251"/>
      <c r="AK97" s="251"/>
      <c r="AL97" s="251"/>
    </row>
    <row r="98" spans="1:38" x14ac:dyDescent="0.35">
      <c r="A98" s="252"/>
      <c r="B98" s="304" t="str">
        <f>B86</f>
        <v>Treatment C</v>
      </c>
      <c r="C98" s="136">
        <f>'Capacity inputs'!F16*'Capacity inputs'!I16</f>
        <v>0</v>
      </c>
      <c r="D98" s="115" t="e">
        <f t="shared" si="52"/>
        <v>#REF!</v>
      </c>
      <c r="E98" s="115" t="e">
        <f t="shared" si="52"/>
        <v>#REF!</v>
      </c>
      <c r="F98" s="115" t="e">
        <f t="shared" si="52"/>
        <v>#REF!</v>
      </c>
      <c r="G98" s="115" t="e">
        <f t="shared" si="52"/>
        <v>#REF!</v>
      </c>
      <c r="H98" s="115" t="e">
        <f t="shared" si="52"/>
        <v>#REF!</v>
      </c>
      <c r="I98" s="115" t="e">
        <f t="shared" si="52"/>
        <v>#REF!</v>
      </c>
      <c r="J98" s="252"/>
      <c r="K98" s="190"/>
      <c r="L98" s="190"/>
      <c r="M98" s="190"/>
      <c r="N98" s="190"/>
      <c r="O98" s="190"/>
      <c r="P98" s="190"/>
      <c r="Q98" s="190"/>
      <c r="R98" s="120"/>
      <c r="S98" s="120"/>
      <c r="T98" s="120"/>
      <c r="U98" s="120"/>
      <c r="V98" s="120"/>
      <c r="W98" s="120"/>
      <c r="X98" s="120"/>
      <c r="AH98" s="251"/>
      <c r="AI98" s="251"/>
      <c r="AJ98" s="251"/>
      <c r="AK98" s="251"/>
      <c r="AL98" s="251"/>
    </row>
    <row r="99" spans="1:38" x14ac:dyDescent="0.35">
      <c r="A99" s="252"/>
      <c r="B99" s="304" t="str">
        <f t="shared" ref="B99:B102" si="53">B87</f>
        <v>Treatment D</v>
      </c>
      <c r="C99" s="136">
        <f>'Capacity inputs'!F16*'Capacity inputs'!J16</f>
        <v>0</v>
      </c>
      <c r="D99" s="115" t="e">
        <f t="shared" si="52"/>
        <v>#REF!</v>
      </c>
      <c r="E99" s="115" t="e">
        <f t="shared" si="52"/>
        <v>#REF!</v>
      </c>
      <c r="F99" s="115" t="e">
        <f t="shared" si="52"/>
        <v>#REF!</v>
      </c>
      <c r="G99" s="115" t="e">
        <f t="shared" si="52"/>
        <v>#REF!</v>
      </c>
      <c r="H99" s="115" t="e">
        <f t="shared" si="52"/>
        <v>#REF!</v>
      </c>
      <c r="I99" s="115" t="e">
        <f t="shared" si="52"/>
        <v>#REF!</v>
      </c>
      <c r="J99" s="252"/>
      <c r="K99" s="190"/>
      <c r="L99" s="190"/>
      <c r="M99" s="190"/>
      <c r="N99" s="190"/>
      <c r="O99" s="190"/>
      <c r="P99" s="190"/>
      <c r="Q99" s="190"/>
      <c r="R99" s="120"/>
      <c r="S99" s="120"/>
      <c r="T99" s="120"/>
      <c r="U99" s="120"/>
      <c r="V99" s="120"/>
      <c r="W99" s="120"/>
      <c r="X99" s="120"/>
      <c r="AH99" s="251"/>
      <c r="AI99" s="251"/>
      <c r="AJ99" s="251"/>
      <c r="AK99" s="251"/>
      <c r="AL99" s="251"/>
    </row>
    <row r="100" spans="1:38" x14ac:dyDescent="0.35">
      <c r="A100" s="252"/>
      <c r="B100" s="304" t="str">
        <f t="shared" si="53"/>
        <v>Treatment E</v>
      </c>
      <c r="C100" s="136">
        <f>'Capacity inputs'!F16*'Capacity inputs'!K16</f>
        <v>0</v>
      </c>
      <c r="D100" s="115" t="e">
        <f t="shared" si="52"/>
        <v>#REF!</v>
      </c>
      <c r="E100" s="115" t="e">
        <f t="shared" si="52"/>
        <v>#REF!</v>
      </c>
      <c r="F100" s="115" t="e">
        <f t="shared" si="52"/>
        <v>#REF!</v>
      </c>
      <c r="G100" s="115" t="e">
        <f t="shared" si="52"/>
        <v>#REF!</v>
      </c>
      <c r="H100" s="115" t="e">
        <f t="shared" si="52"/>
        <v>#REF!</v>
      </c>
      <c r="I100" s="115" t="e">
        <f t="shared" si="52"/>
        <v>#REF!</v>
      </c>
      <c r="J100" s="252"/>
      <c r="K100" s="190"/>
      <c r="L100" s="190"/>
      <c r="M100" s="190"/>
      <c r="N100" s="190"/>
      <c r="O100" s="190"/>
      <c r="P100" s="190"/>
      <c r="Q100" s="190"/>
      <c r="R100" s="120"/>
      <c r="S100" s="120"/>
      <c r="T100" s="120"/>
      <c r="U100" s="120"/>
      <c r="V100" s="120"/>
      <c r="W100" s="120"/>
      <c r="X100" s="120"/>
      <c r="AH100" s="251"/>
      <c r="AI100" s="251"/>
      <c r="AJ100" s="251"/>
      <c r="AK100" s="251"/>
      <c r="AL100" s="251"/>
    </row>
    <row r="101" spans="1:38" x14ac:dyDescent="0.35">
      <c r="A101" s="252"/>
      <c r="B101" s="304" t="str">
        <f t="shared" si="53"/>
        <v>Treatment F</v>
      </c>
      <c r="C101" s="136">
        <f>'Capacity inputs'!F16*'Capacity inputs'!L16</f>
        <v>0</v>
      </c>
      <c r="D101" s="115" t="e">
        <f t="shared" si="52"/>
        <v>#REF!</v>
      </c>
      <c r="E101" s="115" t="e">
        <f t="shared" si="52"/>
        <v>#REF!</v>
      </c>
      <c r="F101" s="115" t="e">
        <f t="shared" si="52"/>
        <v>#REF!</v>
      </c>
      <c r="G101" s="115" t="e">
        <f t="shared" si="52"/>
        <v>#REF!</v>
      </c>
      <c r="H101" s="115" t="e">
        <f t="shared" si="52"/>
        <v>#REF!</v>
      </c>
      <c r="I101" s="115" t="e">
        <f t="shared" si="52"/>
        <v>#REF!</v>
      </c>
      <c r="J101" s="252"/>
      <c r="K101" s="190"/>
      <c r="L101" s="190"/>
      <c r="M101" s="190"/>
      <c r="N101" s="190"/>
      <c r="O101" s="190"/>
      <c r="P101" s="190"/>
      <c r="Q101" s="190"/>
      <c r="R101" s="120"/>
      <c r="S101" s="120"/>
      <c r="T101" s="120"/>
      <c r="U101" s="120"/>
      <c r="V101" s="120"/>
      <c r="W101" s="120"/>
      <c r="X101" s="120"/>
      <c r="AH101" s="251"/>
      <c r="AI101" s="251"/>
      <c r="AJ101" s="251"/>
      <c r="AK101" s="251"/>
      <c r="AL101" s="251"/>
    </row>
    <row r="102" spans="1:38" x14ac:dyDescent="0.35">
      <c r="A102" s="252"/>
      <c r="B102" s="304" t="str">
        <f t="shared" si="53"/>
        <v>Treatment G</v>
      </c>
      <c r="C102" s="136">
        <f>'Capacity inputs'!F16*'Capacity inputs'!M16</f>
        <v>0</v>
      </c>
      <c r="D102" s="115" t="e">
        <f t="shared" si="52"/>
        <v>#REF!</v>
      </c>
      <c r="E102" s="115" t="e">
        <f t="shared" si="52"/>
        <v>#REF!</v>
      </c>
      <c r="F102" s="115" t="e">
        <f t="shared" si="52"/>
        <v>#REF!</v>
      </c>
      <c r="G102" s="115" t="e">
        <f t="shared" si="52"/>
        <v>#REF!</v>
      </c>
      <c r="H102" s="115" t="e">
        <f t="shared" si="52"/>
        <v>#REF!</v>
      </c>
      <c r="I102" s="115" t="e">
        <f t="shared" si="52"/>
        <v>#REF!</v>
      </c>
      <c r="J102" s="252"/>
      <c r="K102" s="190"/>
      <c r="L102" s="190"/>
      <c r="M102" s="190"/>
      <c r="N102" s="190"/>
      <c r="O102" s="190"/>
      <c r="P102" s="190"/>
      <c r="Q102" s="190"/>
      <c r="R102" s="120"/>
      <c r="S102" s="120"/>
      <c r="T102" s="120"/>
      <c r="U102" s="120"/>
      <c r="V102" s="120"/>
      <c r="W102" s="120"/>
      <c r="X102" s="120"/>
      <c r="AH102" s="251"/>
      <c r="AI102" s="251"/>
      <c r="AJ102" s="251"/>
      <c r="AK102" s="251"/>
      <c r="AL102" s="251"/>
    </row>
    <row r="103" spans="1:38" x14ac:dyDescent="0.35">
      <c r="A103" s="252"/>
      <c r="B103" s="245"/>
      <c r="C103" s="282"/>
      <c r="D103" s="167" t="e">
        <f>SUM(D96:D102)</f>
        <v>#REF!</v>
      </c>
      <c r="E103" s="167" t="e">
        <f t="shared" ref="E103:I103" si="54">SUM(E96:E102)</f>
        <v>#REF!</v>
      </c>
      <c r="F103" s="167" t="e">
        <f t="shared" si="54"/>
        <v>#REF!</v>
      </c>
      <c r="G103" s="167" t="e">
        <f t="shared" si="54"/>
        <v>#REF!</v>
      </c>
      <c r="H103" s="167" t="e">
        <f t="shared" si="54"/>
        <v>#REF!</v>
      </c>
      <c r="I103" s="167" t="e">
        <f t="shared" si="54"/>
        <v>#REF!</v>
      </c>
      <c r="J103" s="252"/>
      <c r="K103" s="190"/>
      <c r="L103" s="190"/>
      <c r="M103" s="190"/>
      <c r="N103" s="190"/>
      <c r="O103" s="190"/>
      <c r="P103" s="190"/>
      <c r="Q103" s="190"/>
      <c r="R103" s="120"/>
      <c r="S103" s="120"/>
      <c r="T103" s="120"/>
      <c r="U103" s="120"/>
      <c r="V103" s="120"/>
      <c r="W103" s="120"/>
      <c r="X103" s="120"/>
      <c r="AH103" s="251"/>
      <c r="AI103" s="251"/>
      <c r="AJ103" s="251"/>
      <c r="AK103" s="251"/>
      <c r="AL103" s="251"/>
    </row>
    <row r="104" spans="1:38" x14ac:dyDescent="0.35">
      <c r="A104" s="252"/>
      <c r="B104" s="248"/>
      <c r="C104" s="248"/>
      <c r="D104" s="250" t="s">
        <v>728</v>
      </c>
      <c r="E104" s="167" t="e">
        <f>E103-$D$103</f>
        <v>#REF!</v>
      </c>
      <c r="F104" s="167" t="e">
        <f>F103-$D$103</f>
        <v>#REF!</v>
      </c>
      <c r="G104" s="167" t="e">
        <f>G103-$D$103</f>
        <v>#REF!</v>
      </c>
      <c r="H104" s="167" t="e">
        <f>H103-$D$103</f>
        <v>#REF!</v>
      </c>
      <c r="I104" s="167" t="e">
        <f>I103-$D$103</f>
        <v>#REF!</v>
      </c>
      <c r="J104" s="252"/>
      <c r="K104" s="190"/>
      <c r="L104" s="190"/>
      <c r="M104" s="190"/>
      <c r="N104" s="190"/>
      <c r="O104" s="190"/>
      <c r="P104" s="190"/>
      <c r="Q104" s="190"/>
      <c r="R104" s="120"/>
      <c r="S104" s="120"/>
      <c r="T104" s="120"/>
      <c r="U104" s="120"/>
      <c r="V104" s="120"/>
      <c r="W104" s="120"/>
      <c r="X104" s="120"/>
      <c r="AH104" s="251"/>
      <c r="AI104" s="251"/>
      <c r="AJ104" s="251"/>
      <c r="AK104" s="251"/>
      <c r="AL104" s="251"/>
    </row>
    <row r="105" spans="1:38" x14ac:dyDescent="0.35">
      <c r="A105" s="252"/>
      <c r="B105" s="284"/>
      <c r="C105" s="190"/>
      <c r="D105" s="190"/>
      <c r="E105" s="190"/>
      <c r="F105" s="190"/>
      <c r="G105" s="190"/>
      <c r="H105" s="190"/>
      <c r="I105" s="190"/>
      <c r="J105" s="190"/>
      <c r="K105" s="190"/>
      <c r="L105" s="190"/>
      <c r="M105" s="190"/>
      <c r="N105" s="190"/>
      <c r="O105" s="190"/>
      <c r="P105" s="190"/>
      <c r="Q105" s="190"/>
      <c r="R105" s="120"/>
      <c r="S105" s="120"/>
      <c r="T105" s="120"/>
      <c r="U105" s="120"/>
      <c r="V105" s="120"/>
      <c r="W105" s="120"/>
      <c r="X105" s="120"/>
      <c r="AH105" s="251"/>
      <c r="AI105" s="251"/>
      <c r="AJ105" s="251"/>
      <c r="AK105" s="251"/>
      <c r="AL105" s="251"/>
    </row>
    <row r="106" spans="1:38" x14ac:dyDescent="0.35">
      <c r="A106" s="252"/>
      <c r="B106" s="337" t="s">
        <v>729</v>
      </c>
      <c r="C106" s="336"/>
      <c r="D106" s="336"/>
      <c r="E106" s="336"/>
      <c r="F106" s="336"/>
      <c r="G106" s="336"/>
      <c r="H106" s="336"/>
      <c r="I106" s="189"/>
      <c r="J106" s="365"/>
      <c r="K106" s="190"/>
      <c r="L106" s="190"/>
      <c r="M106" s="190"/>
      <c r="N106" s="190"/>
      <c r="O106" s="190"/>
      <c r="P106" s="190"/>
      <c r="Q106" s="190"/>
      <c r="R106" s="120"/>
      <c r="T106" s="120"/>
      <c r="AH106" s="251"/>
      <c r="AI106" s="251"/>
      <c r="AJ106" s="251"/>
      <c r="AK106" s="251"/>
      <c r="AL106" s="251"/>
    </row>
    <row r="107" spans="1:38" ht="43.5" x14ac:dyDescent="0.35">
      <c r="A107" s="252"/>
      <c r="B107" s="247" t="s">
        <v>649</v>
      </c>
      <c r="C107" s="353" t="s">
        <v>710</v>
      </c>
      <c r="D107" s="661" t="s">
        <v>698</v>
      </c>
      <c r="E107" s="222" t="s">
        <v>551</v>
      </c>
      <c r="F107" s="222" t="s">
        <v>552</v>
      </c>
      <c r="G107" s="151" t="s">
        <v>673</v>
      </c>
      <c r="H107" s="151" t="s">
        <v>674</v>
      </c>
      <c r="I107" s="222" t="s">
        <v>675</v>
      </c>
      <c r="J107" s="252"/>
      <c r="K107" s="190"/>
      <c r="L107" s="190"/>
      <c r="M107" s="190"/>
      <c r="N107" s="190"/>
      <c r="O107" s="190"/>
      <c r="P107" s="190"/>
      <c r="Q107" s="190"/>
      <c r="R107" s="120"/>
      <c r="T107" s="120"/>
      <c r="AH107" s="251"/>
      <c r="AI107" s="251"/>
      <c r="AJ107" s="251"/>
      <c r="AK107" s="251"/>
      <c r="AL107" s="251"/>
    </row>
    <row r="108" spans="1:38" x14ac:dyDescent="0.35">
      <c r="A108" s="252"/>
      <c r="B108" s="304" t="str">
        <f>B96</f>
        <v>Treatment A</v>
      </c>
      <c r="C108" s="136">
        <f>'Capacity inputs'!F17*'Capacity inputs'!G17</f>
        <v>0</v>
      </c>
      <c r="D108" s="115" t="e">
        <f>D71*$C108/60</f>
        <v>#REF!</v>
      </c>
      <c r="E108" s="115" t="e">
        <f t="shared" ref="E108:I108" si="55">E71*$C108/60</f>
        <v>#REF!</v>
      </c>
      <c r="F108" s="115" t="e">
        <f t="shared" si="55"/>
        <v>#REF!</v>
      </c>
      <c r="G108" s="115" t="e">
        <f t="shared" si="55"/>
        <v>#REF!</v>
      </c>
      <c r="H108" s="115" t="e">
        <f t="shared" si="55"/>
        <v>#REF!</v>
      </c>
      <c r="I108" s="115" t="e">
        <f t="shared" si="55"/>
        <v>#REF!</v>
      </c>
      <c r="J108" s="252"/>
      <c r="K108" s="190"/>
      <c r="L108" s="190"/>
      <c r="M108" s="190"/>
      <c r="N108" s="190"/>
      <c r="O108" s="190"/>
      <c r="P108" s="190"/>
      <c r="Q108" s="190"/>
      <c r="R108" s="120"/>
      <c r="T108" s="120"/>
      <c r="AH108" s="251"/>
      <c r="AI108" s="251"/>
      <c r="AJ108" s="251"/>
      <c r="AK108" s="251"/>
      <c r="AL108" s="251"/>
    </row>
    <row r="109" spans="1:38" x14ac:dyDescent="0.35">
      <c r="A109" s="252"/>
      <c r="B109" s="304" t="str">
        <f t="shared" ref="B109:B114" si="56">B97</f>
        <v>Treatment B</v>
      </c>
      <c r="C109" s="136">
        <f>'Capacity inputs'!F17*'Capacity inputs'!H17</f>
        <v>0</v>
      </c>
      <c r="D109" s="115" t="e">
        <f t="shared" ref="D109:I114" si="57">D72*$C109/60</f>
        <v>#REF!</v>
      </c>
      <c r="E109" s="115" t="e">
        <f t="shared" si="57"/>
        <v>#REF!</v>
      </c>
      <c r="F109" s="115" t="e">
        <f t="shared" si="57"/>
        <v>#REF!</v>
      </c>
      <c r="G109" s="115" t="e">
        <f t="shared" si="57"/>
        <v>#REF!</v>
      </c>
      <c r="H109" s="115" t="e">
        <f t="shared" si="57"/>
        <v>#REF!</v>
      </c>
      <c r="I109" s="115" t="e">
        <f t="shared" si="57"/>
        <v>#REF!</v>
      </c>
      <c r="J109" s="252"/>
      <c r="K109" s="190"/>
      <c r="L109" s="190"/>
      <c r="M109" s="190"/>
      <c r="N109" s="190"/>
      <c r="O109" s="190"/>
      <c r="P109" s="190"/>
      <c r="Q109" s="190"/>
      <c r="R109" s="120"/>
      <c r="T109" s="120"/>
      <c r="AH109" s="251"/>
      <c r="AI109" s="251"/>
      <c r="AJ109" s="251"/>
      <c r="AK109" s="251"/>
      <c r="AL109" s="251"/>
    </row>
    <row r="110" spans="1:38" x14ac:dyDescent="0.35">
      <c r="A110" s="252"/>
      <c r="B110" s="304" t="str">
        <f t="shared" si="56"/>
        <v>Treatment C</v>
      </c>
      <c r="C110" s="136">
        <f>'Capacity inputs'!F17*'Capacity inputs'!I17</f>
        <v>0</v>
      </c>
      <c r="D110" s="115" t="e">
        <f t="shared" si="57"/>
        <v>#REF!</v>
      </c>
      <c r="E110" s="115" t="e">
        <f t="shared" si="57"/>
        <v>#REF!</v>
      </c>
      <c r="F110" s="115" t="e">
        <f t="shared" si="57"/>
        <v>#REF!</v>
      </c>
      <c r="G110" s="115" t="e">
        <f t="shared" si="57"/>
        <v>#REF!</v>
      </c>
      <c r="H110" s="115" t="e">
        <f t="shared" si="57"/>
        <v>#REF!</v>
      </c>
      <c r="I110" s="115" t="e">
        <f t="shared" si="57"/>
        <v>#REF!</v>
      </c>
      <c r="J110" s="252"/>
      <c r="K110" s="190"/>
      <c r="L110" s="190"/>
      <c r="M110" s="190"/>
      <c r="N110" s="190"/>
      <c r="O110" s="190"/>
      <c r="P110" s="190"/>
      <c r="Q110" s="190"/>
      <c r="R110" s="120"/>
      <c r="T110" s="120"/>
      <c r="AH110" s="251"/>
      <c r="AI110" s="251"/>
      <c r="AJ110" s="251"/>
      <c r="AK110" s="251"/>
      <c r="AL110" s="251"/>
    </row>
    <row r="111" spans="1:38" x14ac:dyDescent="0.35">
      <c r="A111" s="252"/>
      <c r="B111" s="304" t="str">
        <f t="shared" si="56"/>
        <v>Treatment D</v>
      </c>
      <c r="C111" s="136">
        <f>'Capacity inputs'!F17*'Capacity inputs'!J17</f>
        <v>0</v>
      </c>
      <c r="D111" s="115" t="e">
        <f t="shared" si="57"/>
        <v>#REF!</v>
      </c>
      <c r="E111" s="115" t="e">
        <f t="shared" si="57"/>
        <v>#REF!</v>
      </c>
      <c r="F111" s="115" t="e">
        <f t="shared" si="57"/>
        <v>#REF!</v>
      </c>
      <c r="G111" s="115" t="e">
        <f t="shared" si="57"/>
        <v>#REF!</v>
      </c>
      <c r="H111" s="115" t="e">
        <f t="shared" si="57"/>
        <v>#REF!</v>
      </c>
      <c r="I111" s="115" t="e">
        <f t="shared" si="57"/>
        <v>#REF!</v>
      </c>
      <c r="J111" s="252"/>
      <c r="K111" s="190"/>
      <c r="L111" s="190"/>
      <c r="M111" s="190"/>
      <c r="N111" s="190"/>
      <c r="O111" s="190"/>
      <c r="P111" s="190"/>
      <c r="Q111" s="190"/>
      <c r="R111" s="120"/>
      <c r="T111" s="120"/>
      <c r="AH111" s="251"/>
      <c r="AI111" s="251"/>
      <c r="AJ111" s="251"/>
      <c r="AK111" s="251"/>
      <c r="AL111" s="251"/>
    </row>
    <row r="112" spans="1:38" x14ac:dyDescent="0.35">
      <c r="A112" s="252"/>
      <c r="B112" s="304" t="str">
        <f t="shared" si="56"/>
        <v>Treatment E</v>
      </c>
      <c r="C112" s="136">
        <f>'Capacity inputs'!F17*'Capacity inputs'!K17</f>
        <v>0</v>
      </c>
      <c r="D112" s="115" t="e">
        <f t="shared" si="57"/>
        <v>#REF!</v>
      </c>
      <c r="E112" s="115" t="e">
        <f t="shared" si="57"/>
        <v>#REF!</v>
      </c>
      <c r="F112" s="115" t="e">
        <f t="shared" si="57"/>
        <v>#REF!</v>
      </c>
      <c r="G112" s="115" t="e">
        <f t="shared" si="57"/>
        <v>#REF!</v>
      </c>
      <c r="H112" s="115" t="e">
        <f t="shared" si="57"/>
        <v>#REF!</v>
      </c>
      <c r="I112" s="115" t="e">
        <f t="shared" si="57"/>
        <v>#REF!</v>
      </c>
      <c r="J112" s="252"/>
      <c r="K112" s="190"/>
      <c r="L112" s="190"/>
      <c r="M112" s="190"/>
      <c r="N112" s="190"/>
      <c r="O112" s="190"/>
      <c r="P112" s="190"/>
      <c r="Q112" s="190"/>
      <c r="R112" s="120"/>
      <c r="T112" s="120"/>
      <c r="AH112" s="251"/>
      <c r="AI112" s="251"/>
      <c r="AJ112" s="251"/>
      <c r="AK112" s="251"/>
      <c r="AL112" s="251"/>
    </row>
    <row r="113" spans="1:38" x14ac:dyDescent="0.35">
      <c r="A113" s="252"/>
      <c r="B113" s="304" t="str">
        <f t="shared" si="56"/>
        <v>Treatment F</v>
      </c>
      <c r="C113" s="136">
        <f>'Capacity inputs'!F17*'Capacity inputs'!L17</f>
        <v>0</v>
      </c>
      <c r="D113" s="115" t="e">
        <f t="shared" si="57"/>
        <v>#REF!</v>
      </c>
      <c r="E113" s="115" t="e">
        <f t="shared" si="57"/>
        <v>#REF!</v>
      </c>
      <c r="F113" s="115" t="e">
        <f t="shared" si="57"/>
        <v>#REF!</v>
      </c>
      <c r="G113" s="115" t="e">
        <f t="shared" si="57"/>
        <v>#REF!</v>
      </c>
      <c r="H113" s="115" t="e">
        <f t="shared" si="57"/>
        <v>#REF!</v>
      </c>
      <c r="I113" s="115" t="e">
        <f t="shared" si="57"/>
        <v>#REF!</v>
      </c>
      <c r="J113" s="252"/>
      <c r="K113" s="190"/>
      <c r="L113" s="190"/>
      <c r="M113" s="190"/>
      <c r="N113" s="190"/>
      <c r="O113" s="190"/>
      <c r="P113" s="190"/>
      <c r="Q113" s="190"/>
      <c r="R113" s="120"/>
      <c r="T113" s="120"/>
      <c r="AH113" s="251"/>
      <c r="AI113" s="251"/>
      <c r="AJ113" s="251"/>
      <c r="AK113" s="251"/>
      <c r="AL113" s="251"/>
    </row>
    <row r="114" spans="1:38" x14ac:dyDescent="0.35">
      <c r="A114" s="252"/>
      <c r="B114" s="304" t="str">
        <f t="shared" si="56"/>
        <v>Treatment G</v>
      </c>
      <c r="C114" s="136">
        <f>'Capacity inputs'!F17*'Capacity inputs'!M17</f>
        <v>0</v>
      </c>
      <c r="D114" s="115" t="e">
        <f t="shared" si="57"/>
        <v>#REF!</v>
      </c>
      <c r="E114" s="115" t="e">
        <f t="shared" si="57"/>
        <v>#REF!</v>
      </c>
      <c r="F114" s="115" t="e">
        <f t="shared" si="57"/>
        <v>#REF!</v>
      </c>
      <c r="G114" s="115" t="e">
        <f t="shared" si="57"/>
        <v>#REF!</v>
      </c>
      <c r="H114" s="115" t="e">
        <f t="shared" si="57"/>
        <v>#REF!</v>
      </c>
      <c r="I114" s="115" t="e">
        <f t="shared" si="57"/>
        <v>#REF!</v>
      </c>
      <c r="J114" s="252"/>
      <c r="K114" s="190"/>
      <c r="L114" s="190"/>
      <c r="M114" s="190"/>
      <c r="N114" s="190"/>
      <c r="O114" s="190"/>
      <c r="P114" s="190"/>
      <c r="Q114" s="190"/>
      <c r="R114" s="120"/>
      <c r="T114" s="120"/>
      <c r="AH114" s="251"/>
      <c r="AI114" s="251"/>
      <c r="AJ114" s="251"/>
      <c r="AK114" s="251"/>
      <c r="AL114" s="251"/>
    </row>
    <row r="115" spans="1:38" x14ac:dyDescent="0.35">
      <c r="A115" s="252"/>
      <c r="B115" s="245"/>
      <c r="C115" s="282"/>
      <c r="D115" s="167" t="e">
        <f>SUM(D108:D114)</f>
        <v>#REF!</v>
      </c>
      <c r="E115" s="167" t="e">
        <f t="shared" ref="E115:I115" si="58">SUM(E108:E114)</f>
        <v>#REF!</v>
      </c>
      <c r="F115" s="167" t="e">
        <f t="shared" si="58"/>
        <v>#REF!</v>
      </c>
      <c r="G115" s="167" t="e">
        <f t="shared" si="58"/>
        <v>#REF!</v>
      </c>
      <c r="H115" s="167" t="e">
        <f t="shared" si="58"/>
        <v>#REF!</v>
      </c>
      <c r="I115" s="167" t="e">
        <f t="shared" si="58"/>
        <v>#REF!</v>
      </c>
      <c r="J115" s="252"/>
      <c r="K115" s="190"/>
      <c r="L115" s="190"/>
      <c r="M115" s="190"/>
      <c r="N115" s="190"/>
      <c r="O115" s="190"/>
      <c r="P115" s="190"/>
      <c r="Q115" s="190"/>
      <c r="R115" s="120"/>
      <c r="S115" s="120"/>
      <c r="T115" s="120"/>
      <c r="U115" s="120"/>
      <c r="V115" s="120"/>
      <c r="W115" s="120"/>
      <c r="X115" s="120"/>
      <c r="AH115" s="251"/>
      <c r="AI115" s="251"/>
      <c r="AJ115" s="251"/>
      <c r="AK115" s="251"/>
      <c r="AL115" s="251"/>
    </row>
    <row r="116" spans="1:38" x14ac:dyDescent="0.35">
      <c r="A116" s="252"/>
      <c r="B116" s="272"/>
      <c r="C116" s="248"/>
      <c r="D116" s="250" t="s">
        <v>730</v>
      </c>
      <c r="E116" s="167" t="e">
        <f>E115-$D$115</f>
        <v>#REF!</v>
      </c>
      <c r="F116" s="167" t="e">
        <f>F115-$D$115</f>
        <v>#REF!</v>
      </c>
      <c r="G116" s="167" t="e">
        <f>G115-$D$115</f>
        <v>#REF!</v>
      </c>
      <c r="H116" s="167" t="e">
        <f>H115-$D$115</f>
        <v>#REF!</v>
      </c>
      <c r="I116" s="167" t="e">
        <f>I115-$D$115</f>
        <v>#REF!</v>
      </c>
      <c r="J116" s="252"/>
      <c r="K116" s="190"/>
      <c r="L116" s="190"/>
      <c r="M116" s="190"/>
      <c r="N116" s="190"/>
      <c r="O116" s="190"/>
      <c r="P116" s="190"/>
      <c r="Q116" s="190"/>
      <c r="R116" s="120"/>
      <c r="S116" s="120"/>
      <c r="T116" s="120"/>
      <c r="U116" s="120"/>
      <c r="V116" s="120"/>
      <c r="W116" s="120"/>
      <c r="X116" s="120"/>
      <c r="AH116" s="251"/>
      <c r="AI116" s="251"/>
      <c r="AJ116" s="251"/>
      <c r="AK116" s="251"/>
      <c r="AL116" s="251"/>
    </row>
    <row r="117" spans="1:38" x14ac:dyDescent="0.35">
      <c r="A117" s="252"/>
      <c r="B117" s="284"/>
      <c r="C117" s="190"/>
      <c r="D117" s="190"/>
      <c r="E117" s="190"/>
      <c r="F117" s="190"/>
      <c r="G117" s="190"/>
      <c r="H117" s="190"/>
      <c r="I117" s="190"/>
      <c r="J117" s="252"/>
      <c r="K117" s="252"/>
      <c r="L117" s="190"/>
      <c r="M117" s="190"/>
      <c r="N117" s="190"/>
      <c r="O117" s="190"/>
      <c r="P117" s="190"/>
      <c r="Q117" s="190"/>
      <c r="R117" s="120"/>
      <c r="S117" s="120"/>
      <c r="T117" s="120"/>
      <c r="U117" s="120"/>
      <c r="V117" s="120"/>
      <c r="W117" s="120"/>
      <c r="X117" s="120"/>
      <c r="AH117" s="251"/>
      <c r="AI117" s="251"/>
      <c r="AJ117" s="251"/>
      <c r="AK117" s="251"/>
      <c r="AL117" s="251"/>
    </row>
    <row r="118" spans="1:38" x14ac:dyDescent="0.35">
      <c r="A118" s="526"/>
      <c r="B118" s="532" t="s">
        <v>731</v>
      </c>
      <c r="C118" s="527"/>
      <c r="D118" s="528"/>
      <c r="E118" s="527"/>
      <c r="F118" s="529"/>
      <c r="G118" s="530"/>
      <c r="H118" s="530"/>
      <c r="I118" s="531"/>
      <c r="J118" s="526"/>
      <c r="K118" s="526"/>
      <c r="L118" s="526"/>
      <c r="M118" s="526"/>
      <c r="N118" s="526"/>
      <c r="O118" s="526"/>
      <c r="P118" s="526"/>
      <c r="Q118" s="526"/>
      <c r="R118" s="120"/>
      <c r="S118" s="120"/>
      <c r="T118" s="120"/>
      <c r="U118" s="120"/>
      <c r="V118" s="120"/>
      <c r="W118" s="120"/>
      <c r="X118" s="120"/>
      <c r="AH118" s="251"/>
      <c r="AI118" s="251"/>
      <c r="AJ118" s="251"/>
      <c r="AK118" s="251"/>
      <c r="AL118" s="251"/>
    </row>
    <row r="119" spans="1:38" x14ac:dyDescent="0.35">
      <c r="A119" s="254"/>
      <c r="B119" s="338" t="s">
        <v>732</v>
      </c>
      <c r="C119" s="339"/>
      <c r="D119" s="339"/>
      <c r="E119" s="339"/>
      <c r="F119" s="339"/>
      <c r="G119" s="339"/>
      <c r="H119" s="339"/>
      <c r="I119" s="193"/>
      <c r="J119" s="254"/>
      <c r="K119" s="254"/>
      <c r="L119" s="254"/>
      <c r="M119" s="254"/>
      <c r="N119" s="254"/>
      <c r="O119" s="254"/>
      <c r="P119" s="254"/>
      <c r="Q119" s="254"/>
      <c r="R119" s="120"/>
      <c r="T119" s="120"/>
    </row>
    <row r="120" spans="1:38" ht="43.5" x14ac:dyDescent="0.35">
      <c r="A120" s="254"/>
      <c r="B120" s="244" t="s">
        <v>649</v>
      </c>
      <c r="C120" s="353" t="s">
        <v>710</v>
      </c>
      <c r="D120" s="661" t="s">
        <v>698</v>
      </c>
      <c r="E120" s="222" t="s">
        <v>551</v>
      </c>
      <c r="F120" s="222" t="s">
        <v>552</v>
      </c>
      <c r="G120" s="151" t="s">
        <v>673</v>
      </c>
      <c r="H120" s="151" t="s">
        <v>674</v>
      </c>
      <c r="I120" s="222" t="s">
        <v>675</v>
      </c>
      <c r="J120" s="254"/>
      <c r="K120" s="254"/>
      <c r="L120" s="254"/>
      <c r="M120" s="254"/>
      <c r="N120" s="254"/>
      <c r="O120" s="254"/>
      <c r="P120" s="254"/>
      <c r="Q120" s="254"/>
      <c r="R120" s="120"/>
      <c r="T120" s="120"/>
    </row>
    <row r="121" spans="1:38" x14ac:dyDescent="0.35">
      <c r="A121" s="254"/>
      <c r="B121" s="304" t="str">
        <f>B108</f>
        <v>Treatment A</v>
      </c>
      <c r="C121" s="136">
        <f>'Capacity inputs'!$F$18*'Capacity inputs'!$G$18</f>
        <v>0</v>
      </c>
      <c r="D121" s="115" t="e">
        <f>D71*$C121/60</f>
        <v>#REF!</v>
      </c>
      <c r="E121" s="115" t="e">
        <f t="shared" ref="E121:I121" si="59">E71*$C121/60</f>
        <v>#REF!</v>
      </c>
      <c r="F121" s="115" t="e">
        <f t="shared" si="59"/>
        <v>#REF!</v>
      </c>
      <c r="G121" s="115" t="e">
        <f t="shared" si="59"/>
        <v>#REF!</v>
      </c>
      <c r="H121" s="115" t="e">
        <f t="shared" si="59"/>
        <v>#REF!</v>
      </c>
      <c r="I121" s="115" t="e">
        <f t="shared" si="59"/>
        <v>#REF!</v>
      </c>
      <c r="J121" s="254"/>
      <c r="K121" s="254"/>
      <c r="L121" s="254"/>
      <c r="M121" s="254"/>
      <c r="N121" s="254"/>
      <c r="O121" s="254"/>
      <c r="P121" s="254"/>
      <c r="Q121" s="254"/>
      <c r="R121" s="120"/>
      <c r="T121" s="120"/>
    </row>
    <row r="122" spans="1:38" x14ac:dyDescent="0.35">
      <c r="A122" s="254"/>
      <c r="B122" s="304" t="str">
        <f t="shared" ref="B122:B127" si="60">B109</f>
        <v>Treatment B</v>
      </c>
      <c r="C122" s="136">
        <f>'Capacity inputs'!$F$18*'Capacity inputs'!$H$18</f>
        <v>0</v>
      </c>
      <c r="D122" s="115" t="e">
        <f t="shared" ref="D122:I127" si="61">D72*$C122/60</f>
        <v>#REF!</v>
      </c>
      <c r="E122" s="115" t="e">
        <f t="shared" si="61"/>
        <v>#REF!</v>
      </c>
      <c r="F122" s="115" t="e">
        <f t="shared" si="61"/>
        <v>#REF!</v>
      </c>
      <c r="G122" s="115" t="e">
        <f t="shared" si="61"/>
        <v>#REF!</v>
      </c>
      <c r="H122" s="115" t="e">
        <f t="shared" si="61"/>
        <v>#REF!</v>
      </c>
      <c r="I122" s="115" t="e">
        <f t="shared" si="61"/>
        <v>#REF!</v>
      </c>
      <c r="J122" s="254"/>
      <c r="K122" s="254"/>
      <c r="L122" s="254"/>
      <c r="M122" s="254"/>
      <c r="N122" s="254"/>
      <c r="O122" s="254"/>
      <c r="P122" s="254"/>
      <c r="Q122" s="254"/>
      <c r="R122" s="120"/>
      <c r="T122" s="120"/>
    </row>
    <row r="123" spans="1:38" x14ac:dyDescent="0.35">
      <c r="A123" s="254"/>
      <c r="B123" s="304" t="str">
        <f t="shared" si="60"/>
        <v>Treatment C</v>
      </c>
      <c r="C123" s="136">
        <f>'Capacity inputs'!$F$18*'Capacity inputs'!$I$18</f>
        <v>0</v>
      </c>
      <c r="D123" s="115" t="e">
        <f t="shared" si="61"/>
        <v>#REF!</v>
      </c>
      <c r="E123" s="115" t="e">
        <f t="shared" si="61"/>
        <v>#REF!</v>
      </c>
      <c r="F123" s="115" t="e">
        <f t="shared" si="61"/>
        <v>#REF!</v>
      </c>
      <c r="G123" s="115" t="e">
        <f t="shared" si="61"/>
        <v>#REF!</v>
      </c>
      <c r="H123" s="115" t="e">
        <f t="shared" si="61"/>
        <v>#REF!</v>
      </c>
      <c r="I123" s="115" t="e">
        <f t="shared" si="61"/>
        <v>#REF!</v>
      </c>
      <c r="J123" s="254"/>
      <c r="K123" s="254"/>
      <c r="L123" s="254"/>
      <c r="M123" s="254"/>
      <c r="N123" s="254"/>
      <c r="O123" s="254"/>
      <c r="P123" s="254"/>
      <c r="Q123" s="254"/>
      <c r="R123" s="120"/>
      <c r="T123" s="120"/>
    </row>
    <row r="124" spans="1:38" x14ac:dyDescent="0.35">
      <c r="A124" s="254"/>
      <c r="B124" s="304" t="str">
        <f t="shared" si="60"/>
        <v>Treatment D</v>
      </c>
      <c r="C124" s="136">
        <f>'Capacity inputs'!$F$18*'Capacity inputs'!$J$18</f>
        <v>0</v>
      </c>
      <c r="D124" s="115" t="e">
        <f t="shared" si="61"/>
        <v>#REF!</v>
      </c>
      <c r="E124" s="115" t="e">
        <f t="shared" si="61"/>
        <v>#REF!</v>
      </c>
      <c r="F124" s="115" t="e">
        <f t="shared" si="61"/>
        <v>#REF!</v>
      </c>
      <c r="G124" s="115" t="e">
        <f t="shared" si="61"/>
        <v>#REF!</v>
      </c>
      <c r="H124" s="115" t="e">
        <f t="shared" si="61"/>
        <v>#REF!</v>
      </c>
      <c r="I124" s="115" t="e">
        <f t="shared" si="61"/>
        <v>#REF!</v>
      </c>
      <c r="J124" s="254"/>
      <c r="K124" s="254"/>
      <c r="L124" s="254"/>
      <c r="M124" s="254"/>
      <c r="N124" s="254"/>
      <c r="O124" s="254"/>
      <c r="P124" s="254"/>
      <c r="Q124" s="254"/>
      <c r="R124" s="120"/>
      <c r="T124" s="120"/>
    </row>
    <row r="125" spans="1:38" x14ac:dyDescent="0.35">
      <c r="A125" s="254"/>
      <c r="B125" s="304" t="str">
        <f t="shared" si="60"/>
        <v>Treatment E</v>
      </c>
      <c r="C125" s="136">
        <f>'Capacity inputs'!$F$18*'Capacity inputs'!$K$18</f>
        <v>0</v>
      </c>
      <c r="D125" s="115" t="e">
        <f t="shared" si="61"/>
        <v>#REF!</v>
      </c>
      <c r="E125" s="115" t="e">
        <f t="shared" si="61"/>
        <v>#REF!</v>
      </c>
      <c r="F125" s="115" t="e">
        <f t="shared" si="61"/>
        <v>#REF!</v>
      </c>
      <c r="G125" s="115" t="e">
        <f t="shared" si="61"/>
        <v>#REF!</v>
      </c>
      <c r="H125" s="115" t="e">
        <f t="shared" si="61"/>
        <v>#REF!</v>
      </c>
      <c r="I125" s="115" t="e">
        <f t="shared" si="61"/>
        <v>#REF!</v>
      </c>
      <c r="J125" s="254"/>
      <c r="K125" s="254"/>
      <c r="L125" s="254"/>
      <c r="M125" s="254"/>
      <c r="N125" s="254"/>
      <c r="O125" s="254"/>
      <c r="P125" s="254"/>
      <c r="Q125" s="254"/>
      <c r="R125" s="120"/>
      <c r="T125" s="120"/>
    </row>
    <row r="126" spans="1:38" x14ac:dyDescent="0.35">
      <c r="A126" s="254"/>
      <c r="B126" s="304" t="str">
        <f t="shared" si="60"/>
        <v>Treatment F</v>
      </c>
      <c r="C126" s="136">
        <f>'Capacity inputs'!$F$18*'Capacity inputs'!$L$18</f>
        <v>0</v>
      </c>
      <c r="D126" s="115" t="e">
        <f t="shared" si="61"/>
        <v>#REF!</v>
      </c>
      <c r="E126" s="115" t="e">
        <f t="shared" si="61"/>
        <v>#REF!</v>
      </c>
      <c r="F126" s="115" t="e">
        <f t="shared" si="61"/>
        <v>#REF!</v>
      </c>
      <c r="G126" s="115" t="e">
        <f t="shared" si="61"/>
        <v>#REF!</v>
      </c>
      <c r="H126" s="115" t="e">
        <f t="shared" si="61"/>
        <v>#REF!</v>
      </c>
      <c r="I126" s="115" t="e">
        <f t="shared" si="61"/>
        <v>#REF!</v>
      </c>
      <c r="J126" s="254"/>
      <c r="K126" s="254"/>
      <c r="L126" s="254"/>
      <c r="M126" s="254"/>
      <c r="N126" s="254"/>
      <c r="O126" s="254"/>
      <c r="P126" s="254"/>
      <c r="Q126" s="254"/>
      <c r="R126" s="120"/>
      <c r="T126" s="120"/>
    </row>
    <row r="127" spans="1:38" x14ac:dyDescent="0.35">
      <c r="A127" s="254"/>
      <c r="B127" s="304" t="str">
        <f t="shared" si="60"/>
        <v>Treatment G</v>
      </c>
      <c r="C127" s="136">
        <f>'Capacity inputs'!$F$18*'Capacity inputs'!$M$18</f>
        <v>0</v>
      </c>
      <c r="D127" s="115" t="e">
        <f t="shared" si="61"/>
        <v>#REF!</v>
      </c>
      <c r="E127" s="115" t="e">
        <f t="shared" si="61"/>
        <v>#REF!</v>
      </c>
      <c r="F127" s="115" t="e">
        <f t="shared" si="61"/>
        <v>#REF!</v>
      </c>
      <c r="G127" s="115" t="e">
        <f t="shared" si="61"/>
        <v>#REF!</v>
      </c>
      <c r="H127" s="115" t="e">
        <f t="shared" si="61"/>
        <v>#REF!</v>
      </c>
      <c r="I127" s="115" t="e">
        <f t="shared" si="61"/>
        <v>#REF!</v>
      </c>
      <c r="J127" s="254"/>
      <c r="K127" s="254"/>
      <c r="L127" s="254"/>
      <c r="M127" s="254"/>
      <c r="N127" s="254"/>
      <c r="O127" s="254"/>
      <c r="P127" s="254"/>
      <c r="Q127" s="254"/>
      <c r="R127" s="120"/>
      <c r="T127" s="120"/>
    </row>
    <row r="128" spans="1:38" x14ac:dyDescent="0.35">
      <c r="A128" s="254"/>
      <c r="B128" s="245"/>
      <c r="C128" s="184"/>
      <c r="D128" s="167" t="e">
        <f>SUM(D121:D127)</f>
        <v>#REF!</v>
      </c>
      <c r="E128" s="167" t="e">
        <f t="shared" ref="E128:I128" si="62">SUM(E121:E127)</f>
        <v>#REF!</v>
      </c>
      <c r="F128" s="167" t="e">
        <f t="shared" si="62"/>
        <v>#REF!</v>
      </c>
      <c r="G128" s="167" t="e">
        <f t="shared" si="62"/>
        <v>#REF!</v>
      </c>
      <c r="H128" s="167" t="e">
        <f t="shared" si="62"/>
        <v>#REF!</v>
      </c>
      <c r="I128" s="167" t="e">
        <f t="shared" si="62"/>
        <v>#REF!</v>
      </c>
      <c r="J128" s="254"/>
      <c r="K128" s="254"/>
      <c r="L128" s="254"/>
      <c r="M128" s="254"/>
      <c r="N128" s="254"/>
      <c r="O128" s="254"/>
      <c r="P128" s="254"/>
      <c r="Q128" s="254"/>
      <c r="R128" s="120"/>
      <c r="T128" s="120"/>
    </row>
    <row r="129" spans="1:40" x14ac:dyDescent="0.35">
      <c r="A129" s="254"/>
      <c r="B129" s="272"/>
      <c r="C129" s="197"/>
      <c r="D129" s="250" t="s">
        <v>733</v>
      </c>
      <c r="E129" s="167" t="e">
        <f>E128-$D$128</f>
        <v>#REF!</v>
      </c>
      <c r="F129" s="167" t="e">
        <f>F128-$D$128</f>
        <v>#REF!</v>
      </c>
      <c r="G129" s="167" t="e">
        <f>G128-$D$128</f>
        <v>#REF!</v>
      </c>
      <c r="H129" s="167" t="e">
        <f>H128-$D$128</f>
        <v>#REF!</v>
      </c>
      <c r="I129" s="167" t="e">
        <f>I128-$D$128</f>
        <v>#REF!</v>
      </c>
      <c r="J129" s="254"/>
      <c r="K129" s="254"/>
      <c r="L129" s="254"/>
      <c r="M129" s="254"/>
      <c r="N129" s="254"/>
      <c r="O129" s="254"/>
      <c r="P129" s="254"/>
      <c r="Q129" s="254"/>
      <c r="R129" s="120"/>
      <c r="T129" s="120"/>
    </row>
    <row r="130" spans="1:40" x14ac:dyDescent="0.35">
      <c r="A130" s="254"/>
      <c r="B130" s="285"/>
      <c r="C130" s="339"/>
      <c r="D130" s="194"/>
      <c r="E130" s="194"/>
      <c r="F130" s="194"/>
      <c r="G130" s="194"/>
      <c r="H130" s="194"/>
      <c r="I130" s="194"/>
      <c r="J130" s="194"/>
      <c r="K130" s="194"/>
      <c r="L130" s="194"/>
      <c r="M130" s="194"/>
      <c r="N130" s="194"/>
      <c r="O130" s="194"/>
      <c r="P130" s="194"/>
      <c r="Q130" s="194"/>
      <c r="R130" s="120"/>
      <c r="S130" s="120"/>
      <c r="T130" s="120"/>
      <c r="U130" s="120"/>
      <c r="V130" s="120"/>
      <c r="W130" s="120"/>
      <c r="X130" s="120"/>
      <c r="AH130" s="251"/>
      <c r="AI130" s="251"/>
      <c r="AJ130" s="251"/>
      <c r="AK130" s="251"/>
      <c r="AL130" s="251"/>
    </row>
    <row r="131" spans="1:40" x14ac:dyDescent="0.35">
      <c r="A131" s="288"/>
      <c r="B131" s="289" t="s">
        <v>734</v>
      </c>
      <c r="C131" s="290"/>
      <c r="D131" s="290"/>
      <c r="E131" s="291"/>
      <c r="F131" s="292"/>
      <c r="G131" s="293"/>
      <c r="H131" s="293"/>
      <c r="I131" s="332"/>
      <c r="J131" s="288"/>
      <c r="K131" s="288"/>
      <c r="L131" s="288"/>
      <c r="M131" s="288"/>
      <c r="N131" s="288"/>
      <c r="O131" s="288"/>
      <c r="P131" s="288"/>
      <c r="Q131" s="350"/>
      <c r="R131" s="120"/>
      <c r="S131" s="120"/>
      <c r="T131" s="120"/>
      <c r="U131" s="120"/>
      <c r="V131" s="120"/>
      <c r="W131" s="120"/>
      <c r="X131" s="120"/>
      <c r="Y131" s="120"/>
      <c r="Z131" s="120"/>
      <c r="AJ131" s="251"/>
      <c r="AK131" s="251"/>
      <c r="AL131" s="251"/>
      <c r="AM131" s="251"/>
      <c r="AN131" s="251"/>
    </row>
    <row r="132" spans="1:40" x14ac:dyDescent="0.35">
      <c r="A132" s="288"/>
      <c r="B132" s="342" t="s">
        <v>735</v>
      </c>
      <c r="C132" s="343"/>
      <c r="D132" s="343"/>
      <c r="E132" s="343"/>
      <c r="F132" s="343"/>
      <c r="G132" s="343"/>
      <c r="H132" s="343"/>
      <c r="I132" s="294"/>
      <c r="J132" s="350"/>
      <c r="K132" s="350"/>
      <c r="L132" s="370"/>
      <c r="M132" s="370"/>
      <c r="N132" s="370"/>
      <c r="O132" s="370"/>
      <c r="P132" s="370"/>
      <c r="Q132" s="370"/>
      <c r="R132" s="120"/>
      <c r="S132" s="120"/>
      <c r="T132" s="120"/>
      <c r="U132" s="120"/>
      <c r="V132" s="120"/>
      <c r="W132" s="120"/>
      <c r="X132" s="120"/>
      <c r="Y132" s="120"/>
      <c r="Z132" s="120"/>
      <c r="AJ132" s="251"/>
      <c r="AK132" s="251"/>
      <c r="AL132" s="251"/>
      <c r="AM132" s="251"/>
      <c r="AN132" s="251"/>
    </row>
    <row r="133" spans="1:40" ht="43.5" x14ac:dyDescent="0.35">
      <c r="A133" s="288"/>
      <c r="B133" s="244" t="s">
        <v>649</v>
      </c>
      <c r="C133" s="152" t="s">
        <v>715</v>
      </c>
      <c r="D133" s="661" t="s">
        <v>698</v>
      </c>
      <c r="E133" s="222" t="s">
        <v>551</v>
      </c>
      <c r="F133" s="222" t="s">
        <v>552</v>
      </c>
      <c r="G133" s="151" t="s">
        <v>673</v>
      </c>
      <c r="H133" s="151" t="s">
        <v>674</v>
      </c>
      <c r="I133" s="222" t="s">
        <v>675</v>
      </c>
      <c r="J133" s="288"/>
      <c r="K133" s="442" t="s">
        <v>745</v>
      </c>
      <c r="L133" s="661" t="s">
        <v>698</v>
      </c>
      <c r="M133" s="222" t="s">
        <v>551</v>
      </c>
      <c r="N133" s="222" t="s">
        <v>552</v>
      </c>
      <c r="O133" s="151" t="s">
        <v>673</v>
      </c>
      <c r="P133" s="151" t="s">
        <v>674</v>
      </c>
      <c r="Q133" s="222" t="s">
        <v>675</v>
      </c>
      <c r="R133" s="120"/>
      <c r="S133" s="120"/>
      <c r="T133" s="120"/>
      <c r="U133" s="120"/>
      <c r="V133" s="120"/>
      <c r="W133" s="120"/>
      <c r="X133" s="120"/>
      <c r="Y133" s="120"/>
      <c r="Z133" s="120"/>
      <c r="AJ133" s="251"/>
      <c r="AK133" s="251"/>
      <c r="AL133" s="251"/>
      <c r="AM133" s="251"/>
      <c r="AN133" s="251"/>
    </row>
    <row r="134" spans="1:40" x14ac:dyDescent="0.35">
      <c r="A134" s="288"/>
      <c r="B134" s="304" t="str">
        <f>B121</f>
        <v>Treatment A</v>
      </c>
      <c r="C134" s="136">
        <f>'Capacity inputs'!G19</f>
        <v>0</v>
      </c>
      <c r="D134" s="115">
        <f>$C134*'Financial impact (cash)'!D13</f>
        <v>0</v>
      </c>
      <c r="E134" s="115">
        <f>$C134*'Financial impact (cash)'!E13</f>
        <v>0</v>
      </c>
      <c r="F134" s="115">
        <f>$C134*'Financial impact (cash)'!F13</f>
        <v>0</v>
      </c>
      <c r="G134" s="115">
        <f>$C134*'Financial impact (cash)'!G13</f>
        <v>0</v>
      </c>
      <c r="H134" s="115">
        <f>$C134*'Financial impact (cash)'!H13</f>
        <v>0</v>
      </c>
      <c r="I134" s="115">
        <f>$C134*'Financial impact (cash)'!I13</f>
        <v>0</v>
      </c>
      <c r="J134" s="288"/>
      <c r="K134" s="256">
        <f>'Unit costs'!N87</f>
        <v>0</v>
      </c>
      <c r="L134" s="256">
        <f>D134*$K134/1000</f>
        <v>0</v>
      </c>
      <c r="M134" s="256">
        <f t="shared" ref="M134:Q140" si="63">E134*$K134/1000</f>
        <v>0</v>
      </c>
      <c r="N134" s="256">
        <f t="shared" si="63"/>
        <v>0</v>
      </c>
      <c r="O134" s="256">
        <f t="shared" si="63"/>
        <v>0</v>
      </c>
      <c r="P134" s="256">
        <f t="shared" si="63"/>
        <v>0</v>
      </c>
      <c r="Q134" s="256">
        <f t="shared" si="63"/>
        <v>0</v>
      </c>
      <c r="R134" s="120"/>
      <c r="S134" s="120"/>
      <c r="T134" s="120"/>
      <c r="U134" s="120"/>
      <c r="V134" s="120"/>
      <c r="W134" s="120"/>
      <c r="X134" s="120"/>
      <c r="Y134" s="120"/>
      <c r="Z134" s="120"/>
      <c r="AJ134" s="251"/>
      <c r="AK134" s="251"/>
      <c r="AL134" s="251"/>
      <c r="AM134" s="251"/>
      <c r="AN134" s="251"/>
    </row>
    <row r="135" spans="1:40" x14ac:dyDescent="0.35">
      <c r="A135" s="288"/>
      <c r="B135" s="304" t="str">
        <f t="shared" ref="B135:B140" si="64">B122</f>
        <v>Treatment B</v>
      </c>
      <c r="C135" s="136">
        <f>'Capacity inputs'!H19</f>
        <v>0</v>
      </c>
      <c r="D135" s="115">
        <f>$C135*'Financial impact (cash)'!D14</f>
        <v>0</v>
      </c>
      <c r="E135" s="115">
        <f>$C135*'Financial impact (cash)'!E14</f>
        <v>0</v>
      </c>
      <c r="F135" s="115">
        <f>$C135*'Financial impact (cash)'!F14</f>
        <v>0</v>
      </c>
      <c r="G135" s="115">
        <f>$C135*'Financial impact (cash)'!G14</f>
        <v>0</v>
      </c>
      <c r="H135" s="115">
        <f>$C135*'Financial impact (cash)'!H14</f>
        <v>0</v>
      </c>
      <c r="I135" s="115">
        <f>$C135*'Financial impact (cash)'!I14</f>
        <v>0</v>
      </c>
      <c r="J135" s="288"/>
      <c r="K135" s="256">
        <f>K134</f>
        <v>0</v>
      </c>
      <c r="L135" s="256">
        <f>D135*$K135/1000</f>
        <v>0</v>
      </c>
      <c r="M135" s="256">
        <f t="shared" si="63"/>
        <v>0</v>
      </c>
      <c r="N135" s="256">
        <f t="shared" si="63"/>
        <v>0</v>
      </c>
      <c r="O135" s="256">
        <f t="shared" si="63"/>
        <v>0</v>
      </c>
      <c r="P135" s="256">
        <f t="shared" si="63"/>
        <v>0</v>
      </c>
      <c r="Q135" s="256">
        <f t="shared" si="63"/>
        <v>0</v>
      </c>
      <c r="R135" s="120"/>
      <c r="S135" s="120"/>
      <c r="T135" s="120"/>
      <c r="U135" s="120"/>
      <c r="V135" s="120"/>
      <c r="W135" s="120"/>
      <c r="X135" s="120"/>
      <c r="Y135" s="120"/>
      <c r="Z135" s="120"/>
      <c r="AJ135" s="251"/>
      <c r="AK135" s="251"/>
      <c r="AL135" s="251"/>
      <c r="AM135" s="251"/>
      <c r="AN135" s="251"/>
    </row>
    <row r="136" spans="1:40" x14ac:dyDescent="0.35">
      <c r="A136" s="288"/>
      <c r="B136" s="304" t="str">
        <f t="shared" si="64"/>
        <v>Treatment C</v>
      </c>
      <c r="C136" s="136">
        <f>'Capacity inputs'!I19</f>
        <v>0</v>
      </c>
      <c r="D136" s="115" t="e">
        <f>$C136*'Financial impact (cash)'!D15</f>
        <v>#REF!</v>
      </c>
      <c r="E136" s="115" t="e">
        <f>$C136*'Financial impact (cash)'!E15</f>
        <v>#REF!</v>
      </c>
      <c r="F136" s="115" t="e">
        <f>$C136*'Financial impact (cash)'!F15</f>
        <v>#REF!</v>
      </c>
      <c r="G136" s="115" t="e">
        <f>$C136*'Financial impact (cash)'!G15</f>
        <v>#REF!</v>
      </c>
      <c r="H136" s="115" t="e">
        <f>$C136*'Financial impact (cash)'!H15</f>
        <v>#REF!</v>
      </c>
      <c r="I136" s="115" t="e">
        <f>$C136*'Financial impact (cash)'!I15</f>
        <v>#REF!</v>
      </c>
      <c r="J136" s="288"/>
      <c r="K136" s="256">
        <f>K134</f>
        <v>0</v>
      </c>
      <c r="L136" s="256" t="e">
        <f>D136*$K136/1000</f>
        <v>#REF!</v>
      </c>
      <c r="M136" s="256" t="e">
        <f t="shared" si="63"/>
        <v>#REF!</v>
      </c>
      <c r="N136" s="256" t="e">
        <f t="shared" si="63"/>
        <v>#REF!</v>
      </c>
      <c r="O136" s="256" t="e">
        <f t="shared" si="63"/>
        <v>#REF!</v>
      </c>
      <c r="P136" s="256" t="e">
        <f t="shared" si="63"/>
        <v>#REF!</v>
      </c>
      <c r="Q136" s="256" t="e">
        <f t="shared" si="63"/>
        <v>#REF!</v>
      </c>
      <c r="R136" s="120"/>
      <c r="S136" s="120"/>
      <c r="T136" s="120"/>
      <c r="U136" s="120"/>
      <c r="V136" s="120"/>
      <c r="W136" s="120"/>
      <c r="X136" s="120"/>
      <c r="Y136" s="120"/>
      <c r="Z136" s="120"/>
      <c r="AJ136" s="251"/>
      <c r="AK136" s="251"/>
      <c r="AL136" s="251"/>
      <c r="AM136" s="251"/>
      <c r="AN136" s="251"/>
    </row>
    <row r="137" spans="1:40" x14ac:dyDescent="0.35">
      <c r="A137" s="288"/>
      <c r="B137" s="304" t="str">
        <f t="shared" si="64"/>
        <v>Treatment D</v>
      </c>
      <c r="C137" s="136">
        <f>'Capacity inputs'!J19</f>
        <v>0</v>
      </c>
      <c r="D137" s="115" t="e">
        <f>$C137*'Financial impact (cash)'!D16</f>
        <v>#REF!</v>
      </c>
      <c r="E137" s="115" t="e">
        <f>$C137*'Financial impact (cash)'!E16</f>
        <v>#REF!</v>
      </c>
      <c r="F137" s="115" t="e">
        <f>$C137*'Financial impact (cash)'!F16</f>
        <v>#REF!</v>
      </c>
      <c r="G137" s="115" t="e">
        <f>$C137*'Financial impact (cash)'!G16</f>
        <v>#REF!</v>
      </c>
      <c r="H137" s="115" t="e">
        <f>$C137*'Financial impact (cash)'!H16</f>
        <v>#REF!</v>
      </c>
      <c r="I137" s="115" t="e">
        <f>$C137*'Financial impact (cash)'!I16</f>
        <v>#REF!</v>
      </c>
      <c r="J137" s="288"/>
      <c r="K137" s="256">
        <f>K134</f>
        <v>0</v>
      </c>
      <c r="L137" s="256" t="e">
        <f>D137*$K137/1000</f>
        <v>#REF!</v>
      </c>
      <c r="M137" s="256" t="e">
        <f t="shared" si="63"/>
        <v>#REF!</v>
      </c>
      <c r="N137" s="256" t="e">
        <f t="shared" si="63"/>
        <v>#REF!</v>
      </c>
      <c r="O137" s="256" t="e">
        <f t="shared" si="63"/>
        <v>#REF!</v>
      </c>
      <c r="P137" s="256" t="e">
        <f t="shared" si="63"/>
        <v>#REF!</v>
      </c>
      <c r="Q137" s="256" t="e">
        <f t="shared" si="63"/>
        <v>#REF!</v>
      </c>
      <c r="R137" s="120"/>
      <c r="S137" s="120"/>
      <c r="T137" s="120"/>
      <c r="U137" s="120"/>
      <c r="V137" s="120"/>
      <c r="W137" s="120"/>
      <c r="X137" s="120"/>
      <c r="Y137" s="120"/>
      <c r="Z137" s="120"/>
      <c r="AJ137" s="251"/>
      <c r="AK137" s="251"/>
      <c r="AL137" s="251"/>
      <c r="AM137" s="251"/>
      <c r="AN137" s="251"/>
    </row>
    <row r="138" spans="1:40" x14ac:dyDescent="0.35">
      <c r="A138" s="288"/>
      <c r="B138" s="304" t="str">
        <f t="shared" si="64"/>
        <v>Treatment E</v>
      </c>
      <c r="C138" s="136">
        <f>'Capacity inputs'!K19</f>
        <v>0</v>
      </c>
      <c r="D138" s="115" t="e">
        <f>$C138*'Financial impact (cash)'!D17</f>
        <v>#REF!</v>
      </c>
      <c r="E138" s="115" t="e">
        <f>$C138*'Financial impact (cash)'!E17</f>
        <v>#REF!</v>
      </c>
      <c r="F138" s="115" t="e">
        <f>$C138*'Financial impact (cash)'!F17</f>
        <v>#REF!</v>
      </c>
      <c r="G138" s="115" t="e">
        <f>$C138*'Financial impact (cash)'!G17</f>
        <v>#REF!</v>
      </c>
      <c r="H138" s="115" t="e">
        <f>$C138*'Financial impact (cash)'!H17</f>
        <v>#REF!</v>
      </c>
      <c r="I138" s="115" t="e">
        <f>$C138*'Financial impact (cash)'!I17</f>
        <v>#REF!</v>
      </c>
      <c r="J138" s="288"/>
      <c r="K138" s="256">
        <f>K134</f>
        <v>0</v>
      </c>
      <c r="L138" s="256" t="e">
        <f t="shared" ref="L138:L140" si="65">D138*$K138/1000</f>
        <v>#REF!</v>
      </c>
      <c r="M138" s="256" t="e">
        <f t="shared" si="63"/>
        <v>#REF!</v>
      </c>
      <c r="N138" s="256" t="e">
        <f t="shared" si="63"/>
        <v>#REF!</v>
      </c>
      <c r="O138" s="256" t="e">
        <f t="shared" si="63"/>
        <v>#REF!</v>
      </c>
      <c r="P138" s="256" t="e">
        <f t="shared" si="63"/>
        <v>#REF!</v>
      </c>
      <c r="Q138" s="256" t="e">
        <f t="shared" si="63"/>
        <v>#REF!</v>
      </c>
      <c r="R138" s="120"/>
      <c r="S138" s="120"/>
      <c r="T138" s="120"/>
      <c r="U138" s="120"/>
      <c r="V138" s="120"/>
      <c r="W138" s="120"/>
      <c r="X138" s="120"/>
      <c r="Y138" s="120"/>
      <c r="Z138" s="120"/>
      <c r="AJ138" s="251"/>
      <c r="AK138" s="251"/>
      <c r="AL138" s="251"/>
      <c r="AM138" s="251"/>
      <c r="AN138" s="251"/>
    </row>
    <row r="139" spans="1:40" x14ac:dyDescent="0.35">
      <c r="A139" s="288"/>
      <c r="B139" s="304" t="str">
        <f t="shared" si="64"/>
        <v>Treatment F</v>
      </c>
      <c r="C139" s="136">
        <f>'Capacity inputs'!L19</f>
        <v>0</v>
      </c>
      <c r="D139" s="115" t="e">
        <f>$C139*'Financial impact (cash)'!D18</f>
        <v>#REF!</v>
      </c>
      <c r="E139" s="115" t="e">
        <f>$C139*'Financial impact (cash)'!E18</f>
        <v>#REF!</v>
      </c>
      <c r="F139" s="115" t="e">
        <f>$C139*'Financial impact (cash)'!F18</f>
        <v>#REF!</v>
      </c>
      <c r="G139" s="115" t="e">
        <f>$C139*'Financial impact (cash)'!G18</f>
        <v>#REF!</v>
      </c>
      <c r="H139" s="115" t="e">
        <f>$C139*'Financial impact (cash)'!H18</f>
        <v>#REF!</v>
      </c>
      <c r="I139" s="115" t="e">
        <f>$C139*'Financial impact (cash)'!I18</f>
        <v>#REF!</v>
      </c>
      <c r="J139" s="288"/>
      <c r="K139" s="256">
        <f>K134</f>
        <v>0</v>
      </c>
      <c r="L139" s="256" t="e">
        <f t="shared" si="65"/>
        <v>#REF!</v>
      </c>
      <c r="M139" s="256" t="e">
        <f t="shared" si="63"/>
        <v>#REF!</v>
      </c>
      <c r="N139" s="256" t="e">
        <f t="shared" si="63"/>
        <v>#REF!</v>
      </c>
      <c r="O139" s="256" t="e">
        <f t="shared" si="63"/>
        <v>#REF!</v>
      </c>
      <c r="P139" s="256" t="e">
        <f t="shared" si="63"/>
        <v>#REF!</v>
      </c>
      <c r="Q139" s="256" t="e">
        <f t="shared" si="63"/>
        <v>#REF!</v>
      </c>
      <c r="R139" s="120"/>
      <c r="S139" s="120"/>
      <c r="T139" s="120"/>
      <c r="U139" s="120"/>
      <c r="V139" s="120"/>
      <c r="W139" s="120"/>
      <c r="X139" s="120"/>
      <c r="Y139" s="120"/>
      <c r="Z139" s="120"/>
      <c r="AJ139" s="251"/>
      <c r="AK139" s="251"/>
      <c r="AL139" s="251"/>
      <c r="AM139" s="251"/>
      <c r="AN139" s="251"/>
    </row>
    <row r="140" spans="1:40" x14ac:dyDescent="0.35">
      <c r="A140" s="288"/>
      <c r="B140" s="304" t="str">
        <f t="shared" si="64"/>
        <v>Treatment G</v>
      </c>
      <c r="C140" s="136">
        <f>'Capacity inputs'!M19</f>
        <v>0</v>
      </c>
      <c r="D140" s="115" t="e">
        <f>$C140*'Financial impact (cash)'!D19</f>
        <v>#REF!</v>
      </c>
      <c r="E140" s="115" t="e">
        <f>$C140*'Financial impact (cash)'!E19</f>
        <v>#REF!</v>
      </c>
      <c r="F140" s="115" t="e">
        <f>$C140*'Financial impact (cash)'!F19</f>
        <v>#REF!</v>
      </c>
      <c r="G140" s="115" t="e">
        <f>$C140*'Financial impact (cash)'!G19</f>
        <v>#REF!</v>
      </c>
      <c r="H140" s="115" t="e">
        <f>$C140*'Financial impact (cash)'!H19</f>
        <v>#REF!</v>
      </c>
      <c r="I140" s="115" t="e">
        <f>$C140*'Financial impact (cash)'!I19</f>
        <v>#REF!</v>
      </c>
      <c r="J140" s="288"/>
      <c r="K140" s="256">
        <f>K134</f>
        <v>0</v>
      </c>
      <c r="L140" s="256" t="e">
        <f t="shared" si="65"/>
        <v>#REF!</v>
      </c>
      <c r="M140" s="256" t="e">
        <f t="shared" si="63"/>
        <v>#REF!</v>
      </c>
      <c r="N140" s="256" t="e">
        <f t="shared" si="63"/>
        <v>#REF!</v>
      </c>
      <c r="O140" s="256" t="e">
        <f t="shared" si="63"/>
        <v>#REF!</v>
      </c>
      <c r="P140" s="256" t="e">
        <f t="shared" si="63"/>
        <v>#REF!</v>
      </c>
      <c r="Q140" s="256" t="e">
        <f t="shared" si="63"/>
        <v>#REF!</v>
      </c>
      <c r="R140" s="120"/>
      <c r="S140" s="120"/>
      <c r="T140" s="120"/>
      <c r="U140" s="120"/>
      <c r="V140" s="120"/>
      <c r="W140" s="120"/>
      <c r="X140" s="120"/>
      <c r="Y140" s="120"/>
      <c r="Z140" s="120"/>
      <c r="AJ140" s="251"/>
      <c r="AK140" s="251"/>
      <c r="AL140" s="251"/>
      <c r="AM140" s="251"/>
      <c r="AN140" s="251"/>
    </row>
    <row r="141" spans="1:40" x14ac:dyDescent="0.35">
      <c r="A141" s="288"/>
      <c r="B141" s="245"/>
      <c r="C141" s="184"/>
      <c r="D141" s="167" t="e">
        <f>SUM(D134:D140)</f>
        <v>#REF!</v>
      </c>
      <c r="E141" s="167" t="e">
        <f t="shared" ref="E141:I141" si="66">SUM(E134:E140)</f>
        <v>#REF!</v>
      </c>
      <c r="F141" s="167" t="e">
        <f t="shared" si="66"/>
        <v>#REF!</v>
      </c>
      <c r="G141" s="167" t="e">
        <f t="shared" si="66"/>
        <v>#REF!</v>
      </c>
      <c r="H141" s="167" t="e">
        <f t="shared" si="66"/>
        <v>#REF!</v>
      </c>
      <c r="I141" s="167" t="e">
        <f t="shared" si="66"/>
        <v>#REF!</v>
      </c>
      <c r="J141" s="288"/>
      <c r="K141" s="667"/>
      <c r="L141" s="257" t="e">
        <f>SUM(L134:L140)</f>
        <v>#REF!</v>
      </c>
      <c r="M141" s="257" t="e">
        <f t="shared" ref="M141:Q141" si="67">SUM(M134:M140)</f>
        <v>#REF!</v>
      </c>
      <c r="N141" s="257" t="e">
        <f t="shared" si="67"/>
        <v>#REF!</v>
      </c>
      <c r="O141" s="257" t="e">
        <f t="shared" si="67"/>
        <v>#REF!</v>
      </c>
      <c r="P141" s="257" t="e">
        <f t="shared" si="67"/>
        <v>#REF!</v>
      </c>
      <c r="Q141" s="257" t="e">
        <f t="shared" si="67"/>
        <v>#REF!</v>
      </c>
      <c r="R141" s="120"/>
      <c r="S141" s="120"/>
      <c r="T141" s="120"/>
      <c r="U141" s="120"/>
      <c r="V141" s="120"/>
      <c r="W141" s="120"/>
      <c r="X141" s="120"/>
      <c r="Y141" s="120"/>
      <c r="Z141" s="120"/>
      <c r="AJ141" s="251"/>
      <c r="AK141" s="251"/>
      <c r="AL141" s="251"/>
      <c r="AM141" s="251"/>
      <c r="AN141" s="251"/>
    </row>
    <row r="142" spans="1:40" x14ac:dyDescent="0.35">
      <c r="A142" s="288"/>
      <c r="B142" s="272"/>
      <c r="C142" s="223"/>
      <c r="D142" s="250" t="s">
        <v>736</v>
      </c>
      <c r="E142" s="167" t="e">
        <f>E141-$D$141</f>
        <v>#REF!</v>
      </c>
      <c r="F142" s="167" t="e">
        <f>F141-$D$141</f>
        <v>#REF!</v>
      </c>
      <c r="G142" s="167" t="e">
        <f>G141-$D$141</f>
        <v>#REF!</v>
      </c>
      <c r="H142" s="167" t="e">
        <f>H141-$D$141</f>
        <v>#REF!</v>
      </c>
      <c r="I142" s="167" t="e">
        <f>I141-$D$141</f>
        <v>#REF!</v>
      </c>
      <c r="J142" s="288"/>
      <c r="K142" s="288"/>
      <c r="L142" s="668"/>
      <c r="M142" s="257" t="e">
        <f>M141-$L$141</f>
        <v>#REF!</v>
      </c>
      <c r="N142" s="257" t="e">
        <f t="shared" ref="N142:Q142" si="68">N141-$L$141</f>
        <v>#REF!</v>
      </c>
      <c r="O142" s="257" t="e">
        <f t="shared" si="68"/>
        <v>#REF!</v>
      </c>
      <c r="P142" s="257" t="e">
        <f t="shared" si="68"/>
        <v>#REF!</v>
      </c>
      <c r="Q142" s="257" t="e">
        <f t="shared" si="68"/>
        <v>#REF!</v>
      </c>
      <c r="R142" s="120"/>
      <c r="S142" s="120"/>
      <c r="V142" s="120"/>
    </row>
    <row r="143" spans="1:40" x14ac:dyDescent="0.35">
      <c r="A143" s="288"/>
      <c r="B143" s="288"/>
      <c r="C143" s="288"/>
      <c r="D143" s="288"/>
      <c r="E143" s="288"/>
      <c r="F143" s="288"/>
      <c r="G143" s="288"/>
      <c r="H143" s="288"/>
      <c r="I143" s="288"/>
      <c r="J143" s="288"/>
      <c r="K143" s="288"/>
      <c r="L143" s="288"/>
      <c r="M143" s="288"/>
      <c r="N143" s="288"/>
      <c r="O143" s="288"/>
      <c r="P143" s="288"/>
      <c r="Q143" s="288"/>
      <c r="R143" s="120"/>
      <c r="S143" s="120"/>
      <c r="V143" s="120"/>
    </row>
    <row r="144" spans="1:40" x14ac:dyDescent="0.35">
      <c r="A144" s="255"/>
      <c r="B144" s="286" t="s">
        <v>737</v>
      </c>
      <c r="C144" s="274"/>
      <c r="D144" s="275"/>
      <c r="E144" s="276"/>
      <c r="F144" s="277"/>
      <c r="G144" s="277"/>
      <c r="H144" s="277"/>
      <c r="I144" s="371"/>
      <c r="J144" s="255"/>
      <c r="K144" s="255"/>
      <c r="L144" s="255"/>
      <c r="M144" s="255"/>
      <c r="N144" s="255"/>
      <c r="O144" s="255"/>
      <c r="P144" s="255"/>
      <c r="Q144" s="196"/>
      <c r="R144" s="120"/>
      <c r="S144" s="120"/>
      <c r="T144" s="120"/>
      <c r="U144" s="120"/>
      <c r="V144" s="120"/>
      <c r="W144" s="120"/>
      <c r="X144" s="120"/>
      <c r="Y144" s="120"/>
      <c r="Z144" s="120"/>
      <c r="AJ144" s="251"/>
      <c r="AK144" s="251"/>
      <c r="AL144" s="251"/>
      <c r="AM144" s="251"/>
      <c r="AN144" s="251"/>
    </row>
    <row r="145" spans="1:40" x14ac:dyDescent="0.35">
      <c r="A145" s="255"/>
      <c r="B145" s="344" t="s">
        <v>738</v>
      </c>
      <c r="C145" s="345"/>
      <c r="D145" s="345"/>
      <c r="E145" s="345"/>
      <c r="F145" s="345"/>
      <c r="G145" s="345"/>
      <c r="H145" s="345"/>
      <c r="I145" s="195"/>
      <c r="J145" s="196"/>
      <c r="K145" s="196"/>
      <c r="L145" s="366"/>
      <c r="M145" s="366"/>
      <c r="N145" s="366"/>
      <c r="O145" s="366"/>
      <c r="P145" s="366"/>
      <c r="Q145" s="366"/>
      <c r="R145" s="120"/>
      <c r="S145" s="120"/>
      <c r="T145" s="120"/>
      <c r="U145" s="120"/>
      <c r="V145" s="120"/>
      <c r="W145" s="120"/>
      <c r="X145" s="120"/>
      <c r="Y145" s="120"/>
      <c r="Z145" s="120"/>
      <c r="AJ145" s="251"/>
      <c r="AK145" s="251"/>
      <c r="AL145" s="251"/>
      <c r="AM145" s="251"/>
      <c r="AN145" s="251"/>
    </row>
    <row r="146" spans="1:40" ht="43.5" x14ac:dyDescent="0.35">
      <c r="A146" s="255"/>
      <c r="B146" s="244" t="s">
        <v>649</v>
      </c>
      <c r="C146" s="152" t="s">
        <v>715</v>
      </c>
      <c r="D146" s="661" t="s">
        <v>698</v>
      </c>
      <c r="E146" s="222" t="s">
        <v>551</v>
      </c>
      <c r="F146" s="222" t="s">
        <v>552</v>
      </c>
      <c r="G146" s="151" t="s">
        <v>673</v>
      </c>
      <c r="H146" s="151" t="s">
        <v>674</v>
      </c>
      <c r="I146" s="222" t="s">
        <v>675</v>
      </c>
      <c r="J146" s="255"/>
      <c r="K146" s="442" t="s">
        <v>745</v>
      </c>
      <c r="L146" s="661" t="s">
        <v>698</v>
      </c>
      <c r="M146" s="222" t="s">
        <v>551</v>
      </c>
      <c r="N146" s="222" t="s">
        <v>552</v>
      </c>
      <c r="O146" s="151" t="s">
        <v>673</v>
      </c>
      <c r="P146" s="151" t="s">
        <v>674</v>
      </c>
      <c r="Q146" s="222" t="s">
        <v>675</v>
      </c>
      <c r="R146" s="120"/>
      <c r="S146" s="120"/>
      <c r="T146" s="120"/>
      <c r="U146" s="120"/>
      <c r="V146" s="120"/>
      <c r="W146" s="120"/>
      <c r="X146" s="120"/>
      <c r="Y146" s="120"/>
      <c r="Z146" s="120"/>
      <c r="AJ146" s="251"/>
      <c r="AK146" s="251"/>
      <c r="AL146" s="251"/>
      <c r="AM146" s="251"/>
      <c r="AN146" s="251"/>
    </row>
    <row r="147" spans="1:40" x14ac:dyDescent="0.35">
      <c r="A147" s="255"/>
      <c r="B147" s="304" t="str">
        <f>B134</f>
        <v>Treatment A</v>
      </c>
      <c r="C147" s="136">
        <f>'Capacity inputs'!G20</f>
        <v>0</v>
      </c>
      <c r="D147" s="115">
        <f>$C147*'Financial impact (cash)'!D13</f>
        <v>0</v>
      </c>
      <c r="E147" s="115">
        <f>$C147*'Financial impact (cash)'!E13</f>
        <v>0</v>
      </c>
      <c r="F147" s="115">
        <f>$C147*'Financial impact (cash)'!F13</f>
        <v>0</v>
      </c>
      <c r="G147" s="115">
        <f>$C147*'Financial impact (cash)'!G13</f>
        <v>0</v>
      </c>
      <c r="H147" s="115">
        <f>$C147*'Financial impact (cash)'!H13</f>
        <v>0</v>
      </c>
      <c r="I147" s="115">
        <f>$C147*'Financial impact (cash)'!I13</f>
        <v>0</v>
      </c>
      <c r="J147" s="255"/>
      <c r="K147" s="256">
        <f>'Unit costs'!N93</f>
        <v>0</v>
      </c>
      <c r="L147" s="256">
        <f>$K147*D147/1000</f>
        <v>0</v>
      </c>
      <c r="M147" s="256">
        <f t="shared" ref="M147:Q153" si="69">$K147*E147/1000</f>
        <v>0</v>
      </c>
      <c r="N147" s="256">
        <f t="shared" si="69"/>
        <v>0</v>
      </c>
      <c r="O147" s="256">
        <f t="shared" si="69"/>
        <v>0</v>
      </c>
      <c r="P147" s="256">
        <f t="shared" si="69"/>
        <v>0</v>
      </c>
      <c r="Q147" s="256">
        <f t="shared" si="69"/>
        <v>0</v>
      </c>
      <c r="R147" s="120"/>
      <c r="S147" s="120"/>
      <c r="T147" s="120"/>
      <c r="U147" s="120"/>
      <c r="V147" s="120"/>
      <c r="W147" s="120"/>
      <c r="X147" s="120"/>
      <c r="Y147" s="120"/>
      <c r="Z147" s="120"/>
      <c r="AJ147" s="251"/>
      <c r="AK147" s="251"/>
      <c r="AL147" s="251"/>
      <c r="AM147" s="251"/>
      <c r="AN147" s="251"/>
    </row>
    <row r="148" spans="1:40" x14ac:dyDescent="0.35">
      <c r="A148" s="255"/>
      <c r="B148" s="304" t="str">
        <f t="shared" ref="B148:B153" si="70">B135</f>
        <v>Treatment B</v>
      </c>
      <c r="C148" s="136">
        <f>'Capacity inputs'!H20</f>
        <v>0</v>
      </c>
      <c r="D148" s="115">
        <f>$C148*'Financial impact (cash)'!D14</f>
        <v>0</v>
      </c>
      <c r="E148" s="115">
        <f>$C148*'Financial impact (cash)'!E14</f>
        <v>0</v>
      </c>
      <c r="F148" s="115">
        <f>$C148*'Financial impact (cash)'!F14</f>
        <v>0</v>
      </c>
      <c r="G148" s="115">
        <f>$C148*'Financial impact (cash)'!G14</f>
        <v>0</v>
      </c>
      <c r="H148" s="115">
        <f>$C148*'Financial impact (cash)'!H14</f>
        <v>0</v>
      </c>
      <c r="I148" s="115">
        <f>$C148*'Financial impact (cash)'!I14</f>
        <v>0</v>
      </c>
      <c r="J148" s="255"/>
      <c r="K148" s="256">
        <f>K147</f>
        <v>0</v>
      </c>
      <c r="L148" s="256">
        <f t="shared" ref="L148:L153" si="71">$K148*D148/1000</f>
        <v>0</v>
      </c>
      <c r="M148" s="256">
        <f t="shared" si="69"/>
        <v>0</v>
      </c>
      <c r="N148" s="256">
        <f t="shared" si="69"/>
        <v>0</v>
      </c>
      <c r="O148" s="256">
        <f t="shared" si="69"/>
        <v>0</v>
      </c>
      <c r="P148" s="256">
        <f t="shared" si="69"/>
        <v>0</v>
      </c>
      <c r="Q148" s="256">
        <f t="shared" si="69"/>
        <v>0</v>
      </c>
      <c r="R148" s="120"/>
      <c r="S148" s="120"/>
      <c r="T148" s="120"/>
      <c r="U148" s="120"/>
      <c r="V148" s="120"/>
      <c r="W148" s="120"/>
      <c r="X148" s="120"/>
      <c r="Y148" s="120"/>
      <c r="Z148" s="120"/>
      <c r="AJ148" s="251"/>
      <c r="AK148" s="251"/>
      <c r="AL148" s="251"/>
      <c r="AM148" s="251"/>
      <c r="AN148" s="251"/>
    </row>
    <row r="149" spans="1:40" x14ac:dyDescent="0.35">
      <c r="A149" s="255"/>
      <c r="B149" s="304" t="str">
        <f t="shared" si="70"/>
        <v>Treatment C</v>
      </c>
      <c r="C149" s="136">
        <f>'Capacity inputs'!I20</f>
        <v>0</v>
      </c>
      <c r="D149" s="115" t="e">
        <f>$C149*'Financial impact (cash)'!D15</f>
        <v>#REF!</v>
      </c>
      <c r="E149" s="115" t="e">
        <f>$C149*'Financial impact (cash)'!E15</f>
        <v>#REF!</v>
      </c>
      <c r="F149" s="115" t="e">
        <f>$C149*'Financial impact (cash)'!F15</f>
        <v>#REF!</v>
      </c>
      <c r="G149" s="115" t="e">
        <f>$C149*'Financial impact (cash)'!G15</f>
        <v>#REF!</v>
      </c>
      <c r="H149" s="115" t="e">
        <f>$C149*'Financial impact (cash)'!H15</f>
        <v>#REF!</v>
      </c>
      <c r="I149" s="115" t="e">
        <f>$C149*'Financial impact (cash)'!I15</f>
        <v>#REF!</v>
      </c>
      <c r="J149" s="255"/>
      <c r="K149" s="256">
        <f>K147</f>
        <v>0</v>
      </c>
      <c r="L149" s="256" t="e">
        <f t="shared" si="71"/>
        <v>#REF!</v>
      </c>
      <c r="M149" s="256" t="e">
        <f t="shared" si="69"/>
        <v>#REF!</v>
      </c>
      <c r="N149" s="256" t="e">
        <f t="shared" si="69"/>
        <v>#REF!</v>
      </c>
      <c r="O149" s="256" t="e">
        <f t="shared" si="69"/>
        <v>#REF!</v>
      </c>
      <c r="P149" s="256" t="e">
        <f t="shared" si="69"/>
        <v>#REF!</v>
      </c>
      <c r="Q149" s="256" t="e">
        <f t="shared" si="69"/>
        <v>#REF!</v>
      </c>
      <c r="R149" s="120"/>
      <c r="S149" s="120"/>
      <c r="T149" s="120"/>
      <c r="U149" s="120"/>
      <c r="V149" s="120"/>
      <c r="W149" s="120"/>
      <c r="X149" s="120"/>
      <c r="Y149" s="120"/>
      <c r="Z149" s="120"/>
      <c r="AJ149" s="251"/>
      <c r="AK149" s="251"/>
      <c r="AL149" s="251"/>
      <c r="AM149" s="251"/>
      <c r="AN149" s="251"/>
    </row>
    <row r="150" spans="1:40" x14ac:dyDescent="0.35">
      <c r="A150" s="255"/>
      <c r="B150" s="304" t="str">
        <f t="shared" si="70"/>
        <v>Treatment D</v>
      </c>
      <c r="C150" s="136">
        <f>'Capacity inputs'!J20</f>
        <v>0</v>
      </c>
      <c r="D150" s="115" t="e">
        <f>$C150*'Financial impact (cash)'!D16</f>
        <v>#REF!</v>
      </c>
      <c r="E150" s="115" t="e">
        <f>$C150*'Financial impact (cash)'!E16</f>
        <v>#REF!</v>
      </c>
      <c r="F150" s="115" t="e">
        <f>$C150*'Financial impact (cash)'!F16</f>
        <v>#REF!</v>
      </c>
      <c r="G150" s="115" t="e">
        <f>$C150*'Financial impact (cash)'!G16</f>
        <v>#REF!</v>
      </c>
      <c r="H150" s="115" t="e">
        <f>$C150*'Financial impact (cash)'!H16</f>
        <v>#REF!</v>
      </c>
      <c r="I150" s="115" t="e">
        <f>$C150*'Financial impact (cash)'!I16</f>
        <v>#REF!</v>
      </c>
      <c r="J150" s="255"/>
      <c r="K150" s="256">
        <f>K147</f>
        <v>0</v>
      </c>
      <c r="L150" s="256" t="e">
        <f t="shared" si="71"/>
        <v>#REF!</v>
      </c>
      <c r="M150" s="256" t="e">
        <f t="shared" si="69"/>
        <v>#REF!</v>
      </c>
      <c r="N150" s="256" t="e">
        <f t="shared" si="69"/>
        <v>#REF!</v>
      </c>
      <c r="O150" s="256" t="e">
        <f t="shared" si="69"/>
        <v>#REF!</v>
      </c>
      <c r="P150" s="256" t="e">
        <f t="shared" si="69"/>
        <v>#REF!</v>
      </c>
      <c r="Q150" s="256" t="e">
        <f t="shared" si="69"/>
        <v>#REF!</v>
      </c>
      <c r="R150" s="120"/>
      <c r="S150" s="120"/>
      <c r="T150" s="120"/>
      <c r="U150" s="120"/>
      <c r="V150" s="120"/>
      <c r="W150" s="120"/>
      <c r="X150" s="120"/>
      <c r="Y150" s="120"/>
      <c r="Z150" s="120"/>
      <c r="AJ150" s="251"/>
      <c r="AK150" s="251"/>
      <c r="AL150" s="251"/>
      <c r="AM150" s="251"/>
      <c r="AN150" s="251"/>
    </row>
    <row r="151" spans="1:40" x14ac:dyDescent="0.35">
      <c r="A151" s="255"/>
      <c r="B151" s="304" t="str">
        <f t="shared" si="70"/>
        <v>Treatment E</v>
      </c>
      <c r="C151" s="136">
        <f>'Capacity inputs'!K20</f>
        <v>0</v>
      </c>
      <c r="D151" s="115" t="e">
        <f>$C151*'Financial impact (cash)'!D17</f>
        <v>#REF!</v>
      </c>
      <c r="E151" s="115" t="e">
        <f>$C151*'Financial impact (cash)'!E17</f>
        <v>#REF!</v>
      </c>
      <c r="F151" s="115" t="e">
        <f>$C151*'Financial impact (cash)'!F17</f>
        <v>#REF!</v>
      </c>
      <c r="G151" s="115" t="e">
        <f>$C151*'Financial impact (cash)'!G17</f>
        <v>#REF!</v>
      </c>
      <c r="H151" s="115" t="e">
        <f>$C151*'Financial impact (cash)'!H17</f>
        <v>#REF!</v>
      </c>
      <c r="I151" s="115" t="e">
        <f>$C151*'Financial impact (cash)'!I17</f>
        <v>#REF!</v>
      </c>
      <c r="J151" s="255"/>
      <c r="K151" s="256">
        <f>K147</f>
        <v>0</v>
      </c>
      <c r="L151" s="256" t="e">
        <f t="shared" si="71"/>
        <v>#REF!</v>
      </c>
      <c r="M151" s="256" t="e">
        <f t="shared" si="69"/>
        <v>#REF!</v>
      </c>
      <c r="N151" s="256" t="e">
        <f t="shared" si="69"/>
        <v>#REF!</v>
      </c>
      <c r="O151" s="256" t="e">
        <f t="shared" si="69"/>
        <v>#REF!</v>
      </c>
      <c r="P151" s="256" t="e">
        <f t="shared" si="69"/>
        <v>#REF!</v>
      </c>
      <c r="Q151" s="256" t="e">
        <f t="shared" si="69"/>
        <v>#REF!</v>
      </c>
      <c r="R151" s="120"/>
      <c r="S151" s="120"/>
      <c r="T151" s="120"/>
      <c r="U151" s="120"/>
      <c r="V151" s="120"/>
      <c r="W151" s="120"/>
      <c r="X151" s="120"/>
      <c r="Y151" s="120"/>
      <c r="Z151" s="120"/>
      <c r="AJ151" s="251"/>
      <c r="AK151" s="251"/>
      <c r="AL151" s="251"/>
      <c r="AM151" s="251"/>
      <c r="AN151" s="251"/>
    </row>
    <row r="152" spans="1:40" x14ac:dyDescent="0.35">
      <c r="A152" s="255"/>
      <c r="B152" s="304" t="str">
        <f t="shared" si="70"/>
        <v>Treatment F</v>
      </c>
      <c r="C152" s="136">
        <f>'Capacity inputs'!L20</f>
        <v>0</v>
      </c>
      <c r="D152" s="115" t="e">
        <f>$C152*'Financial impact (cash)'!D18</f>
        <v>#REF!</v>
      </c>
      <c r="E152" s="115" t="e">
        <f>$C152*'Financial impact (cash)'!E18</f>
        <v>#REF!</v>
      </c>
      <c r="F152" s="115" t="e">
        <f>$C152*'Financial impact (cash)'!F18</f>
        <v>#REF!</v>
      </c>
      <c r="G152" s="115" t="e">
        <f>$C152*'Financial impact (cash)'!G18</f>
        <v>#REF!</v>
      </c>
      <c r="H152" s="115" t="e">
        <f>$C152*'Financial impact (cash)'!H18</f>
        <v>#REF!</v>
      </c>
      <c r="I152" s="115" t="e">
        <f>$C152*'Financial impact (cash)'!I18</f>
        <v>#REF!</v>
      </c>
      <c r="J152" s="255"/>
      <c r="K152" s="256">
        <f>K147</f>
        <v>0</v>
      </c>
      <c r="L152" s="256" t="e">
        <f t="shared" si="71"/>
        <v>#REF!</v>
      </c>
      <c r="M152" s="256" t="e">
        <f t="shared" si="69"/>
        <v>#REF!</v>
      </c>
      <c r="N152" s="256" t="e">
        <f t="shared" si="69"/>
        <v>#REF!</v>
      </c>
      <c r="O152" s="256" t="e">
        <f t="shared" si="69"/>
        <v>#REF!</v>
      </c>
      <c r="P152" s="256" t="e">
        <f t="shared" si="69"/>
        <v>#REF!</v>
      </c>
      <c r="Q152" s="256" t="e">
        <f t="shared" si="69"/>
        <v>#REF!</v>
      </c>
      <c r="R152" s="120"/>
      <c r="S152" s="120"/>
      <c r="T152" s="120"/>
      <c r="U152" s="120"/>
      <c r="V152" s="120"/>
      <c r="W152" s="120"/>
      <c r="X152" s="120"/>
      <c r="Y152" s="120"/>
      <c r="Z152" s="120"/>
      <c r="AJ152" s="251"/>
      <c r="AK152" s="251"/>
      <c r="AL152" s="251"/>
      <c r="AM152" s="251"/>
      <c r="AN152" s="251"/>
    </row>
    <row r="153" spans="1:40" x14ac:dyDescent="0.35">
      <c r="A153" s="255"/>
      <c r="B153" s="304" t="str">
        <f t="shared" si="70"/>
        <v>Treatment G</v>
      </c>
      <c r="C153" s="136">
        <f>'Capacity inputs'!M20</f>
        <v>0</v>
      </c>
      <c r="D153" s="115" t="e">
        <f>$C153*'Financial impact (cash)'!D19</f>
        <v>#REF!</v>
      </c>
      <c r="E153" s="115" t="e">
        <f>$C153*'Financial impact (cash)'!E19</f>
        <v>#REF!</v>
      </c>
      <c r="F153" s="115" t="e">
        <f>$C153*'Financial impact (cash)'!F19</f>
        <v>#REF!</v>
      </c>
      <c r="G153" s="115" t="e">
        <f>$C153*'Financial impact (cash)'!G19</f>
        <v>#REF!</v>
      </c>
      <c r="H153" s="115" t="e">
        <f>$C153*'Financial impact (cash)'!H19</f>
        <v>#REF!</v>
      </c>
      <c r="I153" s="115" t="e">
        <f>$C153*'Financial impact (cash)'!I19</f>
        <v>#REF!</v>
      </c>
      <c r="J153" s="255"/>
      <c r="K153" s="256">
        <f>K147</f>
        <v>0</v>
      </c>
      <c r="L153" s="256" t="e">
        <f t="shared" si="71"/>
        <v>#REF!</v>
      </c>
      <c r="M153" s="256" t="e">
        <f t="shared" si="69"/>
        <v>#REF!</v>
      </c>
      <c r="N153" s="256" t="e">
        <f t="shared" si="69"/>
        <v>#REF!</v>
      </c>
      <c r="O153" s="256" t="e">
        <f t="shared" si="69"/>
        <v>#REF!</v>
      </c>
      <c r="P153" s="256" t="e">
        <f t="shared" si="69"/>
        <v>#REF!</v>
      </c>
      <c r="Q153" s="256" t="e">
        <f t="shared" si="69"/>
        <v>#REF!</v>
      </c>
      <c r="R153" s="120"/>
      <c r="S153" s="120"/>
      <c r="T153" s="120"/>
      <c r="U153" s="120"/>
      <c r="V153" s="120"/>
      <c r="W153" s="120"/>
      <c r="X153" s="120"/>
      <c r="Y153" s="120"/>
      <c r="Z153" s="120"/>
      <c r="AJ153" s="251"/>
      <c r="AK153" s="251"/>
      <c r="AL153" s="251"/>
      <c r="AM153" s="251"/>
      <c r="AN153" s="251"/>
    </row>
    <row r="154" spans="1:40" x14ac:dyDescent="0.35">
      <c r="A154" s="255"/>
      <c r="B154" s="245"/>
      <c r="C154" s="184"/>
      <c r="D154" s="167" t="e">
        <f>SUM(D147:D153)</f>
        <v>#REF!</v>
      </c>
      <c r="E154" s="167" t="e">
        <f t="shared" ref="E154:I154" si="72">SUM(E147:E153)</f>
        <v>#REF!</v>
      </c>
      <c r="F154" s="167" t="e">
        <f t="shared" si="72"/>
        <v>#REF!</v>
      </c>
      <c r="G154" s="167" t="e">
        <f t="shared" si="72"/>
        <v>#REF!</v>
      </c>
      <c r="H154" s="167" t="e">
        <f t="shared" si="72"/>
        <v>#REF!</v>
      </c>
      <c r="I154" s="167" t="e">
        <f t="shared" si="72"/>
        <v>#REF!</v>
      </c>
      <c r="J154" s="255"/>
      <c r="K154" s="669"/>
      <c r="L154" s="257" t="e">
        <f>SUM(L147:L153)</f>
        <v>#REF!</v>
      </c>
      <c r="M154" s="257" t="e">
        <f t="shared" ref="M154:Q154" si="73">SUM(M147:M153)</f>
        <v>#REF!</v>
      </c>
      <c r="N154" s="257" t="e">
        <f t="shared" si="73"/>
        <v>#REF!</v>
      </c>
      <c r="O154" s="257" t="e">
        <f t="shared" si="73"/>
        <v>#REF!</v>
      </c>
      <c r="P154" s="257" t="e">
        <f t="shared" si="73"/>
        <v>#REF!</v>
      </c>
      <c r="Q154" s="257" t="e">
        <f t="shared" si="73"/>
        <v>#REF!</v>
      </c>
      <c r="R154" s="120"/>
      <c r="S154" s="120"/>
      <c r="T154" s="120"/>
      <c r="U154" s="120"/>
      <c r="V154" s="120"/>
      <c r="W154" s="120"/>
      <c r="X154" s="120"/>
      <c r="Y154" s="120"/>
      <c r="Z154" s="120"/>
      <c r="AJ154" s="251"/>
      <c r="AK154" s="251"/>
      <c r="AL154" s="251"/>
      <c r="AM154" s="251"/>
      <c r="AN154" s="251"/>
    </row>
    <row r="155" spans="1:40" x14ac:dyDescent="0.35">
      <c r="A155" s="255"/>
      <c r="B155" s="272"/>
      <c r="C155" s="223"/>
      <c r="D155" s="250" t="s">
        <v>739</v>
      </c>
      <c r="E155" s="167" t="e">
        <f>E154-$D$154</f>
        <v>#REF!</v>
      </c>
      <c r="F155" s="167" t="e">
        <f>F154-$D$154</f>
        <v>#REF!</v>
      </c>
      <c r="G155" s="167" t="e">
        <f>G154-$D$154</f>
        <v>#REF!</v>
      </c>
      <c r="H155" s="167" t="e">
        <f>H154-$D$154</f>
        <v>#REF!</v>
      </c>
      <c r="I155" s="167" t="e">
        <f>I154-$D$154</f>
        <v>#REF!</v>
      </c>
      <c r="J155" s="255"/>
      <c r="K155" s="255"/>
      <c r="L155" s="670"/>
      <c r="M155" s="257" t="e">
        <f>M154-$L$154</f>
        <v>#REF!</v>
      </c>
      <c r="N155" s="257" t="e">
        <f t="shared" ref="N155:Q155" si="74">N154-$L$154</f>
        <v>#REF!</v>
      </c>
      <c r="O155" s="257" t="e">
        <f t="shared" si="74"/>
        <v>#REF!</v>
      </c>
      <c r="P155" s="257" t="e">
        <f t="shared" si="74"/>
        <v>#REF!</v>
      </c>
      <c r="Q155" s="257" t="e">
        <f t="shared" si="74"/>
        <v>#REF!</v>
      </c>
      <c r="R155" s="120"/>
      <c r="S155" s="120"/>
      <c r="V155" s="120"/>
    </row>
    <row r="156" spans="1:40" x14ac:dyDescent="0.35">
      <c r="A156" s="255"/>
      <c r="B156" s="287"/>
      <c r="C156" s="196"/>
      <c r="D156" s="196"/>
      <c r="E156" s="196"/>
      <c r="F156" s="196"/>
      <c r="G156" s="196"/>
      <c r="H156" s="196"/>
      <c r="I156" s="196"/>
      <c r="J156" s="255"/>
      <c r="K156" s="255"/>
      <c r="L156" s="196"/>
      <c r="M156" s="196"/>
      <c r="N156" s="196"/>
      <c r="O156" s="196"/>
      <c r="P156" s="196"/>
      <c r="Q156" s="196"/>
      <c r="R156" s="120"/>
      <c r="S156" s="120"/>
      <c r="V156" s="120"/>
    </row>
    <row r="157" spans="1:40" x14ac:dyDescent="0.35">
      <c r="A157" s="255"/>
      <c r="B157" s="344" t="s">
        <v>740</v>
      </c>
      <c r="C157" s="345"/>
      <c r="D157" s="345"/>
      <c r="E157" s="345"/>
      <c r="F157" s="345"/>
      <c r="G157" s="345"/>
      <c r="H157" s="345"/>
      <c r="I157" s="195"/>
      <c r="J157" s="255"/>
      <c r="K157" s="255"/>
      <c r="L157" s="196"/>
      <c r="M157" s="196"/>
      <c r="N157" s="196"/>
      <c r="O157" s="196"/>
      <c r="P157" s="196"/>
      <c r="Q157" s="196"/>
      <c r="R157" s="120"/>
      <c r="S157" s="120"/>
      <c r="T157" s="120"/>
      <c r="U157" s="120"/>
      <c r="V157" s="120"/>
      <c r="W157" s="120"/>
      <c r="X157" s="120"/>
      <c r="Y157" s="120"/>
      <c r="Z157" s="120"/>
      <c r="AJ157" s="251"/>
      <c r="AK157" s="251"/>
      <c r="AL157" s="251"/>
      <c r="AM157" s="251"/>
      <c r="AN157" s="251"/>
    </row>
    <row r="158" spans="1:40" ht="43.5" x14ac:dyDescent="0.35">
      <c r="A158" s="255"/>
      <c r="B158" s="244" t="s">
        <v>649</v>
      </c>
      <c r="C158" s="152" t="s">
        <v>715</v>
      </c>
      <c r="D158" s="661" t="s">
        <v>698</v>
      </c>
      <c r="E158" s="222" t="s">
        <v>551</v>
      </c>
      <c r="F158" s="222" t="s">
        <v>552</v>
      </c>
      <c r="G158" s="151" t="s">
        <v>673</v>
      </c>
      <c r="H158" s="151" t="s">
        <v>674</v>
      </c>
      <c r="I158" s="222" t="s">
        <v>675</v>
      </c>
      <c r="J158" s="255"/>
      <c r="K158" s="255"/>
      <c r="L158" s="196"/>
      <c r="M158" s="196"/>
      <c r="N158" s="196"/>
      <c r="O158" s="196"/>
      <c r="P158" s="196"/>
      <c r="Q158" s="196"/>
      <c r="R158" s="120"/>
      <c r="S158" s="120"/>
      <c r="T158" s="120"/>
      <c r="U158" s="120"/>
      <c r="V158" s="120"/>
      <c r="W158" s="120"/>
      <c r="X158" s="120"/>
      <c r="Y158" s="120"/>
      <c r="Z158" s="120"/>
      <c r="AJ158" s="251"/>
      <c r="AK158" s="251"/>
      <c r="AL158" s="251"/>
      <c r="AM158" s="251"/>
      <c r="AN158" s="251"/>
    </row>
    <row r="159" spans="1:40" x14ac:dyDescent="0.35">
      <c r="A159" s="255"/>
      <c r="B159" s="304" t="str">
        <f>B147</f>
        <v>Treatment A</v>
      </c>
      <c r="C159" s="136">
        <f>'Capacity inputs'!G21</f>
        <v>0</v>
      </c>
      <c r="D159" s="115">
        <f>'Financial impact (cash)'!D13*$C159</f>
        <v>0</v>
      </c>
      <c r="E159" s="115">
        <f>'Financial impact (cash)'!E13*$C159</f>
        <v>0</v>
      </c>
      <c r="F159" s="115">
        <f>'Financial impact (cash)'!F13*$C159</f>
        <v>0</v>
      </c>
      <c r="G159" s="115">
        <f>'Financial impact (cash)'!G13*$C159</f>
        <v>0</v>
      </c>
      <c r="H159" s="115">
        <f>'Financial impact (cash)'!H13*$C159</f>
        <v>0</v>
      </c>
      <c r="I159" s="115">
        <f>'Financial impact (cash)'!I13*$C159</f>
        <v>0</v>
      </c>
      <c r="J159" s="255"/>
      <c r="K159" s="255"/>
      <c r="L159" s="196"/>
      <c r="M159" s="196"/>
      <c r="N159" s="196"/>
      <c r="O159" s="196"/>
      <c r="P159" s="196"/>
      <c r="Q159" s="196"/>
      <c r="R159" s="120"/>
      <c r="S159" s="120"/>
      <c r="T159" s="120"/>
      <c r="U159" s="120"/>
      <c r="V159" s="120"/>
      <c r="W159" s="120"/>
      <c r="X159" s="120"/>
      <c r="Y159" s="120"/>
      <c r="Z159" s="120"/>
      <c r="AJ159" s="251"/>
      <c r="AK159" s="251"/>
      <c r="AL159" s="251"/>
      <c r="AM159" s="251"/>
      <c r="AN159" s="251"/>
    </row>
    <row r="160" spans="1:40" x14ac:dyDescent="0.35">
      <c r="A160" s="255"/>
      <c r="B160" s="304" t="str">
        <f t="shared" ref="B160:B165" si="75">B148</f>
        <v>Treatment B</v>
      </c>
      <c r="C160" s="136">
        <f>'Capacity inputs'!H21</f>
        <v>0</v>
      </c>
      <c r="D160" s="115">
        <f>'Financial impact (cash)'!D14*$C160</f>
        <v>0</v>
      </c>
      <c r="E160" s="115">
        <f>'Financial impact (cash)'!E14*$C160</f>
        <v>0</v>
      </c>
      <c r="F160" s="115">
        <f>'Financial impact (cash)'!F14*$C160</f>
        <v>0</v>
      </c>
      <c r="G160" s="115">
        <f>'Financial impact (cash)'!G14*$C160</f>
        <v>0</v>
      </c>
      <c r="H160" s="115">
        <f>'Financial impact (cash)'!H14*$C160</f>
        <v>0</v>
      </c>
      <c r="I160" s="115">
        <f>'Financial impact (cash)'!I14*$C160</f>
        <v>0</v>
      </c>
      <c r="J160" s="255"/>
      <c r="K160" s="255"/>
      <c r="L160" s="196"/>
      <c r="M160" s="196"/>
      <c r="N160" s="196"/>
      <c r="O160" s="196"/>
      <c r="P160" s="196"/>
      <c r="Q160" s="196"/>
      <c r="R160" s="120"/>
      <c r="S160" s="120"/>
      <c r="T160" s="120"/>
      <c r="U160" s="120"/>
      <c r="V160" s="120"/>
      <c r="W160" s="120"/>
      <c r="X160" s="120"/>
      <c r="Y160" s="120"/>
      <c r="Z160" s="120"/>
      <c r="AJ160" s="251"/>
      <c r="AK160" s="251"/>
      <c r="AL160" s="251"/>
      <c r="AM160" s="251"/>
      <c r="AN160" s="251"/>
    </row>
    <row r="161" spans="1:40" x14ac:dyDescent="0.35">
      <c r="A161" s="255"/>
      <c r="B161" s="304" t="str">
        <f t="shared" si="75"/>
        <v>Treatment C</v>
      </c>
      <c r="C161" s="136">
        <f>'Capacity inputs'!I21</f>
        <v>0</v>
      </c>
      <c r="D161" s="115" t="e">
        <f>'Financial impact (cash)'!D15*$C161</f>
        <v>#REF!</v>
      </c>
      <c r="E161" s="115" t="e">
        <f>'Financial impact (cash)'!E15*$C161</f>
        <v>#REF!</v>
      </c>
      <c r="F161" s="115" t="e">
        <f>'Financial impact (cash)'!F15*$C161</f>
        <v>#REF!</v>
      </c>
      <c r="G161" s="115" t="e">
        <f>'Financial impact (cash)'!G15*$C161</f>
        <v>#REF!</v>
      </c>
      <c r="H161" s="115" t="e">
        <f>'Financial impact (cash)'!H15*$C161</f>
        <v>#REF!</v>
      </c>
      <c r="I161" s="115" t="e">
        <f>'Financial impact (cash)'!I15*$C161</f>
        <v>#REF!</v>
      </c>
      <c r="J161" s="255"/>
      <c r="K161" s="255"/>
      <c r="L161" s="196"/>
      <c r="M161" s="196"/>
      <c r="N161" s="196"/>
      <c r="O161" s="196"/>
      <c r="P161" s="196"/>
      <c r="Q161" s="196"/>
      <c r="R161" s="120"/>
      <c r="S161" s="120"/>
      <c r="T161" s="120"/>
      <c r="U161" s="120"/>
      <c r="V161" s="120"/>
      <c r="W161" s="120"/>
      <c r="X161" s="120"/>
      <c r="Y161" s="120"/>
      <c r="Z161" s="120"/>
      <c r="AJ161" s="251"/>
      <c r="AK161" s="251"/>
      <c r="AL161" s="251"/>
      <c r="AM161" s="251"/>
      <c r="AN161" s="251"/>
    </row>
    <row r="162" spans="1:40" x14ac:dyDescent="0.35">
      <c r="A162" s="255"/>
      <c r="B162" s="304" t="str">
        <f t="shared" si="75"/>
        <v>Treatment D</v>
      </c>
      <c r="C162" s="136">
        <f>'Capacity inputs'!J21</f>
        <v>0</v>
      </c>
      <c r="D162" s="115" t="e">
        <f>'Financial impact (cash)'!D16*$C162</f>
        <v>#REF!</v>
      </c>
      <c r="E162" s="115" t="e">
        <f>'Financial impact (cash)'!E16*$C162</f>
        <v>#REF!</v>
      </c>
      <c r="F162" s="115" t="e">
        <f>'Financial impact (cash)'!F16*$C162</f>
        <v>#REF!</v>
      </c>
      <c r="G162" s="115" t="e">
        <f>'Financial impact (cash)'!G16*$C162</f>
        <v>#REF!</v>
      </c>
      <c r="H162" s="115" t="e">
        <f>'Financial impact (cash)'!H16*$C162</f>
        <v>#REF!</v>
      </c>
      <c r="I162" s="115" t="e">
        <f>'Financial impact (cash)'!I16*$C162</f>
        <v>#REF!</v>
      </c>
      <c r="J162" s="255"/>
      <c r="K162" s="255"/>
      <c r="L162" s="196"/>
      <c r="M162" s="196"/>
      <c r="N162" s="196"/>
      <c r="O162" s="196"/>
      <c r="P162" s="196"/>
      <c r="Q162" s="196"/>
      <c r="R162" s="120"/>
      <c r="S162" s="120"/>
      <c r="T162" s="120"/>
      <c r="U162" s="120"/>
      <c r="V162" s="120"/>
      <c r="W162" s="120"/>
      <c r="X162" s="120"/>
      <c r="Y162" s="120"/>
      <c r="Z162" s="120"/>
      <c r="AJ162" s="251"/>
      <c r="AK162" s="251"/>
      <c r="AL162" s="251"/>
      <c r="AM162" s="251"/>
      <c r="AN162" s="251"/>
    </row>
    <row r="163" spans="1:40" x14ac:dyDescent="0.35">
      <c r="A163" s="255"/>
      <c r="B163" s="304" t="str">
        <f t="shared" si="75"/>
        <v>Treatment E</v>
      </c>
      <c r="C163" s="136">
        <f>'Capacity inputs'!K21</f>
        <v>0</v>
      </c>
      <c r="D163" s="115" t="e">
        <f>'Financial impact (cash)'!D17*$C163</f>
        <v>#REF!</v>
      </c>
      <c r="E163" s="115" t="e">
        <f>'Financial impact (cash)'!E17*$C163</f>
        <v>#REF!</v>
      </c>
      <c r="F163" s="115" t="e">
        <f>'Financial impact (cash)'!F17*$C163</f>
        <v>#REF!</v>
      </c>
      <c r="G163" s="115" t="e">
        <f>'Financial impact (cash)'!G17*$C163</f>
        <v>#REF!</v>
      </c>
      <c r="H163" s="115" t="e">
        <f>'Financial impact (cash)'!H17*$C163</f>
        <v>#REF!</v>
      </c>
      <c r="I163" s="115" t="e">
        <f>'Financial impact (cash)'!I17*$C163</f>
        <v>#REF!</v>
      </c>
      <c r="J163" s="255"/>
      <c r="K163" s="255"/>
      <c r="L163" s="196"/>
      <c r="M163" s="196"/>
      <c r="N163" s="196"/>
      <c r="O163" s="196"/>
      <c r="P163" s="196"/>
      <c r="Q163" s="196"/>
      <c r="R163" s="120"/>
      <c r="S163" s="120"/>
      <c r="T163" s="120"/>
      <c r="U163" s="120"/>
      <c r="V163" s="120"/>
      <c r="W163" s="120"/>
      <c r="X163" s="120"/>
      <c r="Y163" s="120"/>
      <c r="Z163" s="120"/>
      <c r="AJ163" s="251"/>
      <c r="AK163" s="251"/>
      <c r="AL163" s="251"/>
      <c r="AM163" s="251"/>
      <c r="AN163" s="251"/>
    </row>
    <row r="164" spans="1:40" x14ac:dyDescent="0.35">
      <c r="A164" s="255"/>
      <c r="B164" s="304" t="str">
        <f t="shared" si="75"/>
        <v>Treatment F</v>
      </c>
      <c r="C164" s="136">
        <f>'Capacity inputs'!L21</f>
        <v>0</v>
      </c>
      <c r="D164" s="115" t="e">
        <f>'Financial impact (cash)'!D18*$C164</f>
        <v>#REF!</v>
      </c>
      <c r="E164" s="115" t="e">
        <f>'Financial impact (cash)'!E18*$C164</f>
        <v>#REF!</v>
      </c>
      <c r="F164" s="115" t="e">
        <f>'Financial impact (cash)'!F18*$C164</f>
        <v>#REF!</v>
      </c>
      <c r="G164" s="115" t="e">
        <f>'Financial impact (cash)'!G18*$C164</f>
        <v>#REF!</v>
      </c>
      <c r="H164" s="115" t="e">
        <f>'Financial impact (cash)'!H18*$C164</f>
        <v>#REF!</v>
      </c>
      <c r="I164" s="115" t="e">
        <f>'Financial impact (cash)'!I18*$C164</f>
        <v>#REF!</v>
      </c>
      <c r="J164" s="255"/>
      <c r="K164" s="255"/>
      <c r="L164" s="196"/>
      <c r="M164" s="196"/>
      <c r="N164" s="196"/>
      <c r="O164" s="196"/>
      <c r="P164" s="196"/>
      <c r="Q164" s="196"/>
      <c r="R164" s="120"/>
      <c r="S164" s="120"/>
      <c r="T164" s="120"/>
      <c r="U164" s="120"/>
      <c r="V164" s="120"/>
      <c r="W164" s="120"/>
      <c r="X164" s="120"/>
      <c r="Y164" s="120"/>
      <c r="Z164" s="120"/>
      <c r="AJ164" s="251"/>
      <c r="AK164" s="251"/>
      <c r="AL164" s="251"/>
      <c r="AM164" s="251"/>
      <c r="AN164" s="251"/>
    </row>
    <row r="165" spans="1:40" x14ac:dyDescent="0.35">
      <c r="A165" s="255"/>
      <c r="B165" s="304" t="str">
        <f t="shared" si="75"/>
        <v>Treatment G</v>
      </c>
      <c r="C165" s="136">
        <f>'Capacity inputs'!M21</f>
        <v>0</v>
      </c>
      <c r="D165" s="115" t="e">
        <f>'Financial impact (cash)'!D19*$C165</f>
        <v>#REF!</v>
      </c>
      <c r="E165" s="115" t="e">
        <f>'Financial impact (cash)'!E19*$C165</f>
        <v>#REF!</v>
      </c>
      <c r="F165" s="115" t="e">
        <f>'Financial impact (cash)'!F19*$C165</f>
        <v>#REF!</v>
      </c>
      <c r="G165" s="115" t="e">
        <f>'Financial impact (cash)'!G19*$C165</f>
        <v>#REF!</v>
      </c>
      <c r="H165" s="115" t="e">
        <f>'Financial impact (cash)'!H19*$C165</f>
        <v>#REF!</v>
      </c>
      <c r="I165" s="115" t="e">
        <f>'Financial impact (cash)'!I19*$C165</f>
        <v>#REF!</v>
      </c>
      <c r="J165" s="255"/>
      <c r="K165" s="255"/>
      <c r="L165" s="196"/>
      <c r="M165" s="196"/>
      <c r="N165" s="196"/>
      <c r="O165" s="196"/>
      <c r="P165" s="196"/>
      <c r="Q165" s="196"/>
      <c r="R165" s="120"/>
      <c r="S165" s="120"/>
      <c r="T165" s="120"/>
      <c r="U165" s="120"/>
      <c r="V165" s="120"/>
      <c r="W165" s="120"/>
      <c r="X165" s="120"/>
      <c r="Y165" s="120"/>
      <c r="Z165" s="120"/>
      <c r="AJ165" s="251"/>
      <c r="AK165" s="251"/>
      <c r="AL165" s="251"/>
      <c r="AM165" s="251"/>
      <c r="AN165" s="251"/>
    </row>
    <row r="166" spans="1:40" x14ac:dyDescent="0.35">
      <c r="A166" s="255"/>
      <c r="B166" s="245"/>
      <c r="C166" s="184"/>
      <c r="D166" s="167" t="e">
        <f>SUM(D159:D165)</f>
        <v>#REF!</v>
      </c>
      <c r="E166" s="167" t="e">
        <f t="shared" ref="E166:I166" si="76">SUM(E159:E165)</f>
        <v>#REF!</v>
      </c>
      <c r="F166" s="167" t="e">
        <f t="shared" si="76"/>
        <v>#REF!</v>
      </c>
      <c r="G166" s="167" t="e">
        <f t="shared" si="76"/>
        <v>#REF!</v>
      </c>
      <c r="H166" s="167" t="e">
        <f t="shared" si="76"/>
        <v>#REF!</v>
      </c>
      <c r="I166" s="167" t="e">
        <f t="shared" si="76"/>
        <v>#REF!</v>
      </c>
      <c r="J166" s="255"/>
      <c r="K166" s="255"/>
      <c r="L166" s="196"/>
      <c r="M166" s="196"/>
      <c r="N166" s="196"/>
      <c r="O166" s="196"/>
      <c r="P166" s="196"/>
      <c r="Q166" s="196"/>
      <c r="R166" s="120"/>
      <c r="S166" s="120"/>
      <c r="T166" s="120"/>
      <c r="U166" s="120"/>
      <c r="V166" s="120"/>
      <c r="W166" s="120"/>
      <c r="X166" s="120"/>
      <c r="Y166" s="120"/>
      <c r="Z166" s="120"/>
      <c r="AJ166" s="251"/>
      <c r="AK166" s="251"/>
      <c r="AL166" s="251"/>
      <c r="AM166" s="251"/>
      <c r="AN166" s="251"/>
    </row>
    <row r="167" spans="1:40" x14ac:dyDescent="0.35">
      <c r="A167" s="255"/>
      <c r="B167" s="272"/>
      <c r="C167" s="223"/>
      <c r="D167" s="250" t="s">
        <v>741</v>
      </c>
      <c r="E167" s="167" t="e">
        <f>E166-$D$166</f>
        <v>#REF!</v>
      </c>
      <c r="F167" s="167" t="e">
        <f>F166-$D$166</f>
        <v>#REF!</v>
      </c>
      <c r="G167" s="167" t="e">
        <f>G166-$D$166</f>
        <v>#REF!</v>
      </c>
      <c r="H167" s="167" t="e">
        <f>H166-$D$166</f>
        <v>#REF!</v>
      </c>
      <c r="I167" s="167" t="e">
        <f>I166-$D$166</f>
        <v>#REF!</v>
      </c>
      <c r="J167" s="255"/>
      <c r="K167" s="255"/>
      <c r="L167" s="196"/>
      <c r="M167" s="196"/>
      <c r="N167" s="196"/>
      <c r="O167" s="196"/>
      <c r="P167" s="196"/>
      <c r="Q167" s="196"/>
      <c r="R167" s="120"/>
      <c r="S167" s="120"/>
      <c r="V167" s="120"/>
    </row>
    <row r="168" spans="1:40" x14ac:dyDescent="0.35">
      <c r="A168" s="255"/>
      <c r="B168" s="287"/>
      <c r="C168" s="196"/>
      <c r="D168" s="196"/>
      <c r="E168" s="196"/>
      <c r="F168" s="196"/>
      <c r="G168" s="196"/>
      <c r="H168" s="196"/>
      <c r="I168" s="196"/>
      <c r="J168" s="196"/>
      <c r="K168" s="196"/>
      <c r="L168" s="196"/>
      <c r="M168" s="196"/>
      <c r="N168" s="196"/>
      <c r="O168" s="196"/>
      <c r="P168" s="196"/>
      <c r="Q168" s="196"/>
      <c r="R168" s="120"/>
      <c r="S168" s="120"/>
      <c r="V168" s="120"/>
    </row>
    <row r="169" spans="1:40" x14ac:dyDescent="0.35">
      <c r="A169" s="255"/>
      <c r="B169" s="344" t="s">
        <v>605</v>
      </c>
      <c r="C169" s="345"/>
      <c r="D169" s="345"/>
      <c r="E169" s="345"/>
      <c r="F169" s="345"/>
      <c r="G169" s="345"/>
      <c r="H169" s="345"/>
      <c r="I169" s="195"/>
      <c r="J169" s="196"/>
      <c r="K169" s="196"/>
      <c r="L169" s="196"/>
      <c r="M169" s="196"/>
      <c r="N169" s="196"/>
      <c r="O169" s="196"/>
      <c r="P169" s="196"/>
      <c r="Q169" s="196"/>
      <c r="R169" s="120"/>
      <c r="S169" s="120"/>
      <c r="T169" s="120"/>
      <c r="U169" s="120"/>
      <c r="V169" s="120"/>
      <c r="W169" s="120"/>
      <c r="X169" s="120"/>
      <c r="Y169" s="120"/>
      <c r="Z169" s="120"/>
      <c r="AJ169" s="251"/>
      <c r="AK169" s="251"/>
      <c r="AL169" s="251"/>
      <c r="AM169" s="251"/>
      <c r="AN169" s="251"/>
    </row>
    <row r="170" spans="1:40" ht="43.5" x14ac:dyDescent="0.35">
      <c r="A170" s="255"/>
      <c r="B170" s="244" t="s">
        <v>649</v>
      </c>
      <c r="C170" s="152" t="s">
        <v>715</v>
      </c>
      <c r="D170" s="661" t="s">
        <v>698</v>
      </c>
      <c r="E170" s="222" t="s">
        <v>551</v>
      </c>
      <c r="F170" s="222" t="s">
        <v>552</v>
      </c>
      <c r="G170" s="151" t="s">
        <v>673</v>
      </c>
      <c r="H170" s="151" t="s">
        <v>674</v>
      </c>
      <c r="I170" s="222" t="s">
        <v>675</v>
      </c>
      <c r="J170" s="255"/>
      <c r="K170" s="255"/>
      <c r="L170" s="196"/>
      <c r="M170" s="196"/>
      <c r="N170" s="196"/>
      <c r="O170" s="196"/>
      <c r="P170" s="196"/>
      <c r="Q170" s="196"/>
      <c r="R170" s="120"/>
      <c r="S170" s="120"/>
      <c r="T170" s="120"/>
      <c r="U170" s="120"/>
      <c r="V170" s="120"/>
      <c r="W170" s="120"/>
      <c r="X170" s="120"/>
      <c r="Y170" s="120"/>
      <c r="Z170" s="120"/>
      <c r="AJ170" s="251"/>
      <c r="AK170" s="251"/>
      <c r="AL170" s="251"/>
      <c r="AM170" s="251"/>
      <c r="AN170" s="251"/>
    </row>
    <row r="171" spans="1:40" x14ac:dyDescent="0.35">
      <c r="A171" s="255"/>
      <c r="B171" s="304" t="str">
        <f>B159</f>
        <v>Treatment A</v>
      </c>
      <c r="C171" s="136">
        <f>'Capacity inputs'!G22</f>
        <v>0</v>
      </c>
      <c r="D171" s="115">
        <f>'Financial impact (cash)'!D13*'Capacity (national prices)'!$C171</f>
        <v>0</v>
      </c>
      <c r="E171" s="115">
        <f>'Financial impact (cash)'!E13*'Capacity (national prices)'!$C171</f>
        <v>0</v>
      </c>
      <c r="F171" s="115">
        <f>'Financial impact (cash)'!F13*'Capacity (national prices)'!$C171</f>
        <v>0</v>
      </c>
      <c r="G171" s="115">
        <f>'Financial impact (cash)'!G13*'Capacity (national prices)'!$C171</f>
        <v>0</v>
      </c>
      <c r="H171" s="115">
        <f>'Financial impact (cash)'!H13*'Capacity (national prices)'!$C171</f>
        <v>0</v>
      </c>
      <c r="I171" s="115">
        <f>'Financial impact (cash)'!I13*'Capacity (national prices)'!$C171</f>
        <v>0</v>
      </c>
      <c r="J171" s="255"/>
      <c r="K171" s="255"/>
      <c r="L171" s="196"/>
      <c r="M171" s="196"/>
      <c r="N171" s="196"/>
      <c r="O171" s="196"/>
      <c r="P171" s="196"/>
      <c r="Q171" s="196"/>
      <c r="R171" s="120"/>
      <c r="S171" s="120"/>
      <c r="T171" s="120"/>
      <c r="U171" s="120"/>
      <c r="V171" s="120"/>
      <c r="W171" s="120"/>
      <c r="X171" s="120"/>
      <c r="Y171" s="120"/>
      <c r="Z171" s="120"/>
      <c r="AJ171" s="251"/>
      <c r="AK171" s="251"/>
      <c r="AL171" s="251"/>
      <c r="AM171" s="251"/>
      <c r="AN171" s="251"/>
    </row>
    <row r="172" spans="1:40" x14ac:dyDescent="0.35">
      <c r="A172" s="255"/>
      <c r="B172" s="304" t="str">
        <f t="shared" ref="B172:B177" si="77">B160</f>
        <v>Treatment B</v>
      </c>
      <c r="C172" s="136">
        <f>'Capacity inputs'!H22</f>
        <v>0</v>
      </c>
      <c r="D172" s="115">
        <f>'Financial impact (cash)'!D14*'Capacity (national prices)'!$C172</f>
        <v>0</v>
      </c>
      <c r="E172" s="115">
        <f>'Financial impact (cash)'!E14*'Capacity (national prices)'!$C172</f>
        <v>0</v>
      </c>
      <c r="F172" s="115">
        <f>'Financial impact (cash)'!F14*'Capacity (national prices)'!$C172</f>
        <v>0</v>
      </c>
      <c r="G172" s="115">
        <f>'Financial impact (cash)'!G14*'Capacity (national prices)'!$C172</f>
        <v>0</v>
      </c>
      <c r="H172" s="115">
        <f>'Financial impact (cash)'!H14*'Capacity (national prices)'!$C172</f>
        <v>0</v>
      </c>
      <c r="I172" s="115">
        <f>'Financial impact (cash)'!I14*'Capacity (national prices)'!$C172</f>
        <v>0</v>
      </c>
      <c r="J172" s="255"/>
      <c r="K172" s="255"/>
      <c r="L172" s="196"/>
      <c r="M172" s="196"/>
      <c r="N172" s="196"/>
      <c r="O172" s="196"/>
      <c r="P172" s="196"/>
      <c r="Q172" s="196"/>
      <c r="R172" s="120"/>
      <c r="S172" s="120"/>
      <c r="T172" s="120"/>
      <c r="U172" s="120"/>
      <c r="V172" s="120"/>
      <c r="W172" s="120"/>
      <c r="X172" s="120"/>
      <c r="Y172" s="120"/>
      <c r="Z172" s="120"/>
      <c r="AJ172" s="251"/>
      <c r="AK172" s="251"/>
      <c r="AL172" s="251"/>
      <c r="AM172" s="251"/>
      <c r="AN172" s="251"/>
    </row>
    <row r="173" spans="1:40" x14ac:dyDescent="0.35">
      <c r="A173" s="255"/>
      <c r="B173" s="304" t="str">
        <f t="shared" si="77"/>
        <v>Treatment C</v>
      </c>
      <c r="C173" s="136">
        <f>'Capacity inputs'!I22</f>
        <v>0</v>
      </c>
      <c r="D173" s="115" t="e">
        <f>'Financial impact (cash)'!D15*'Capacity (national prices)'!$C173</f>
        <v>#REF!</v>
      </c>
      <c r="E173" s="115" t="e">
        <f>'Financial impact (cash)'!E15*'Capacity (national prices)'!$C173</f>
        <v>#REF!</v>
      </c>
      <c r="F173" s="115" t="e">
        <f>'Financial impact (cash)'!F15*'Capacity (national prices)'!$C173</f>
        <v>#REF!</v>
      </c>
      <c r="G173" s="115" t="e">
        <f>'Financial impact (cash)'!G15*'Capacity (national prices)'!$C173</f>
        <v>#REF!</v>
      </c>
      <c r="H173" s="115" t="e">
        <f>'Financial impact (cash)'!H15*'Capacity (national prices)'!$C173</f>
        <v>#REF!</v>
      </c>
      <c r="I173" s="115" t="e">
        <f>'Financial impact (cash)'!I15*'Capacity (national prices)'!$C173</f>
        <v>#REF!</v>
      </c>
      <c r="J173" s="255"/>
      <c r="K173" s="255"/>
      <c r="L173" s="196"/>
      <c r="M173" s="196"/>
      <c r="N173" s="196"/>
      <c r="O173" s="196"/>
      <c r="P173" s="196"/>
      <c r="Q173" s="196"/>
      <c r="R173" s="120"/>
      <c r="S173" s="120"/>
      <c r="T173" s="120"/>
      <c r="U173" s="120"/>
      <c r="V173" s="120"/>
      <c r="W173" s="120"/>
      <c r="X173" s="120"/>
      <c r="Y173" s="120"/>
      <c r="Z173" s="120"/>
      <c r="AJ173" s="251"/>
      <c r="AK173" s="251"/>
      <c r="AL173" s="251"/>
      <c r="AM173" s="251"/>
      <c r="AN173" s="251"/>
    </row>
    <row r="174" spans="1:40" x14ac:dyDescent="0.35">
      <c r="A174" s="255"/>
      <c r="B174" s="304" t="str">
        <f t="shared" si="77"/>
        <v>Treatment D</v>
      </c>
      <c r="C174" s="136">
        <f>'Capacity inputs'!J22</f>
        <v>0</v>
      </c>
      <c r="D174" s="115" t="e">
        <f>'Financial impact (cash)'!D16*'Capacity (national prices)'!$C174</f>
        <v>#REF!</v>
      </c>
      <c r="E174" s="115" t="e">
        <f>'Financial impact (cash)'!E16*'Capacity (national prices)'!$C174</f>
        <v>#REF!</v>
      </c>
      <c r="F174" s="115" t="e">
        <f>'Financial impact (cash)'!F16*'Capacity (national prices)'!$C174</f>
        <v>#REF!</v>
      </c>
      <c r="G174" s="115" t="e">
        <f>'Financial impact (cash)'!G16*'Capacity (national prices)'!$C174</f>
        <v>#REF!</v>
      </c>
      <c r="H174" s="115" t="e">
        <f>'Financial impact (cash)'!H16*'Capacity (national prices)'!$C174</f>
        <v>#REF!</v>
      </c>
      <c r="I174" s="115" t="e">
        <f>'Financial impact (cash)'!I16*'Capacity (national prices)'!$C174</f>
        <v>#REF!</v>
      </c>
      <c r="J174" s="255"/>
      <c r="K174" s="255"/>
      <c r="L174" s="196"/>
      <c r="M174" s="196"/>
      <c r="N174" s="196"/>
      <c r="O174" s="196"/>
      <c r="P174" s="196"/>
      <c r="Q174" s="196"/>
      <c r="R174" s="120"/>
      <c r="S174" s="120"/>
      <c r="T174" s="120"/>
      <c r="U174" s="120"/>
      <c r="V174" s="120"/>
      <c r="W174" s="120"/>
      <c r="X174" s="120"/>
      <c r="Y174" s="120"/>
      <c r="Z174" s="120"/>
      <c r="AJ174" s="251"/>
      <c r="AK174" s="251"/>
      <c r="AL174" s="251"/>
      <c r="AM174" s="251"/>
      <c r="AN174" s="251"/>
    </row>
    <row r="175" spans="1:40" x14ac:dyDescent="0.35">
      <c r="A175" s="255"/>
      <c r="B175" s="304" t="str">
        <f t="shared" si="77"/>
        <v>Treatment E</v>
      </c>
      <c r="C175" s="136">
        <f>'Capacity inputs'!K22</f>
        <v>0</v>
      </c>
      <c r="D175" s="115" t="e">
        <f>'Financial impact (cash)'!D17*'Capacity (national prices)'!$C175</f>
        <v>#REF!</v>
      </c>
      <c r="E175" s="115" t="e">
        <f>'Financial impact (cash)'!E17*'Capacity (national prices)'!$C175</f>
        <v>#REF!</v>
      </c>
      <c r="F175" s="115" t="e">
        <f>'Financial impact (cash)'!F17*'Capacity (national prices)'!$C175</f>
        <v>#REF!</v>
      </c>
      <c r="G175" s="115" t="e">
        <f>'Financial impact (cash)'!G17*'Capacity (national prices)'!$C175</f>
        <v>#REF!</v>
      </c>
      <c r="H175" s="115" t="e">
        <f>'Financial impact (cash)'!H17*'Capacity (national prices)'!$C175</f>
        <v>#REF!</v>
      </c>
      <c r="I175" s="115" t="e">
        <f>'Financial impact (cash)'!I17*'Capacity (national prices)'!$C175</f>
        <v>#REF!</v>
      </c>
      <c r="J175" s="255"/>
      <c r="K175" s="255"/>
      <c r="L175" s="196"/>
      <c r="M175" s="196"/>
      <c r="N175" s="196"/>
      <c r="O175" s="196"/>
      <c r="P175" s="196"/>
      <c r="Q175" s="196"/>
      <c r="R175" s="120"/>
      <c r="S175" s="120"/>
      <c r="T175" s="120"/>
      <c r="U175" s="120"/>
      <c r="V175" s="120"/>
      <c r="W175" s="120"/>
      <c r="X175" s="120"/>
      <c r="Y175" s="120"/>
      <c r="Z175" s="120"/>
      <c r="AJ175" s="251"/>
      <c r="AK175" s="251"/>
      <c r="AL175" s="251"/>
      <c r="AM175" s="251"/>
      <c r="AN175" s="251"/>
    </row>
    <row r="176" spans="1:40" x14ac:dyDescent="0.35">
      <c r="A176" s="255"/>
      <c r="B176" s="304" t="str">
        <f t="shared" si="77"/>
        <v>Treatment F</v>
      </c>
      <c r="C176" s="136">
        <f>'Capacity inputs'!L22</f>
        <v>0</v>
      </c>
      <c r="D176" s="115" t="e">
        <f>'Financial impact (cash)'!D18*'Capacity (national prices)'!$C176</f>
        <v>#REF!</v>
      </c>
      <c r="E176" s="115" t="e">
        <f>'Financial impact (cash)'!E18*'Capacity (national prices)'!$C176</f>
        <v>#REF!</v>
      </c>
      <c r="F176" s="115" t="e">
        <f>'Financial impact (cash)'!F18*'Capacity (national prices)'!$C176</f>
        <v>#REF!</v>
      </c>
      <c r="G176" s="115" t="e">
        <f>'Financial impact (cash)'!G18*'Capacity (national prices)'!$C176</f>
        <v>#REF!</v>
      </c>
      <c r="H176" s="115" t="e">
        <f>'Financial impact (cash)'!H18*'Capacity (national prices)'!$C176</f>
        <v>#REF!</v>
      </c>
      <c r="I176" s="115" t="e">
        <f>'Financial impact (cash)'!I18*'Capacity (national prices)'!$C176</f>
        <v>#REF!</v>
      </c>
      <c r="J176" s="255"/>
      <c r="K176" s="255"/>
      <c r="L176" s="196"/>
      <c r="M176" s="196"/>
      <c r="N176" s="196"/>
      <c r="O176" s="196"/>
      <c r="P176" s="196"/>
      <c r="Q176" s="196"/>
      <c r="R176" s="120"/>
      <c r="S176" s="120"/>
      <c r="T176" s="120"/>
      <c r="U176" s="120"/>
      <c r="V176" s="120"/>
      <c r="W176" s="120"/>
      <c r="X176" s="120"/>
      <c r="Y176" s="120"/>
      <c r="Z176" s="120"/>
      <c r="AJ176" s="251"/>
      <c r="AK176" s="251"/>
      <c r="AL176" s="251"/>
      <c r="AM176" s="251"/>
      <c r="AN176" s="251"/>
    </row>
    <row r="177" spans="1:40" x14ac:dyDescent="0.35">
      <c r="A177" s="255"/>
      <c r="B177" s="304" t="str">
        <f t="shared" si="77"/>
        <v>Treatment G</v>
      </c>
      <c r="C177" s="136">
        <f>'Capacity inputs'!M22</f>
        <v>0</v>
      </c>
      <c r="D177" s="115" t="e">
        <f>'Financial impact (cash)'!D19*'Capacity (national prices)'!$C177</f>
        <v>#REF!</v>
      </c>
      <c r="E177" s="115" t="e">
        <f>'Financial impact (cash)'!E19*'Capacity (national prices)'!$C177</f>
        <v>#REF!</v>
      </c>
      <c r="F177" s="115" t="e">
        <f>'Financial impact (cash)'!F19*'Capacity (national prices)'!$C177</f>
        <v>#REF!</v>
      </c>
      <c r="G177" s="115" t="e">
        <f>'Financial impact (cash)'!G19*'Capacity (national prices)'!$C177</f>
        <v>#REF!</v>
      </c>
      <c r="H177" s="115" t="e">
        <f>'Financial impact (cash)'!H19*'Capacity (national prices)'!$C177</f>
        <v>#REF!</v>
      </c>
      <c r="I177" s="115" t="e">
        <f>'Financial impact (cash)'!I19*'Capacity (national prices)'!$C177</f>
        <v>#REF!</v>
      </c>
      <c r="J177" s="255"/>
      <c r="K177" s="255"/>
      <c r="L177" s="196"/>
      <c r="M177" s="196"/>
      <c r="N177" s="196"/>
      <c r="O177" s="196"/>
      <c r="P177" s="196"/>
      <c r="Q177" s="196"/>
      <c r="R177" s="120"/>
      <c r="S177" s="120"/>
      <c r="T177" s="120"/>
      <c r="U177" s="120"/>
      <c r="V177" s="120"/>
      <c r="W177" s="120"/>
      <c r="X177" s="120"/>
      <c r="Y177" s="120"/>
      <c r="Z177" s="120"/>
      <c r="AJ177" s="251"/>
      <c r="AK177" s="251"/>
      <c r="AL177" s="251"/>
      <c r="AM177" s="251"/>
      <c r="AN177" s="251"/>
    </row>
    <row r="178" spans="1:40" x14ac:dyDescent="0.35">
      <c r="A178" s="255"/>
      <c r="B178" s="245"/>
      <c r="C178" s="184"/>
      <c r="D178" s="167" t="e">
        <f>SUM(D171:D177)</f>
        <v>#REF!</v>
      </c>
      <c r="E178" s="167" t="e">
        <f t="shared" ref="E178:I178" si="78">SUM(E171:E177)</f>
        <v>#REF!</v>
      </c>
      <c r="F178" s="167" t="e">
        <f t="shared" si="78"/>
        <v>#REF!</v>
      </c>
      <c r="G178" s="167" t="e">
        <f t="shared" si="78"/>
        <v>#REF!</v>
      </c>
      <c r="H178" s="167" t="e">
        <f t="shared" si="78"/>
        <v>#REF!</v>
      </c>
      <c r="I178" s="167" t="e">
        <f t="shared" si="78"/>
        <v>#REF!</v>
      </c>
      <c r="J178" s="255"/>
      <c r="K178" s="255"/>
      <c r="L178" s="196"/>
      <c r="M178" s="196"/>
      <c r="N178" s="196"/>
      <c r="O178" s="196"/>
      <c r="P178" s="196"/>
      <c r="Q178" s="196"/>
      <c r="R178" s="120"/>
      <c r="S178" s="120"/>
      <c r="T178" s="120"/>
      <c r="U178" s="120"/>
      <c r="V178" s="120"/>
      <c r="W178" s="120"/>
      <c r="X178" s="120"/>
      <c r="Y178" s="120"/>
      <c r="Z178" s="120"/>
      <c r="AJ178" s="251"/>
      <c r="AK178" s="251"/>
      <c r="AL178" s="251"/>
      <c r="AM178" s="251"/>
      <c r="AN178" s="251"/>
    </row>
    <row r="179" spans="1:40" x14ac:dyDescent="0.35">
      <c r="A179" s="255"/>
      <c r="B179" s="272"/>
      <c r="C179" s="223"/>
      <c r="D179" s="250" t="s">
        <v>742</v>
      </c>
      <c r="E179" s="167" t="e">
        <f>E178-$D$178</f>
        <v>#REF!</v>
      </c>
      <c r="F179" s="167" t="e">
        <f>F178-$D$178</f>
        <v>#REF!</v>
      </c>
      <c r="G179" s="167" t="e">
        <f>G178-$D$178</f>
        <v>#REF!</v>
      </c>
      <c r="H179" s="167" t="e">
        <f>H178-$D$178</f>
        <v>#REF!</v>
      </c>
      <c r="I179" s="167" t="e">
        <f>I178-$D$178</f>
        <v>#REF!</v>
      </c>
      <c r="J179" s="255"/>
      <c r="K179" s="255"/>
      <c r="L179" s="196"/>
      <c r="M179" s="196"/>
      <c r="N179" s="196"/>
      <c r="O179" s="196"/>
      <c r="P179" s="196"/>
      <c r="Q179" s="196"/>
      <c r="R179" s="120"/>
      <c r="S179" s="120"/>
      <c r="V179" s="120"/>
    </row>
    <row r="180" spans="1:40" x14ac:dyDescent="0.35">
      <c r="A180" s="255"/>
      <c r="B180" s="255"/>
      <c r="C180" s="196"/>
      <c r="D180" s="255"/>
      <c r="E180" s="255"/>
      <c r="F180" s="255"/>
      <c r="G180" s="255"/>
      <c r="H180" s="255"/>
      <c r="I180" s="196"/>
      <c r="J180" s="196"/>
      <c r="K180" s="196"/>
      <c r="L180" s="196"/>
      <c r="M180" s="196"/>
      <c r="N180" s="196"/>
      <c r="O180" s="196"/>
      <c r="P180" s="196"/>
      <c r="Q180" s="196"/>
      <c r="R180" s="120"/>
      <c r="S180" s="120"/>
      <c r="V180" s="120"/>
    </row>
    <row r="181" spans="1:40" x14ac:dyDescent="0.35">
      <c r="B181"/>
    </row>
    <row r="182" spans="1:40" x14ac:dyDescent="0.35">
      <c r="B182"/>
    </row>
    <row r="183" spans="1:40" x14ac:dyDescent="0.35">
      <c r="B183"/>
    </row>
    <row r="184" spans="1:40" x14ac:dyDescent="0.35">
      <c r="B184"/>
    </row>
    <row r="185" spans="1:40" x14ac:dyDescent="0.35">
      <c r="B185"/>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0" min="1" max="17" man="1"/>
  </rowBreaks>
  <ignoredErrors>
    <ignoredError sqref="D26:I2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C6" sqref="C6:C10"/>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408"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525" t="s">
        <v>747</v>
      </c>
      <c r="B1" s="525"/>
      <c r="C1" s="525"/>
      <c r="D1" s="525"/>
      <c r="E1" s="525"/>
      <c r="F1" s="525"/>
      <c r="G1" s="525"/>
      <c r="H1" s="525"/>
      <c r="I1" s="525"/>
      <c r="J1" s="525"/>
      <c r="K1" s="525"/>
      <c r="L1" s="525"/>
      <c r="M1" s="525"/>
      <c r="N1" s="525"/>
      <c r="O1" s="525"/>
      <c r="P1" s="525"/>
      <c r="Q1" s="525"/>
      <c r="R1" s="525"/>
      <c r="S1" s="525"/>
      <c r="T1" s="525"/>
      <c r="U1" s="525"/>
      <c r="V1" s="525"/>
      <c r="W1" s="525"/>
    </row>
    <row r="2" spans="1:23" ht="14.5" customHeight="1" x14ac:dyDescent="0.35">
      <c r="A2" s="116"/>
      <c r="B2" s="116"/>
      <c r="C2" s="116"/>
      <c r="D2" s="116"/>
      <c r="E2" s="116"/>
      <c r="F2" s="116"/>
      <c r="G2" s="116"/>
      <c r="H2" s="116"/>
      <c r="I2" s="116"/>
      <c r="J2" s="116"/>
      <c r="K2" s="116"/>
      <c r="M2" s="116"/>
      <c r="N2" s="116"/>
      <c r="O2" s="116"/>
    </row>
    <row r="3" spans="1:23" ht="14.5" customHeight="1" x14ac:dyDescent="0.35">
      <c r="A3" s="692" t="s">
        <v>2121</v>
      </c>
      <c r="B3" s="116"/>
      <c r="C3" s="116"/>
      <c r="D3" s="116"/>
      <c r="E3" s="116"/>
      <c r="F3" s="116"/>
      <c r="G3" s="116"/>
      <c r="H3" s="116"/>
      <c r="I3" s="116"/>
      <c r="J3" s="116"/>
      <c r="K3" s="116"/>
      <c r="M3" s="116"/>
      <c r="N3" s="116"/>
      <c r="O3" s="116"/>
    </row>
    <row r="4" spans="1:23" ht="14.5" customHeight="1" thickBot="1" x14ac:dyDescent="0.4">
      <c r="A4" s="116"/>
      <c r="B4" s="116"/>
      <c r="C4" s="116"/>
      <c r="D4" s="116"/>
      <c r="E4" s="116"/>
      <c r="F4" s="116"/>
      <c r="G4" s="116"/>
      <c r="H4" s="116"/>
      <c r="I4" s="116"/>
      <c r="J4" s="116"/>
      <c r="K4" s="116"/>
      <c r="M4" s="116"/>
      <c r="N4" s="116"/>
      <c r="O4" s="116"/>
      <c r="P4" t="s">
        <v>2124</v>
      </c>
    </row>
    <row r="5" spans="1:23" ht="14.5" customHeight="1" x14ac:dyDescent="0.35">
      <c r="A5" s="116"/>
      <c r="B5" s="533" t="s">
        <v>6</v>
      </c>
      <c r="C5" s="534"/>
      <c r="D5" s="116"/>
      <c r="E5" s="116"/>
      <c r="F5" s="116"/>
      <c r="G5" s="116"/>
      <c r="H5" s="116"/>
      <c r="I5" s="116"/>
      <c r="J5" s="116"/>
      <c r="K5" s="116"/>
      <c r="M5" s="116"/>
      <c r="N5" s="116"/>
      <c r="O5" s="116"/>
      <c r="P5" t="s">
        <v>749</v>
      </c>
    </row>
    <row r="6" spans="1:23" ht="14.5" customHeight="1" x14ac:dyDescent="0.35">
      <c r="A6" s="116"/>
      <c r="B6" s="535" t="s">
        <v>748</v>
      </c>
      <c r="C6" s="725" t="s">
        <v>749</v>
      </c>
      <c r="D6" s="536" t="s">
        <v>2120</v>
      </c>
      <c r="E6" s="116"/>
      <c r="F6" s="116"/>
      <c r="G6" s="116"/>
      <c r="H6" s="116"/>
      <c r="I6" s="116"/>
      <c r="J6" s="116"/>
      <c r="K6" s="116"/>
      <c r="M6" s="116"/>
      <c r="N6" s="116"/>
      <c r="O6" s="116"/>
      <c r="P6" t="s">
        <v>769</v>
      </c>
    </row>
    <row r="7" spans="1:23" ht="14.5" customHeight="1" x14ac:dyDescent="0.35">
      <c r="A7" s="116"/>
      <c r="B7" s="535" t="s">
        <v>750</v>
      </c>
      <c r="C7" s="726">
        <v>5000</v>
      </c>
      <c r="D7" s="116"/>
      <c r="E7" s="116"/>
      <c r="F7" s="116"/>
      <c r="G7" s="116"/>
      <c r="H7" s="116"/>
      <c r="I7" s="116"/>
      <c r="J7" s="116"/>
      <c r="K7" s="116"/>
      <c r="M7" s="116"/>
      <c r="N7" s="116"/>
      <c r="O7" s="116"/>
      <c r="P7" t="s">
        <v>772</v>
      </c>
    </row>
    <row r="8" spans="1:23" ht="14.5" customHeight="1" x14ac:dyDescent="0.35">
      <c r="A8" s="116"/>
      <c r="B8" s="535" t="s">
        <v>751</v>
      </c>
      <c r="C8" s="727">
        <v>0.15</v>
      </c>
      <c r="D8" s="116"/>
      <c r="E8" s="116"/>
      <c r="F8" s="116"/>
      <c r="G8" s="116"/>
      <c r="H8" s="116"/>
      <c r="I8" s="116"/>
      <c r="J8" s="116"/>
      <c r="K8" s="116"/>
      <c r="M8" s="116"/>
      <c r="N8" s="116"/>
      <c r="O8" s="116"/>
      <c r="P8" t="s">
        <v>775</v>
      </c>
    </row>
    <row r="9" spans="1:23" ht="14.5" customHeight="1" x14ac:dyDescent="0.35">
      <c r="A9" s="116"/>
      <c r="B9" s="535" t="s">
        <v>752</v>
      </c>
      <c r="C9" s="727">
        <v>0.23780000000000001</v>
      </c>
      <c r="D9" s="116"/>
      <c r="E9" s="116"/>
      <c r="F9" s="116"/>
      <c r="G9" s="116"/>
      <c r="H9" s="116"/>
      <c r="I9" s="116"/>
      <c r="J9" s="116"/>
      <c r="K9" s="116"/>
      <c r="M9" s="116"/>
      <c r="N9" s="116"/>
      <c r="O9" s="116"/>
    </row>
    <row r="10" spans="1:23" ht="14.5" customHeight="1" thickBot="1" x14ac:dyDescent="0.4">
      <c r="A10" s="116"/>
      <c r="B10" s="537" t="s">
        <v>753</v>
      </c>
      <c r="C10" s="728">
        <v>5.0000000000000001E-3</v>
      </c>
      <c r="D10" s="116"/>
      <c r="E10" s="116"/>
      <c r="F10" s="116"/>
      <c r="G10" s="116"/>
      <c r="H10" s="116"/>
      <c r="I10" s="116"/>
      <c r="J10" s="116"/>
      <c r="K10" s="116"/>
      <c r="M10" s="116"/>
      <c r="N10" s="116"/>
      <c r="O10" s="116"/>
    </row>
    <row r="11" spans="1:23" ht="15" thickBot="1" x14ac:dyDescent="0.4">
      <c r="M11" s="707" t="s">
        <v>2144</v>
      </c>
      <c r="N11" s="706"/>
      <c r="P11" t="s">
        <v>2123</v>
      </c>
      <c r="Q11" s="539"/>
      <c r="S11" s="539"/>
    </row>
    <row r="12" spans="1:23" ht="109.75" customHeight="1" thickBot="1" x14ac:dyDescent="0.4">
      <c r="A12" s="540" t="s">
        <v>754</v>
      </c>
      <c r="B12" s="541" t="s">
        <v>755</v>
      </c>
      <c r="C12" s="542" t="s">
        <v>2118</v>
      </c>
      <c r="D12" s="542" t="s">
        <v>756</v>
      </c>
      <c r="E12" s="542" t="s">
        <v>757</v>
      </c>
      <c r="F12" s="543" t="s">
        <v>2119</v>
      </c>
      <c r="G12" s="544" t="s">
        <v>758</v>
      </c>
      <c r="H12" s="545" t="s">
        <v>2130</v>
      </c>
      <c r="I12" s="679" t="s">
        <v>2122</v>
      </c>
      <c r="J12" s="679" t="s">
        <v>2143</v>
      </c>
      <c r="K12" s="694" t="s">
        <v>2125</v>
      </c>
      <c r="M12" s="704" t="s">
        <v>2129</v>
      </c>
      <c r="N12" s="705" t="s">
        <v>759</v>
      </c>
      <c r="P12" s="693" t="s">
        <v>749</v>
      </c>
      <c r="Q12" s="693" t="s">
        <v>760</v>
      </c>
      <c r="R12" s="693" t="s">
        <v>761</v>
      </c>
      <c r="S12" s="693" t="s">
        <v>762</v>
      </c>
      <c r="U12" s="711" t="s">
        <v>2126</v>
      </c>
      <c r="V12" s="712"/>
      <c r="W12" s="713"/>
    </row>
    <row r="13" spans="1:23" x14ac:dyDescent="0.35">
      <c r="A13" s="546">
        <v>2</v>
      </c>
      <c r="B13" s="547" t="s">
        <v>763</v>
      </c>
      <c r="C13" s="722">
        <f>HLOOKUP($C$6,$P$12:$S$42,2,FALSE)</f>
        <v>24465</v>
      </c>
      <c r="D13" s="684">
        <f>(C13-$C$7)*$C$8</f>
        <v>2919.75</v>
      </c>
      <c r="E13" s="684">
        <f t="shared" ref="E13:E45" si="0">C13*$C$9</f>
        <v>5817.777</v>
      </c>
      <c r="F13" s="685">
        <f t="shared" ref="F13:F48" si="1">C13*$C$10</f>
        <v>122.325</v>
      </c>
      <c r="G13" s="686">
        <f>SUM(C13:F13)</f>
        <v>33324.851999999999</v>
      </c>
      <c r="H13" s="695">
        <v>1560</v>
      </c>
      <c r="I13" s="680">
        <v>1</v>
      </c>
      <c r="J13" s="551">
        <f>H13*I13</f>
        <v>1560</v>
      </c>
      <c r="K13" s="696">
        <f t="shared" ref="K13:K48" si="2">ROUND(G13/J13,2)</f>
        <v>21.36</v>
      </c>
      <c r="M13" s="700">
        <v>0.41</v>
      </c>
      <c r="N13" s="548">
        <v>0.83</v>
      </c>
      <c r="P13" s="538">
        <v>24465</v>
      </c>
      <c r="Q13" s="251">
        <v>30074</v>
      </c>
      <c r="R13" s="251">
        <v>29179</v>
      </c>
      <c r="S13" s="251">
        <v>25768</v>
      </c>
      <c r="U13" s="146"/>
      <c r="W13" s="145"/>
    </row>
    <row r="14" spans="1:23" x14ac:dyDescent="0.35">
      <c r="A14" s="415">
        <v>2</v>
      </c>
      <c r="B14" s="409" t="s">
        <v>764</v>
      </c>
      <c r="C14" s="722">
        <f>HLOOKUP($C$6,$P$12:$S$42,3,FALSE)</f>
        <v>24465</v>
      </c>
      <c r="D14" s="687">
        <f t="shared" ref="D14:D48" si="3">(C14-$C$7)*$C$8</f>
        <v>2919.75</v>
      </c>
      <c r="E14" s="687">
        <f t="shared" si="0"/>
        <v>5817.777</v>
      </c>
      <c r="F14" s="688">
        <f t="shared" si="1"/>
        <v>122.325</v>
      </c>
      <c r="G14" s="686">
        <f>SUM(C14:F14)</f>
        <v>33324.851999999999</v>
      </c>
      <c r="H14" s="697">
        <v>1560</v>
      </c>
      <c r="I14" s="680">
        <v>1</v>
      </c>
      <c r="J14" s="551">
        <f t="shared" ref="J14:J48" si="4">H14*I14</f>
        <v>1560</v>
      </c>
      <c r="K14" s="696">
        <f t="shared" si="2"/>
        <v>21.36</v>
      </c>
      <c r="M14" s="701">
        <v>0.41</v>
      </c>
      <c r="N14" s="522">
        <v>0.83</v>
      </c>
      <c r="P14" s="538">
        <v>24465</v>
      </c>
      <c r="Q14" s="251">
        <v>30074</v>
      </c>
      <c r="R14" s="251">
        <v>29179</v>
      </c>
      <c r="S14" s="251">
        <v>25768</v>
      </c>
      <c r="U14" s="438" t="s">
        <v>765</v>
      </c>
      <c r="W14" s="145"/>
    </row>
    <row r="15" spans="1:23" x14ac:dyDescent="0.35">
      <c r="A15" s="415">
        <v>3</v>
      </c>
      <c r="B15" s="409" t="s">
        <v>766</v>
      </c>
      <c r="C15" s="722">
        <f>HLOOKUP($C$6,$P$12:$S$42,4,FALSE)</f>
        <v>24937</v>
      </c>
      <c r="D15" s="687">
        <f t="shared" si="3"/>
        <v>2990.5499999999997</v>
      </c>
      <c r="E15" s="687">
        <f t="shared" si="0"/>
        <v>5930.0186000000003</v>
      </c>
      <c r="F15" s="688">
        <f t="shared" si="1"/>
        <v>124.685</v>
      </c>
      <c r="G15" s="686">
        <f t="shared" ref="G15:G48" si="5">SUM(C15:F15)</f>
        <v>33982.253599999996</v>
      </c>
      <c r="H15" s="697">
        <v>1560</v>
      </c>
      <c r="I15" s="680">
        <v>1</v>
      </c>
      <c r="J15" s="551">
        <f t="shared" si="4"/>
        <v>1560</v>
      </c>
      <c r="K15" s="696">
        <f t="shared" si="2"/>
        <v>21.78</v>
      </c>
      <c r="M15" s="701">
        <v>0.35</v>
      </c>
      <c r="N15" s="522">
        <v>0.69</v>
      </c>
      <c r="P15" s="538">
        <v>24937</v>
      </c>
      <c r="Q15" s="251">
        <v>30546</v>
      </c>
      <c r="R15" s="251">
        <v>29651</v>
      </c>
      <c r="S15" s="251">
        <v>26240</v>
      </c>
      <c r="U15" s="439" t="s">
        <v>767</v>
      </c>
      <c r="V15" s="682">
        <v>260</v>
      </c>
      <c r="W15" s="145"/>
    </row>
    <row r="16" spans="1:23" x14ac:dyDescent="0.35">
      <c r="A16" s="415">
        <v>3</v>
      </c>
      <c r="B16" s="409" t="s">
        <v>768</v>
      </c>
      <c r="C16" s="722">
        <f>HLOOKUP($C$6,$P$12:$S$42,5,FALSE)</f>
        <v>26598</v>
      </c>
      <c r="D16" s="687">
        <f t="shared" si="3"/>
        <v>3239.7</v>
      </c>
      <c r="E16" s="687">
        <f t="shared" si="0"/>
        <v>6325.0044000000007</v>
      </c>
      <c r="F16" s="688">
        <f t="shared" si="1"/>
        <v>132.99</v>
      </c>
      <c r="G16" s="686">
        <f t="shared" si="5"/>
        <v>36295.6944</v>
      </c>
      <c r="H16" s="697">
        <v>1560</v>
      </c>
      <c r="I16" s="680">
        <v>1</v>
      </c>
      <c r="J16" s="551">
        <f t="shared" si="4"/>
        <v>1560</v>
      </c>
      <c r="K16" s="696">
        <f t="shared" si="2"/>
        <v>23.27</v>
      </c>
      <c r="M16" s="701">
        <v>0.35</v>
      </c>
      <c r="N16" s="522">
        <v>0.69</v>
      </c>
      <c r="P16" s="538">
        <v>26598</v>
      </c>
      <c r="Q16" s="251">
        <v>32207</v>
      </c>
      <c r="R16" s="251">
        <v>31312</v>
      </c>
      <c r="S16" s="251">
        <v>27928</v>
      </c>
      <c r="U16" s="439" t="s">
        <v>770</v>
      </c>
      <c r="V16" s="682">
        <v>-40</v>
      </c>
      <c r="W16" s="145"/>
    </row>
    <row r="17" spans="1:23" x14ac:dyDescent="0.35">
      <c r="A17" s="415">
        <v>4</v>
      </c>
      <c r="B17" s="409" t="s">
        <v>771</v>
      </c>
      <c r="C17" s="722">
        <f>HLOOKUP($C$6,$P$12:$S$42,6,FALSE)</f>
        <v>27485</v>
      </c>
      <c r="D17" s="687">
        <f t="shared" si="3"/>
        <v>3372.75</v>
      </c>
      <c r="E17" s="687">
        <f t="shared" si="0"/>
        <v>6535.933</v>
      </c>
      <c r="F17" s="688">
        <f t="shared" si="1"/>
        <v>137.42500000000001</v>
      </c>
      <c r="G17" s="686">
        <f t="shared" si="5"/>
        <v>37531.108</v>
      </c>
      <c r="H17" s="697">
        <v>1560</v>
      </c>
      <c r="I17" s="680">
        <v>1</v>
      </c>
      <c r="J17" s="551">
        <f t="shared" si="4"/>
        <v>1560</v>
      </c>
      <c r="K17" s="696">
        <f t="shared" si="2"/>
        <v>24.06</v>
      </c>
      <c r="M17" s="701">
        <v>0.3</v>
      </c>
      <c r="N17" s="522">
        <v>0.6</v>
      </c>
      <c r="P17" s="538">
        <v>27485</v>
      </c>
      <c r="Q17" s="251">
        <v>33094</v>
      </c>
      <c r="R17" s="251">
        <v>32199</v>
      </c>
      <c r="S17" s="251">
        <v>28860</v>
      </c>
      <c r="U17" s="439" t="s">
        <v>773</v>
      </c>
      <c r="V17" s="682">
        <v>-2</v>
      </c>
      <c r="W17" s="145"/>
    </row>
    <row r="18" spans="1:23" x14ac:dyDescent="0.35">
      <c r="A18" s="415">
        <v>4</v>
      </c>
      <c r="B18" s="409" t="s">
        <v>774</v>
      </c>
      <c r="C18" s="722">
        <f>HLOOKUP($C$6,$P$12:$S$42,7,FALSE)</f>
        <v>30162</v>
      </c>
      <c r="D18" s="687">
        <f t="shared" si="3"/>
        <v>3774.2999999999997</v>
      </c>
      <c r="E18" s="687">
        <f t="shared" si="0"/>
        <v>7172.5236000000004</v>
      </c>
      <c r="F18" s="688">
        <f t="shared" si="1"/>
        <v>150.81</v>
      </c>
      <c r="G18" s="686">
        <f t="shared" si="5"/>
        <v>41259.633600000001</v>
      </c>
      <c r="H18" s="697">
        <v>1560</v>
      </c>
      <c r="I18" s="680">
        <v>1</v>
      </c>
      <c r="J18" s="551">
        <f t="shared" si="4"/>
        <v>1560</v>
      </c>
      <c r="K18" s="696">
        <f t="shared" si="2"/>
        <v>26.45</v>
      </c>
      <c r="M18" s="701">
        <v>0.3</v>
      </c>
      <c r="N18" s="522">
        <v>0.6</v>
      </c>
      <c r="P18" s="538">
        <v>30162</v>
      </c>
      <c r="Q18" s="251">
        <v>36195</v>
      </c>
      <c r="R18" s="251">
        <v>34876</v>
      </c>
      <c r="S18" s="251">
        <v>31671</v>
      </c>
      <c r="U18" s="439" t="s">
        <v>776</v>
      </c>
      <c r="V18" s="682">
        <v>-10</v>
      </c>
      <c r="W18" s="145"/>
    </row>
    <row r="19" spans="1:23" x14ac:dyDescent="0.35">
      <c r="A19" s="415">
        <v>5</v>
      </c>
      <c r="B19" s="409" t="s">
        <v>777</v>
      </c>
      <c r="C19" s="722">
        <f>HLOOKUP($C$6,$P$12:$S$42,8,FALSE)</f>
        <v>31049</v>
      </c>
      <c r="D19" s="687">
        <f t="shared" si="3"/>
        <v>3907.35</v>
      </c>
      <c r="E19" s="687">
        <f t="shared" si="0"/>
        <v>7383.4522000000006</v>
      </c>
      <c r="F19" s="688">
        <f t="shared" si="1"/>
        <v>155.245</v>
      </c>
      <c r="G19" s="686">
        <f t="shared" si="5"/>
        <v>42495.047200000001</v>
      </c>
      <c r="H19" s="697">
        <v>1560</v>
      </c>
      <c r="I19" s="680">
        <v>1</v>
      </c>
      <c r="J19" s="551">
        <f t="shared" si="4"/>
        <v>1560</v>
      </c>
      <c r="K19" s="696">
        <f t="shared" si="2"/>
        <v>27.24</v>
      </c>
      <c r="M19" s="701">
        <v>0.3</v>
      </c>
      <c r="N19" s="522">
        <v>0.6</v>
      </c>
      <c r="P19" s="538">
        <v>31049</v>
      </c>
      <c r="Q19" s="251">
        <v>37259</v>
      </c>
      <c r="R19" s="251">
        <v>35763</v>
      </c>
      <c r="S19" s="251">
        <v>32602</v>
      </c>
      <c r="U19" s="439"/>
      <c r="V19" s="609">
        <v>208</v>
      </c>
      <c r="W19" s="145"/>
    </row>
    <row r="20" spans="1:23" x14ac:dyDescent="0.35">
      <c r="A20" s="415">
        <v>5</v>
      </c>
      <c r="B20" s="409" t="s">
        <v>778</v>
      </c>
      <c r="C20" s="722">
        <f>HLOOKUP($C$6,$P$12:$S$42,9,FALSE)</f>
        <v>33487</v>
      </c>
      <c r="D20" s="687">
        <f t="shared" si="3"/>
        <v>4273.05</v>
      </c>
      <c r="E20" s="687">
        <f t="shared" si="0"/>
        <v>7963.2085999999999</v>
      </c>
      <c r="F20" s="688">
        <f t="shared" si="1"/>
        <v>167.435</v>
      </c>
      <c r="G20" s="686">
        <f t="shared" si="5"/>
        <v>45890.693599999999</v>
      </c>
      <c r="H20" s="697">
        <v>1560</v>
      </c>
      <c r="I20" s="680">
        <v>1</v>
      </c>
      <c r="J20" s="551">
        <f t="shared" si="4"/>
        <v>1560</v>
      </c>
      <c r="K20" s="696">
        <f t="shared" si="2"/>
        <v>29.42</v>
      </c>
      <c r="M20" s="701">
        <v>0.3</v>
      </c>
      <c r="N20" s="522">
        <v>0.6</v>
      </c>
      <c r="P20" s="538">
        <v>33487</v>
      </c>
      <c r="Q20" s="251">
        <v>40185</v>
      </c>
      <c r="R20" s="251">
        <v>38511</v>
      </c>
      <c r="S20" s="251">
        <v>35162</v>
      </c>
      <c r="U20" s="439" t="s">
        <v>779</v>
      </c>
      <c r="V20" s="311">
        <f>7.5*V19</f>
        <v>1560</v>
      </c>
      <c r="W20" s="145"/>
    </row>
    <row r="21" spans="1:23" x14ac:dyDescent="0.35">
      <c r="A21" s="415">
        <v>5</v>
      </c>
      <c r="B21" s="409" t="s">
        <v>780</v>
      </c>
      <c r="C21" s="722">
        <f>HLOOKUP($C$6,$P$12:$S$42,10,FALSE)</f>
        <v>37796</v>
      </c>
      <c r="D21" s="687">
        <f t="shared" si="3"/>
        <v>4919.3999999999996</v>
      </c>
      <c r="E21" s="687">
        <f t="shared" si="0"/>
        <v>8987.8888000000006</v>
      </c>
      <c r="F21" s="688">
        <f t="shared" si="1"/>
        <v>188.98</v>
      </c>
      <c r="G21" s="686">
        <f t="shared" si="5"/>
        <v>51892.268800000005</v>
      </c>
      <c r="H21" s="697">
        <v>1560</v>
      </c>
      <c r="I21" s="680">
        <v>1</v>
      </c>
      <c r="J21" s="551">
        <f t="shared" si="4"/>
        <v>1560</v>
      </c>
      <c r="K21" s="696">
        <f t="shared" si="2"/>
        <v>33.26</v>
      </c>
      <c r="M21" s="701">
        <v>0.3</v>
      </c>
      <c r="N21" s="522">
        <v>0.6</v>
      </c>
      <c r="P21" s="538">
        <v>37796</v>
      </c>
      <c r="Q21" s="251">
        <v>45356</v>
      </c>
      <c r="R21" s="251">
        <v>43466</v>
      </c>
      <c r="S21" s="251">
        <v>39686</v>
      </c>
      <c r="U21" s="146"/>
      <c r="W21" s="145"/>
    </row>
    <row r="22" spans="1:23" x14ac:dyDescent="0.35">
      <c r="A22" s="415">
        <v>6</v>
      </c>
      <c r="B22" s="409" t="s">
        <v>781</v>
      </c>
      <c r="C22" s="722">
        <f>HLOOKUP($C$6,$P$12:$S$42,11,FALSE)</f>
        <v>38682</v>
      </c>
      <c r="D22" s="687">
        <f t="shared" si="3"/>
        <v>5052.3</v>
      </c>
      <c r="E22" s="687">
        <f t="shared" si="0"/>
        <v>9198.5796000000009</v>
      </c>
      <c r="F22" s="688">
        <f t="shared" si="1"/>
        <v>193.41</v>
      </c>
      <c r="G22" s="686">
        <f t="shared" si="5"/>
        <v>53126.289600000004</v>
      </c>
      <c r="H22" s="697">
        <v>1560</v>
      </c>
      <c r="I22" s="680">
        <v>1</v>
      </c>
      <c r="J22" s="551">
        <f t="shared" si="4"/>
        <v>1560</v>
      </c>
      <c r="K22" s="696">
        <f t="shared" si="2"/>
        <v>34.06</v>
      </c>
      <c r="M22" s="701">
        <v>0.3</v>
      </c>
      <c r="N22" s="522">
        <v>0.6</v>
      </c>
      <c r="P22" s="538">
        <v>38682</v>
      </c>
      <c r="Q22" s="251">
        <v>46419</v>
      </c>
      <c r="R22" s="251">
        <v>44485</v>
      </c>
      <c r="S22" s="251">
        <v>40617</v>
      </c>
      <c r="U22" s="439"/>
      <c r="W22" s="145"/>
    </row>
    <row r="23" spans="1:23" x14ac:dyDescent="0.35">
      <c r="A23" s="415">
        <v>6</v>
      </c>
      <c r="B23" s="409" t="s">
        <v>603</v>
      </c>
      <c r="C23" s="722">
        <f>HLOOKUP($C$6,$P$12:$S$42,12,FALSE)</f>
        <v>40823</v>
      </c>
      <c r="D23" s="687">
        <f t="shared" si="3"/>
        <v>5373.45</v>
      </c>
      <c r="E23" s="687">
        <f t="shared" si="0"/>
        <v>9707.7093999999997</v>
      </c>
      <c r="F23" s="688">
        <f t="shared" si="1"/>
        <v>204.11500000000001</v>
      </c>
      <c r="G23" s="686">
        <f t="shared" si="5"/>
        <v>56108.274399999995</v>
      </c>
      <c r="H23" s="697">
        <v>1560</v>
      </c>
      <c r="I23" s="680">
        <v>1</v>
      </c>
      <c r="J23" s="551">
        <f t="shared" si="4"/>
        <v>1560</v>
      </c>
      <c r="K23" s="696">
        <f t="shared" si="2"/>
        <v>35.97</v>
      </c>
      <c r="M23" s="701">
        <v>0.3</v>
      </c>
      <c r="N23" s="522">
        <v>0.6</v>
      </c>
      <c r="P23" s="538">
        <v>40823</v>
      </c>
      <c r="Q23" s="251">
        <v>48988</v>
      </c>
      <c r="R23" s="251">
        <v>46764</v>
      </c>
      <c r="S23" s="251">
        <v>42865</v>
      </c>
      <c r="U23" s="438" t="s">
        <v>782</v>
      </c>
      <c r="W23" s="145"/>
    </row>
    <row r="24" spans="1:23" x14ac:dyDescent="0.35">
      <c r="A24" s="415">
        <v>6</v>
      </c>
      <c r="B24" s="409" t="s">
        <v>783</v>
      </c>
      <c r="C24" s="722">
        <f>HLOOKUP($C$6,$P$12:$S$42,13,FALSE)</f>
        <v>46580</v>
      </c>
      <c r="D24" s="687">
        <f t="shared" si="3"/>
        <v>6237</v>
      </c>
      <c r="E24" s="687">
        <f t="shared" si="0"/>
        <v>11076.724</v>
      </c>
      <c r="F24" s="688">
        <f t="shared" si="1"/>
        <v>232.9</v>
      </c>
      <c r="G24" s="686">
        <f t="shared" si="5"/>
        <v>64126.624000000003</v>
      </c>
      <c r="H24" s="697">
        <v>1560</v>
      </c>
      <c r="I24" s="680">
        <v>1</v>
      </c>
      <c r="J24" s="551">
        <f t="shared" si="4"/>
        <v>1560</v>
      </c>
      <c r="K24" s="696">
        <f t="shared" si="2"/>
        <v>41.11</v>
      </c>
      <c r="M24" s="701">
        <v>0.3</v>
      </c>
      <c r="N24" s="522">
        <v>0.6</v>
      </c>
      <c r="P24" s="538">
        <v>46580</v>
      </c>
      <c r="Q24" s="251">
        <v>55046</v>
      </c>
      <c r="R24" s="251">
        <v>52521</v>
      </c>
      <c r="S24" s="251">
        <v>48778</v>
      </c>
      <c r="U24" s="439" t="s">
        <v>784</v>
      </c>
      <c r="V24" s="682">
        <v>43</v>
      </c>
      <c r="W24" s="145"/>
    </row>
    <row r="25" spans="1:23" x14ac:dyDescent="0.35">
      <c r="A25" s="415">
        <v>7</v>
      </c>
      <c r="B25" s="409" t="s">
        <v>785</v>
      </c>
      <c r="C25" s="722">
        <f>HLOOKUP($C$6,$P$12:$S$42,14,FALSE)</f>
        <v>47810</v>
      </c>
      <c r="D25" s="687">
        <f t="shared" si="3"/>
        <v>6421.5</v>
      </c>
      <c r="E25" s="687">
        <f t="shared" si="0"/>
        <v>11369.218000000001</v>
      </c>
      <c r="F25" s="688">
        <f t="shared" si="1"/>
        <v>239.05</v>
      </c>
      <c r="G25" s="686">
        <f t="shared" si="5"/>
        <v>65839.767999999996</v>
      </c>
      <c r="H25" s="697">
        <v>1560</v>
      </c>
      <c r="I25" s="680">
        <v>1</v>
      </c>
      <c r="J25" s="551">
        <f t="shared" si="4"/>
        <v>1560</v>
      </c>
      <c r="K25" s="696">
        <f t="shared" si="2"/>
        <v>42.2</v>
      </c>
      <c r="M25" s="701">
        <v>0.3</v>
      </c>
      <c r="N25" s="522">
        <v>0.6</v>
      </c>
      <c r="P25" s="538">
        <v>47810</v>
      </c>
      <c r="Q25" s="251">
        <v>56276</v>
      </c>
      <c r="R25" s="251">
        <v>53751</v>
      </c>
      <c r="S25" s="251">
        <v>50008</v>
      </c>
      <c r="U25" s="439" t="s">
        <v>786</v>
      </c>
      <c r="V25" s="682">
        <v>10</v>
      </c>
      <c r="W25" s="145"/>
    </row>
    <row r="26" spans="1:23" x14ac:dyDescent="0.35">
      <c r="A26" s="415">
        <v>7</v>
      </c>
      <c r="B26" s="409" t="s">
        <v>589</v>
      </c>
      <c r="C26" s="722">
        <f>HLOOKUP($C$6,$P$12:$S$42,15,FALSE)</f>
        <v>50273</v>
      </c>
      <c r="D26" s="687">
        <f t="shared" si="3"/>
        <v>6790.95</v>
      </c>
      <c r="E26" s="687">
        <f t="shared" si="0"/>
        <v>11954.919400000001</v>
      </c>
      <c r="F26" s="688">
        <f t="shared" si="1"/>
        <v>251.36500000000001</v>
      </c>
      <c r="G26" s="686">
        <f t="shared" si="5"/>
        <v>69270.234400000001</v>
      </c>
      <c r="H26" s="697">
        <v>1560</v>
      </c>
      <c r="I26" s="680">
        <v>1</v>
      </c>
      <c r="J26" s="551">
        <f t="shared" si="4"/>
        <v>1560</v>
      </c>
      <c r="K26" s="696">
        <f t="shared" si="2"/>
        <v>44.4</v>
      </c>
      <c r="M26" s="701">
        <v>0.3</v>
      </c>
      <c r="N26" s="522">
        <v>0.6</v>
      </c>
      <c r="P26" s="538">
        <v>50273</v>
      </c>
      <c r="Q26" s="251">
        <v>58739</v>
      </c>
      <c r="R26" s="251">
        <v>56214</v>
      </c>
      <c r="S26" s="251">
        <v>52471</v>
      </c>
      <c r="U26" s="439" t="s">
        <v>2127</v>
      </c>
      <c r="V26" s="682">
        <v>-2</v>
      </c>
      <c r="W26" s="145"/>
    </row>
    <row r="27" spans="1:23" x14ac:dyDescent="0.35">
      <c r="A27" s="415">
        <v>7</v>
      </c>
      <c r="B27" s="409" t="s">
        <v>787</v>
      </c>
      <c r="C27" s="722">
        <f>HLOOKUP($C$6,$P$12:$S$42,16,FALSE)</f>
        <v>54710</v>
      </c>
      <c r="D27" s="687">
        <f t="shared" si="3"/>
        <v>7456.5</v>
      </c>
      <c r="E27" s="687">
        <f t="shared" si="0"/>
        <v>13010.038</v>
      </c>
      <c r="F27" s="688">
        <f t="shared" si="1"/>
        <v>273.55</v>
      </c>
      <c r="G27" s="686">
        <f t="shared" si="5"/>
        <v>75450.088000000003</v>
      </c>
      <c r="H27" s="697">
        <v>1560</v>
      </c>
      <c r="I27" s="680">
        <v>1</v>
      </c>
      <c r="J27" s="551">
        <f t="shared" si="4"/>
        <v>1560</v>
      </c>
      <c r="K27" s="696">
        <f t="shared" si="2"/>
        <v>48.37</v>
      </c>
      <c r="M27" s="701">
        <v>0.3</v>
      </c>
      <c r="N27" s="522">
        <v>0.6</v>
      </c>
      <c r="P27" s="538">
        <v>54710</v>
      </c>
      <c r="Q27" s="251">
        <v>63176</v>
      </c>
      <c r="R27" s="251">
        <v>60651</v>
      </c>
      <c r="S27" s="251">
        <v>56908</v>
      </c>
      <c r="U27" s="439"/>
      <c r="V27" s="609">
        <v>8</v>
      </c>
      <c r="W27" s="145"/>
    </row>
    <row r="28" spans="1:23" x14ac:dyDescent="0.35">
      <c r="A28" s="415" t="s">
        <v>788</v>
      </c>
      <c r="B28" s="409" t="s">
        <v>595</v>
      </c>
      <c r="C28" s="722">
        <f>HLOOKUP($C$6,$P$12:$S$42,17,FALSE)</f>
        <v>55690</v>
      </c>
      <c r="D28" s="687">
        <f t="shared" si="3"/>
        <v>7603.5</v>
      </c>
      <c r="E28" s="687">
        <f t="shared" si="0"/>
        <v>13243.082</v>
      </c>
      <c r="F28" s="688">
        <f t="shared" si="1"/>
        <v>278.45</v>
      </c>
      <c r="G28" s="686">
        <f t="shared" si="5"/>
        <v>76815.031999999992</v>
      </c>
      <c r="H28" s="697">
        <v>1560</v>
      </c>
      <c r="I28" s="680">
        <v>1</v>
      </c>
      <c r="J28" s="551">
        <f t="shared" si="4"/>
        <v>1560</v>
      </c>
      <c r="K28" s="696">
        <f t="shared" si="2"/>
        <v>49.24</v>
      </c>
      <c r="M28" s="701">
        <v>0.3</v>
      </c>
      <c r="N28" s="522">
        <v>0.6</v>
      </c>
      <c r="P28" s="538">
        <v>55690</v>
      </c>
      <c r="Q28" s="251">
        <v>64156</v>
      </c>
      <c r="R28" s="251">
        <v>61631</v>
      </c>
      <c r="S28" s="251">
        <v>57888</v>
      </c>
      <c r="U28" s="439" t="s">
        <v>789</v>
      </c>
      <c r="V28" s="311">
        <f>V27*4*V24</f>
        <v>1376</v>
      </c>
      <c r="W28" s="145"/>
    </row>
    <row r="29" spans="1:23" x14ac:dyDescent="0.35">
      <c r="A29" s="415" t="s">
        <v>788</v>
      </c>
      <c r="B29" s="409" t="s">
        <v>606</v>
      </c>
      <c r="C29" s="722">
        <f>HLOOKUP($C$6,$P$12:$S$42,18,FALSE)</f>
        <v>58487</v>
      </c>
      <c r="D29" s="687">
        <f t="shared" si="3"/>
        <v>8023.0499999999993</v>
      </c>
      <c r="E29" s="687">
        <f t="shared" si="0"/>
        <v>13908.2086</v>
      </c>
      <c r="F29" s="688">
        <f t="shared" si="1"/>
        <v>292.435</v>
      </c>
      <c r="G29" s="686">
        <f t="shared" si="5"/>
        <v>80710.693599999999</v>
      </c>
      <c r="H29" s="697">
        <v>1560</v>
      </c>
      <c r="I29" s="680">
        <v>1</v>
      </c>
      <c r="J29" s="551">
        <f t="shared" si="4"/>
        <v>1560</v>
      </c>
      <c r="K29" s="696">
        <f t="shared" si="2"/>
        <v>51.74</v>
      </c>
      <c r="M29" s="701">
        <v>0.3</v>
      </c>
      <c r="N29" s="522">
        <v>0.6</v>
      </c>
      <c r="P29" s="538">
        <v>58487</v>
      </c>
      <c r="Q29" s="251">
        <v>66953</v>
      </c>
      <c r="R29" s="251">
        <v>64428</v>
      </c>
      <c r="S29" s="251">
        <v>60685</v>
      </c>
      <c r="U29" s="146"/>
      <c r="W29" s="145"/>
    </row>
    <row r="30" spans="1:23" x14ac:dyDescent="0.35">
      <c r="A30" s="415" t="s">
        <v>788</v>
      </c>
      <c r="B30" s="409" t="s">
        <v>790</v>
      </c>
      <c r="C30" s="722">
        <f>HLOOKUP($C$6,$P$12:$S$42,19,FALSE)</f>
        <v>62682</v>
      </c>
      <c r="D30" s="687">
        <f t="shared" si="3"/>
        <v>8652.2999999999993</v>
      </c>
      <c r="E30" s="687">
        <f t="shared" si="0"/>
        <v>14905.7796</v>
      </c>
      <c r="F30" s="688">
        <f t="shared" si="1"/>
        <v>313.41000000000003</v>
      </c>
      <c r="G30" s="686">
        <f t="shared" si="5"/>
        <v>86553.489600000001</v>
      </c>
      <c r="H30" s="697">
        <v>1560</v>
      </c>
      <c r="I30" s="680">
        <v>1</v>
      </c>
      <c r="J30" s="551">
        <f t="shared" si="4"/>
        <v>1560</v>
      </c>
      <c r="K30" s="696">
        <f t="shared" si="2"/>
        <v>55.48</v>
      </c>
      <c r="M30" s="701">
        <v>0.3</v>
      </c>
      <c r="N30" s="522">
        <v>0.6</v>
      </c>
      <c r="P30" s="538">
        <v>62682</v>
      </c>
      <c r="Q30" s="251">
        <v>71148</v>
      </c>
      <c r="R30" s="251">
        <v>68623</v>
      </c>
      <c r="S30" s="251">
        <v>64880</v>
      </c>
      <c r="U30" s="439"/>
      <c r="W30" s="145"/>
    </row>
    <row r="31" spans="1:23" x14ac:dyDescent="0.35">
      <c r="A31" s="415" t="s">
        <v>791</v>
      </c>
      <c r="B31" s="409" t="s">
        <v>792</v>
      </c>
      <c r="C31" s="722">
        <f>HLOOKUP($C$6,$P$12:$S$42,20,FALSE)</f>
        <v>64455</v>
      </c>
      <c r="D31" s="687">
        <f t="shared" si="3"/>
        <v>8918.25</v>
      </c>
      <c r="E31" s="687">
        <f t="shared" si="0"/>
        <v>15327.399000000001</v>
      </c>
      <c r="F31" s="688">
        <f t="shared" si="1"/>
        <v>322.27500000000003</v>
      </c>
      <c r="G31" s="686">
        <f t="shared" si="5"/>
        <v>89022.923999999999</v>
      </c>
      <c r="H31" s="697">
        <v>1560</v>
      </c>
      <c r="I31" s="680">
        <v>1</v>
      </c>
      <c r="J31" s="551">
        <f t="shared" si="4"/>
        <v>1560</v>
      </c>
      <c r="K31" s="696">
        <f t="shared" si="2"/>
        <v>57.07</v>
      </c>
      <c r="M31" s="701">
        <v>0.3</v>
      </c>
      <c r="N31" s="522">
        <v>0.6</v>
      </c>
      <c r="P31" s="538">
        <v>64455</v>
      </c>
      <c r="Q31" s="251">
        <v>72921</v>
      </c>
      <c r="R31" s="251">
        <v>70396</v>
      </c>
      <c r="S31" s="251">
        <v>66653</v>
      </c>
      <c r="U31" s="438" t="s">
        <v>794</v>
      </c>
      <c r="W31" s="145"/>
    </row>
    <row r="32" spans="1:23" x14ac:dyDescent="0.35">
      <c r="A32" s="415" t="s">
        <v>791</v>
      </c>
      <c r="B32" s="409" t="s">
        <v>793</v>
      </c>
      <c r="C32" s="722">
        <f>HLOOKUP($C$6,$P$12:$S$42,21,FALSE)</f>
        <v>68631</v>
      </c>
      <c r="D32" s="687">
        <f t="shared" si="3"/>
        <v>9544.65</v>
      </c>
      <c r="E32" s="687">
        <f t="shared" si="0"/>
        <v>16320.451800000001</v>
      </c>
      <c r="F32" s="688">
        <f t="shared" si="1"/>
        <v>343.15500000000003</v>
      </c>
      <c r="G32" s="686">
        <f t="shared" si="5"/>
        <v>94839.256799999988</v>
      </c>
      <c r="H32" s="697">
        <v>1560</v>
      </c>
      <c r="I32" s="680">
        <v>1</v>
      </c>
      <c r="J32" s="551">
        <f t="shared" si="4"/>
        <v>1560</v>
      </c>
      <c r="K32" s="696">
        <f t="shared" si="2"/>
        <v>60.79</v>
      </c>
      <c r="M32" s="701">
        <v>0.3</v>
      </c>
      <c r="N32" s="522">
        <v>0.6</v>
      </c>
      <c r="P32" s="538">
        <v>68631</v>
      </c>
      <c r="Q32" s="251">
        <v>77097</v>
      </c>
      <c r="R32" s="251">
        <v>74572</v>
      </c>
      <c r="S32" s="251">
        <v>70829</v>
      </c>
      <c r="U32" s="439" t="s">
        <v>796</v>
      </c>
      <c r="V32" s="682">
        <v>44.7</v>
      </c>
      <c r="W32" s="145"/>
    </row>
    <row r="33" spans="1:23" x14ac:dyDescent="0.35">
      <c r="A33" s="415" t="s">
        <v>791</v>
      </c>
      <c r="B33" s="409" t="s">
        <v>795</v>
      </c>
      <c r="C33" s="722">
        <f>HLOOKUP($C$6,$P$12:$S$42,22,FALSE)</f>
        <v>74896</v>
      </c>
      <c r="D33" s="687">
        <f t="shared" si="3"/>
        <v>10484.4</v>
      </c>
      <c r="E33" s="687">
        <f t="shared" si="0"/>
        <v>17810.268800000002</v>
      </c>
      <c r="F33" s="688">
        <f t="shared" si="1"/>
        <v>374.48</v>
      </c>
      <c r="G33" s="686">
        <f t="shared" si="5"/>
        <v>103565.1488</v>
      </c>
      <c r="H33" s="697">
        <v>1560</v>
      </c>
      <c r="I33" s="680">
        <v>1</v>
      </c>
      <c r="J33" s="551">
        <f t="shared" si="4"/>
        <v>1560</v>
      </c>
      <c r="K33" s="696">
        <f t="shared" si="2"/>
        <v>66.39</v>
      </c>
      <c r="M33" s="701">
        <v>0.3</v>
      </c>
      <c r="N33" s="522">
        <v>0.6</v>
      </c>
      <c r="P33" s="538">
        <v>74896</v>
      </c>
      <c r="Q33" s="251">
        <v>83362</v>
      </c>
      <c r="R33" s="251">
        <v>80837</v>
      </c>
      <c r="S33" s="251">
        <v>77094</v>
      </c>
      <c r="U33" s="439" t="s">
        <v>799</v>
      </c>
      <c r="V33" s="682">
        <v>48</v>
      </c>
      <c r="W33" s="145"/>
    </row>
    <row r="34" spans="1:23" x14ac:dyDescent="0.35">
      <c r="A34" s="415" t="s">
        <v>797</v>
      </c>
      <c r="B34" s="409" t="s">
        <v>798</v>
      </c>
      <c r="C34" s="722">
        <f>HLOOKUP($C$6,$P$12:$S$42,23,FALSE)</f>
        <v>76965</v>
      </c>
      <c r="D34" s="687">
        <f t="shared" si="3"/>
        <v>10794.75</v>
      </c>
      <c r="E34" s="687">
        <f t="shared" si="0"/>
        <v>18302.277000000002</v>
      </c>
      <c r="F34" s="688">
        <f t="shared" si="1"/>
        <v>384.82499999999999</v>
      </c>
      <c r="G34" s="686">
        <f t="shared" si="5"/>
        <v>106446.852</v>
      </c>
      <c r="H34" s="697">
        <v>1560</v>
      </c>
      <c r="I34" s="680">
        <v>1</v>
      </c>
      <c r="J34" s="551">
        <f t="shared" si="4"/>
        <v>1560</v>
      </c>
      <c r="K34" s="696">
        <f t="shared" si="2"/>
        <v>68.239999999999995</v>
      </c>
      <c r="M34" s="701">
        <v>0.3</v>
      </c>
      <c r="N34" s="522">
        <v>0.6</v>
      </c>
      <c r="P34" s="538">
        <v>76965</v>
      </c>
      <c r="Q34" s="251">
        <v>85431</v>
      </c>
      <c r="R34" s="251">
        <v>82906</v>
      </c>
      <c r="S34" s="251">
        <v>79163</v>
      </c>
      <c r="U34" s="439" t="s">
        <v>801</v>
      </c>
      <c r="V34" s="682">
        <v>2145.6</v>
      </c>
      <c r="W34" s="145"/>
    </row>
    <row r="35" spans="1:23" x14ac:dyDescent="0.35">
      <c r="A35" s="415" t="s">
        <v>797</v>
      </c>
      <c r="B35" s="409" t="s">
        <v>800</v>
      </c>
      <c r="C35" s="722">
        <f>HLOOKUP($C$6,$P$12:$S$42,24,FALSE)</f>
        <v>81652</v>
      </c>
      <c r="D35" s="687">
        <f t="shared" si="3"/>
        <v>11497.8</v>
      </c>
      <c r="E35" s="687">
        <f t="shared" si="0"/>
        <v>19416.845600000001</v>
      </c>
      <c r="F35" s="688">
        <f t="shared" si="1"/>
        <v>408.26</v>
      </c>
      <c r="G35" s="686">
        <f t="shared" si="5"/>
        <v>112974.9056</v>
      </c>
      <c r="H35" s="697">
        <v>1560</v>
      </c>
      <c r="I35" s="680">
        <v>1</v>
      </c>
      <c r="J35" s="551">
        <f t="shared" si="4"/>
        <v>1560</v>
      </c>
      <c r="K35" s="696">
        <f t="shared" si="2"/>
        <v>72.42</v>
      </c>
      <c r="M35" s="701">
        <v>0.3</v>
      </c>
      <c r="N35" s="522">
        <v>0.6</v>
      </c>
      <c r="P35" s="538">
        <v>81652</v>
      </c>
      <c r="Q35" s="251">
        <v>90118</v>
      </c>
      <c r="R35" s="251">
        <v>87593</v>
      </c>
      <c r="S35" s="251">
        <v>83850</v>
      </c>
      <c r="U35" s="439" t="s">
        <v>2128</v>
      </c>
      <c r="V35" s="683">
        <v>0.6</v>
      </c>
      <c r="W35" s="145"/>
    </row>
    <row r="36" spans="1:23" x14ac:dyDescent="0.35">
      <c r="A36" s="415" t="s">
        <v>797</v>
      </c>
      <c r="B36" s="409" t="s">
        <v>802</v>
      </c>
      <c r="C36" s="722">
        <f>HLOOKUP($C$6,$P$12:$S$42,25,FALSE)</f>
        <v>88682</v>
      </c>
      <c r="D36" s="687">
        <f t="shared" si="3"/>
        <v>12552.3</v>
      </c>
      <c r="E36" s="687">
        <f t="shared" si="0"/>
        <v>21088.579600000001</v>
      </c>
      <c r="F36" s="688">
        <f t="shared" si="1"/>
        <v>443.41</v>
      </c>
      <c r="G36" s="686">
        <f t="shared" si="5"/>
        <v>122766.2896</v>
      </c>
      <c r="H36" s="697">
        <v>1560</v>
      </c>
      <c r="I36" s="680">
        <v>1</v>
      </c>
      <c r="J36" s="551">
        <f t="shared" si="4"/>
        <v>1560</v>
      </c>
      <c r="K36" s="696">
        <f t="shared" si="2"/>
        <v>78.7</v>
      </c>
      <c r="M36" s="701">
        <v>0.3</v>
      </c>
      <c r="N36" s="522">
        <v>0.6</v>
      </c>
      <c r="P36" s="538">
        <v>88682</v>
      </c>
      <c r="Q36" s="251">
        <v>97148</v>
      </c>
      <c r="R36" s="251">
        <v>94623</v>
      </c>
      <c r="S36" s="251">
        <v>90880</v>
      </c>
      <c r="U36" s="439" t="s">
        <v>805</v>
      </c>
      <c r="V36" s="671">
        <f>ROUND(V35*V34,0)</f>
        <v>1287</v>
      </c>
      <c r="W36" s="145"/>
    </row>
    <row r="37" spans="1:23" x14ac:dyDescent="0.35">
      <c r="A37" s="415" t="s">
        <v>803</v>
      </c>
      <c r="B37" s="409" t="s">
        <v>804</v>
      </c>
      <c r="C37" s="722">
        <f>HLOOKUP($C$6,$P$12:$S$42,26,FALSE)</f>
        <v>91342</v>
      </c>
      <c r="D37" s="687">
        <f t="shared" si="3"/>
        <v>12951.3</v>
      </c>
      <c r="E37" s="687">
        <f t="shared" si="0"/>
        <v>21721.1276</v>
      </c>
      <c r="F37" s="688">
        <f t="shared" si="1"/>
        <v>456.71000000000004</v>
      </c>
      <c r="G37" s="686">
        <f t="shared" si="5"/>
        <v>126471.1376</v>
      </c>
      <c r="H37" s="697">
        <v>1560</v>
      </c>
      <c r="I37" s="680">
        <v>1</v>
      </c>
      <c r="J37" s="551">
        <f t="shared" si="4"/>
        <v>1560</v>
      </c>
      <c r="K37" s="696">
        <f t="shared" si="2"/>
        <v>81.069999999999993</v>
      </c>
      <c r="M37" s="701">
        <v>0.3</v>
      </c>
      <c r="N37" s="522">
        <v>0.6</v>
      </c>
      <c r="P37" s="538">
        <v>91342</v>
      </c>
      <c r="Q37" s="251">
        <v>99808</v>
      </c>
      <c r="R37" s="251">
        <v>97283</v>
      </c>
      <c r="S37" s="251">
        <v>93540</v>
      </c>
      <c r="U37" s="147"/>
      <c r="V37" s="148"/>
      <c r="W37" s="149"/>
    </row>
    <row r="38" spans="1:23" x14ac:dyDescent="0.35">
      <c r="A38" s="415" t="s">
        <v>803</v>
      </c>
      <c r="B38" s="409" t="s">
        <v>806</v>
      </c>
      <c r="C38" s="722">
        <f>HLOOKUP($C$6,$P$12:$S$42,27,FALSE)</f>
        <v>96941</v>
      </c>
      <c r="D38" s="687">
        <f t="shared" si="3"/>
        <v>13791.15</v>
      </c>
      <c r="E38" s="687">
        <f t="shared" si="0"/>
        <v>23052.569800000001</v>
      </c>
      <c r="F38" s="688">
        <f t="shared" si="1"/>
        <v>484.70499999999998</v>
      </c>
      <c r="G38" s="686">
        <f t="shared" si="5"/>
        <v>134269.42479999998</v>
      </c>
      <c r="H38" s="697">
        <v>1560</v>
      </c>
      <c r="I38" s="680">
        <v>1</v>
      </c>
      <c r="J38" s="551">
        <f t="shared" si="4"/>
        <v>1560</v>
      </c>
      <c r="K38" s="696">
        <f t="shared" si="2"/>
        <v>86.07</v>
      </c>
      <c r="M38" s="701">
        <v>0.3</v>
      </c>
      <c r="N38" s="522">
        <v>0.6</v>
      </c>
      <c r="P38" s="538">
        <v>96941</v>
      </c>
      <c r="Q38" s="251">
        <v>105407</v>
      </c>
      <c r="R38" s="251">
        <v>102882</v>
      </c>
      <c r="S38" s="251">
        <v>99139</v>
      </c>
    </row>
    <row r="39" spans="1:23" x14ac:dyDescent="0.35">
      <c r="A39" s="415" t="s">
        <v>803</v>
      </c>
      <c r="B39" s="409" t="s">
        <v>807</v>
      </c>
      <c r="C39" s="722">
        <f>HLOOKUP($C$6,$P$12:$S$42,28,FALSE)</f>
        <v>105337</v>
      </c>
      <c r="D39" s="687">
        <f t="shared" si="3"/>
        <v>15050.55</v>
      </c>
      <c r="E39" s="687">
        <f t="shared" si="0"/>
        <v>25049.138600000002</v>
      </c>
      <c r="F39" s="688">
        <f t="shared" si="1"/>
        <v>526.68500000000006</v>
      </c>
      <c r="G39" s="686">
        <f t="shared" si="5"/>
        <v>145963.37359999999</v>
      </c>
      <c r="H39" s="697">
        <v>1560</v>
      </c>
      <c r="I39" s="680">
        <v>1</v>
      </c>
      <c r="J39" s="551">
        <f t="shared" si="4"/>
        <v>1560</v>
      </c>
      <c r="K39" s="696">
        <f t="shared" si="2"/>
        <v>93.57</v>
      </c>
      <c r="M39" s="701">
        <v>0.3</v>
      </c>
      <c r="N39" s="522">
        <v>0.6</v>
      </c>
      <c r="P39" s="538">
        <v>105337</v>
      </c>
      <c r="Q39" s="251">
        <v>113803</v>
      </c>
      <c r="R39" s="251">
        <v>111278</v>
      </c>
      <c r="S39" s="251">
        <v>107535</v>
      </c>
    </row>
    <row r="40" spans="1:23" x14ac:dyDescent="0.35">
      <c r="A40" s="415">
        <v>9</v>
      </c>
      <c r="B40" s="409" t="s">
        <v>808</v>
      </c>
      <c r="C40" s="722">
        <f>HLOOKUP($C$6,$P$12:$S$42,29,FALSE)</f>
        <v>109179</v>
      </c>
      <c r="D40" s="687">
        <f t="shared" si="3"/>
        <v>15626.849999999999</v>
      </c>
      <c r="E40" s="687">
        <f t="shared" si="0"/>
        <v>25962.766200000002</v>
      </c>
      <c r="F40" s="688">
        <f t="shared" si="1"/>
        <v>545.89499999999998</v>
      </c>
      <c r="G40" s="686">
        <f t="shared" si="5"/>
        <v>151314.51120000001</v>
      </c>
      <c r="H40" s="697">
        <v>1560</v>
      </c>
      <c r="I40" s="680">
        <v>1</v>
      </c>
      <c r="J40" s="551">
        <f t="shared" si="4"/>
        <v>1560</v>
      </c>
      <c r="K40" s="696">
        <f t="shared" si="2"/>
        <v>97</v>
      </c>
      <c r="M40" s="701">
        <v>0.3</v>
      </c>
      <c r="N40" s="522">
        <v>0.6</v>
      </c>
      <c r="P40" s="538">
        <v>109179</v>
      </c>
      <c r="Q40" s="251">
        <v>117645</v>
      </c>
      <c r="R40" s="251">
        <v>115120</v>
      </c>
      <c r="S40" s="251">
        <v>111377</v>
      </c>
    </row>
    <row r="41" spans="1:23" x14ac:dyDescent="0.35">
      <c r="A41" s="415">
        <v>9</v>
      </c>
      <c r="B41" s="409" t="s">
        <v>809</v>
      </c>
      <c r="C41" s="722">
        <f>HLOOKUP($C$6,$P$12:$S$42,30,FALSE)</f>
        <v>115763</v>
      </c>
      <c r="D41" s="687">
        <f t="shared" si="3"/>
        <v>16614.45</v>
      </c>
      <c r="E41" s="687">
        <f t="shared" si="0"/>
        <v>27528.4414</v>
      </c>
      <c r="F41" s="688">
        <f t="shared" si="1"/>
        <v>578.81500000000005</v>
      </c>
      <c r="G41" s="686">
        <f t="shared" si="5"/>
        <v>160484.70640000002</v>
      </c>
      <c r="H41" s="697">
        <v>1560</v>
      </c>
      <c r="I41" s="680">
        <v>1</v>
      </c>
      <c r="J41" s="551">
        <f t="shared" si="4"/>
        <v>1560</v>
      </c>
      <c r="K41" s="696">
        <f t="shared" si="2"/>
        <v>102.87</v>
      </c>
      <c r="M41" s="701">
        <v>0.3</v>
      </c>
      <c r="N41" s="522">
        <v>0.6</v>
      </c>
      <c r="P41" s="538">
        <v>115763</v>
      </c>
      <c r="Q41" s="251">
        <v>124229</v>
      </c>
      <c r="R41" s="251">
        <v>121704</v>
      </c>
      <c r="S41" s="251">
        <v>117961</v>
      </c>
    </row>
    <row r="42" spans="1:23" x14ac:dyDescent="0.35">
      <c r="A42" s="415">
        <v>9</v>
      </c>
      <c r="B42" s="409" t="s">
        <v>810</v>
      </c>
      <c r="C42" s="722">
        <f>HLOOKUP($C$6,$P$12:$S$42,31,FALSE)</f>
        <v>125637</v>
      </c>
      <c r="D42" s="687">
        <f t="shared" si="3"/>
        <v>18095.55</v>
      </c>
      <c r="E42" s="687">
        <f t="shared" si="0"/>
        <v>29876.478600000002</v>
      </c>
      <c r="F42" s="688">
        <f t="shared" si="1"/>
        <v>628.18500000000006</v>
      </c>
      <c r="G42" s="686">
        <f t="shared" si="5"/>
        <v>174237.21359999999</v>
      </c>
      <c r="H42" s="697">
        <v>1560</v>
      </c>
      <c r="I42" s="680">
        <v>1</v>
      </c>
      <c r="J42" s="551">
        <f t="shared" si="4"/>
        <v>1560</v>
      </c>
      <c r="K42" s="696">
        <f t="shared" si="2"/>
        <v>111.69</v>
      </c>
      <c r="M42" s="701">
        <v>0.3</v>
      </c>
      <c r="N42" s="522">
        <v>0.6</v>
      </c>
      <c r="P42" s="538">
        <v>125637</v>
      </c>
      <c r="Q42" s="251">
        <v>134103</v>
      </c>
      <c r="R42" s="251">
        <v>131578</v>
      </c>
      <c r="S42" s="251">
        <v>127835</v>
      </c>
    </row>
    <row r="43" spans="1:23" x14ac:dyDescent="0.35">
      <c r="A43" s="415" t="s">
        <v>794</v>
      </c>
      <c r="B43" s="136" t="s">
        <v>811</v>
      </c>
      <c r="C43" s="722">
        <v>76038</v>
      </c>
      <c r="D43" s="687">
        <f t="shared" si="3"/>
        <v>10655.699999999999</v>
      </c>
      <c r="E43" s="687">
        <f t="shared" si="0"/>
        <v>18081.8364</v>
      </c>
      <c r="F43" s="688">
        <f t="shared" si="1"/>
        <v>380.19</v>
      </c>
      <c r="G43" s="686">
        <f t="shared" si="5"/>
        <v>105155.7264</v>
      </c>
      <c r="H43" s="697">
        <f>V34</f>
        <v>2145.6</v>
      </c>
      <c r="I43" s="680">
        <f>V35</f>
        <v>0.6</v>
      </c>
      <c r="J43" s="551">
        <f t="shared" si="4"/>
        <v>1287.3599999999999</v>
      </c>
      <c r="K43" s="696">
        <f t="shared" si="2"/>
        <v>81.680000000000007</v>
      </c>
      <c r="M43" s="702">
        <v>0</v>
      </c>
      <c r="N43" s="523">
        <v>0</v>
      </c>
    </row>
    <row r="44" spans="1:23" x14ac:dyDescent="0.35">
      <c r="A44" s="415" t="s">
        <v>794</v>
      </c>
      <c r="B44" s="136" t="s">
        <v>812</v>
      </c>
      <c r="C44" s="722">
        <v>95390</v>
      </c>
      <c r="D44" s="687">
        <f t="shared" si="3"/>
        <v>13558.5</v>
      </c>
      <c r="E44" s="687">
        <f t="shared" si="0"/>
        <v>22683.742000000002</v>
      </c>
      <c r="F44" s="688">
        <f t="shared" si="1"/>
        <v>476.95</v>
      </c>
      <c r="G44" s="686">
        <f t="shared" si="5"/>
        <v>132109.19200000001</v>
      </c>
      <c r="H44" s="697">
        <f>V34</f>
        <v>2145.6</v>
      </c>
      <c r="I44" s="680">
        <f>V35</f>
        <v>0.6</v>
      </c>
      <c r="J44" s="551">
        <f t="shared" si="4"/>
        <v>1287.3599999999999</v>
      </c>
      <c r="K44" s="696">
        <f t="shared" si="2"/>
        <v>102.62</v>
      </c>
      <c r="M44" s="702">
        <v>0</v>
      </c>
      <c r="N44" s="523">
        <v>0</v>
      </c>
    </row>
    <row r="45" spans="1:23" x14ac:dyDescent="0.35">
      <c r="A45" s="549" t="s">
        <v>794</v>
      </c>
      <c r="B45" s="550" t="s">
        <v>2149</v>
      </c>
      <c r="C45" s="722">
        <v>114743</v>
      </c>
      <c r="D45" s="687">
        <f t="shared" si="3"/>
        <v>16461.45</v>
      </c>
      <c r="E45" s="687">
        <f t="shared" si="0"/>
        <v>27285.885400000003</v>
      </c>
      <c r="F45" s="688">
        <f t="shared" si="1"/>
        <v>573.71500000000003</v>
      </c>
      <c r="G45" s="686">
        <f t="shared" si="5"/>
        <v>159064.05040000001</v>
      </c>
      <c r="H45" s="697">
        <f>V34</f>
        <v>2145.6</v>
      </c>
      <c r="I45" s="680">
        <f>V35</f>
        <v>0.6</v>
      </c>
      <c r="J45" s="551">
        <f t="shared" si="4"/>
        <v>1287.3599999999999</v>
      </c>
      <c r="K45" s="696">
        <f t="shared" si="2"/>
        <v>123.56</v>
      </c>
      <c r="M45" s="702">
        <v>0</v>
      </c>
      <c r="N45" s="523">
        <v>0</v>
      </c>
    </row>
    <row r="46" spans="1:23" x14ac:dyDescent="0.35">
      <c r="A46" s="415" t="s">
        <v>782</v>
      </c>
      <c r="B46" s="136" t="s">
        <v>813</v>
      </c>
      <c r="C46" s="723">
        <v>109724.16</v>
      </c>
      <c r="D46" s="687">
        <f t="shared" si="3"/>
        <v>15708.624</v>
      </c>
      <c r="E46" s="687">
        <f>C46*$C$9</f>
        <v>26092.405248000003</v>
      </c>
      <c r="F46" s="688">
        <f t="shared" si="1"/>
        <v>548.62080000000003</v>
      </c>
      <c r="G46" s="686">
        <f t="shared" si="5"/>
        <v>152073.81004800001</v>
      </c>
      <c r="H46" s="697">
        <f>V24*V25*4</f>
        <v>1720</v>
      </c>
      <c r="I46" s="680">
        <f>V27/V25</f>
        <v>0.8</v>
      </c>
      <c r="J46" s="551">
        <f t="shared" si="4"/>
        <v>1376</v>
      </c>
      <c r="K46" s="696">
        <f t="shared" si="2"/>
        <v>110.52</v>
      </c>
      <c r="M46" s="702">
        <v>0</v>
      </c>
      <c r="N46" s="523">
        <v>0</v>
      </c>
    </row>
    <row r="47" spans="1:23" x14ac:dyDescent="0.35">
      <c r="A47" s="415" t="s">
        <v>782</v>
      </c>
      <c r="B47" s="136" t="s">
        <v>585</v>
      </c>
      <c r="C47" s="723">
        <v>126431.136</v>
      </c>
      <c r="D47" s="687">
        <f t="shared" si="3"/>
        <v>18214.670399999999</v>
      </c>
      <c r="E47" s="687">
        <f>C47*$C$9</f>
        <v>30065.324140799999</v>
      </c>
      <c r="F47" s="688">
        <f t="shared" si="1"/>
        <v>632.15567999999996</v>
      </c>
      <c r="G47" s="686">
        <f t="shared" si="5"/>
        <v>175343.28622079999</v>
      </c>
      <c r="H47" s="697">
        <f>H46</f>
        <v>1720</v>
      </c>
      <c r="I47" s="680">
        <f>I46</f>
        <v>0.8</v>
      </c>
      <c r="J47" s="551">
        <f t="shared" si="4"/>
        <v>1376</v>
      </c>
      <c r="K47" s="696">
        <f t="shared" si="2"/>
        <v>127.43</v>
      </c>
      <c r="M47" s="702">
        <v>0</v>
      </c>
      <c r="N47" s="523">
        <v>0</v>
      </c>
    </row>
    <row r="48" spans="1:23" ht="15" thickBot="1" x14ac:dyDescent="0.4">
      <c r="A48" s="416" t="s">
        <v>782</v>
      </c>
      <c r="B48" s="410" t="s">
        <v>814</v>
      </c>
      <c r="C48" s="724">
        <v>145477.28</v>
      </c>
      <c r="D48" s="689">
        <f t="shared" si="3"/>
        <v>21071.592000000001</v>
      </c>
      <c r="E48" s="689">
        <f>C48*$C$9</f>
        <v>34594.497184</v>
      </c>
      <c r="F48" s="690">
        <f t="shared" si="1"/>
        <v>727.38639999999998</v>
      </c>
      <c r="G48" s="691">
        <f t="shared" si="5"/>
        <v>201870.755584</v>
      </c>
      <c r="H48" s="698">
        <f>H46</f>
        <v>1720</v>
      </c>
      <c r="I48" s="681">
        <f>I46</f>
        <v>0.8</v>
      </c>
      <c r="J48" s="552">
        <f t="shared" si="4"/>
        <v>1376</v>
      </c>
      <c r="K48" s="699">
        <f t="shared" si="2"/>
        <v>146.71</v>
      </c>
      <c r="M48" s="703">
        <v>0</v>
      </c>
      <c r="N48" s="524">
        <v>0</v>
      </c>
    </row>
    <row r="97" ht="23.5" customHeight="1" x14ac:dyDescent="0.35"/>
    <row r="98" ht="55.75" customHeight="1" x14ac:dyDescent="0.35"/>
    <row r="99" ht="23.5" customHeight="1" x14ac:dyDescent="0.35"/>
    <row r="100" ht="23.5" customHeight="1" x14ac:dyDescent="0.35"/>
    <row r="101" ht="23.5" customHeight="1" x14ac:dyDescent="0.35"/>
    <row r="102" ht="23.5" customHeight="1" x14ac:dyDescent="0.35"/>
    <row r="103" ht="23.5" customHeight="1" x14ac:dyDescent="0.35"/>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19"/>
  <sheetViews>
    <sheetView showGridLines="0" tabSelected="1" topLeftCell="A5" zoomScale="80" zoomScaleNormal="80" zoomScaleSheetLayoutView="80" workbookViewId="0">
      <selection activeCell="A20" sqref="A20"/>
    </sheetView>
  </sheetViews>
  <sheetFormatPr defaultRowHeight="14.5" x14ac:dyDescent="0.35"/>
  <cols>
    <col min="1" max="1" width="32.453125" customWidth="1"/>
    <col min="2" max="2" width="78.1796875" customWidth="1"/>
    <col min="3" max="3" width="1.453125" customWidth="1"/>
    <col min="8" max="8" width="31" customWidth="1"/>
  </cols>
  <sheetData>
    <row r="1" spans="1:2" x14ac:dyDescent="0.35">
      <c r="A1" s="157"/>
      <c r="B1" s="580"/>
    </row>
    <row r="2" spans="1:2" x14ac:dyDescent="0.35">
      <c r="A2" s="611"/>
      <c r="B2" s="616"/>
    </row>
    <row r="3" spans="1:2" ht="31" x14ac:dyDescent="0.7">
      <c r="A3" s="612" t="s">
        <v>507</v>
      </c>
      <c r="B3" s="616"/>
    </row>
    <row r="4" spans="1:2" x14ac:dyDescent="0.35">
      <c r="A4" s="611"/>
      <c r="B4" s="616"/>
    </row>
    <row r="5" spans="1:2" x14ac:dyDescent="0.35">
      <c r="A5" s="146"/>
      <c r="B5" s="145"/>
    </row>
    <row r="6" spans="1:2" ht="31" x14ac:dyDescent="0.7">
      <c r="A6" s="613" t="s">
        <v>508</v>
      </c>
      <c r="B6" s="145"/>
    </row>
    <row r="7" spans="1:2" ht="31" x14ac:dyDescent="0.35">
      <c r="A7" s="614" t="s">
        <v>2220</v>
      </c>
      <c r="B7" s="145"/>
    </row>
    <row r="8" spans="1:2" ht="31" x14ac:dyDescent="0.35">
      <c r="A8" s="614" t="s">
        <v>2221</v>
      </c>
      <c r="B8" s="145"/>
    </row>
    <row r="9" spans="1:2" ht="31" x14ac:dyDescent="0.35">
      <c r="A9" s="614"/>
      <c r="B9" s="145"/>
    </row>
    <row r="10" spans="1:2" ht="26" x14ac:dyDescent="0.6">
      <c r="A10" s="615" t="s">
        <v>2271</v>
      </c>
      <c r="B10" s="145"/>
    </row>
    <row r="11" spans="1:2" x14ac:dyDescent="0.35">
      <c r="A11" s="146"/>
      <c r="B11" s="145"/>
    </row>
    <row r="12" spans="1:2" ht="31" x14ac:dyDescent="0.35">
      <c r="A12" s="855" t="s">
        <v>2270</v>
      </c>
      <c r="B12" s="145"/>
    </row>
    <row r="13" spans="1:2" x14ac:dyDescent="0.35">
      <c r="A13" s="146"/>
      <c r="B13" s="145"/>
    </row>
    <row r="14" spans="1:2" x14ac:dyDescent="0.35">
      <c r="A14" s="146"/>
      <c r="B14" s="149"/>
    </row>
    <row r="15" spans="1:2" x14ac:dyDescent="0.35">
      <c r="A15" s="208" t="s">
        <v>509</v>
      </c>
      <c r="B15" s="136" t="s">
        <v>2224</v>
      </c>
    </row>
    <row r="16" spans="1:2" x14ac:dyDescent="0.35">
      <c r="A16" s="208" t="s">
        <v>510</v>
      </c>
      <c r="B16" s="136" t="s">
        <v>2232</v>
      </c>
    </row>
    <row r="17" spans="1:2" x14ac:dyDescent="0.35">
      <c r="A17" s="208" t="s">
        <v>511</v>
      </c>
      <c r="B17" s="136" t="s">
        <v>2222</v>
      </c>
    </row>
    <row r="18" spans="1:2" x14ac:dyDescent="0.35">
      <c r="A18" s="208" t="s">
        <v>512</v>
      </c>
      <c r="B18" s="136" t="s">
        <v>2223</v>
      </c>
    </row>
    <row r="19" spans="1:2" x14ac:dyDescent="0.35">
      <c r="A19" s="147"/>
      <c r="B19"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30" t="s">
        <v>513</v>
      </c>
      <c r="C2" s="328"/>
      <c r="D2" s="328"/>
      <c r="E2" s="328"/>
      <c r="F2" s="328"/>
      <c r="G2" s="328"/>
      <c r="H2" s="328"/>
      <c r="I2" s="328"/>
      <c r="J2" s="328"/>
      <c r="K2" s="328"/>
      <c r="L2" s="328"/>
      <c r="M2" s="328"/>
      <c r="N2" s="328"/>
      <c r="O2" s="328"/>
      <c r="P2" s="328"/>
      <c r="Q2" s="328"/>
      <c r="R2" s="328"/>
      <c r="S2" s="328"/>
      <c r="T2" s="329"/>
    </row>
    <row r="4" spans="2:21" x14ac:dyDescent="0.35">
      <c r="B4" s="199" t="s">
        <v>514</v>
      </c>
      <c r="C4" s="635"/>
      <c r="D4" s="635"/>
      <c r="E4" s="635"/>
      <c r="F4" s="635"/>
      <c r="G4" s="635"/>
      <c r="H4" s="635"/>
      <c r="I4" s="635"/>
      <c r="J4" s="635"/>
      <c r="K4" s="635"/>
      <c r="L4" s="635"/>
      <c r="M4" s="635"/>
      <c r="N4" s="635"/>
      <c r="O4" s="635"/>
      <c r="P4" s="635"/>
      <c r="Q4" s="635"/>
      <c r="R4" s="635"/>
      <c r="S4" s="635"/>
      <c r="T4" s="636"/>
    </row>
    <row r="5" spans="2:21" x14ac:dyDescent="0.35">
      <c r="B5" s="201" t="s">
        <v>515</v>
      </c>
      <c r="C5" s="200"/>
      <c r="D5" s="200"/>
      <c r="E5" s="200"/>
      <c r="F5" s="200"/>
      <c r="G5" s="200"/>
      <c r="H5" s="200"/>
      <c r="I5" s="200"/>
      <c r="J5" s="200"/>
      <c r="K5" s="200"/>
      <c r="L5" s="200"/>
      <c r="M5" s="200"/>
      <c r="N5" s="200"/>
      <c r="O5" s="200"/>
      <c r="P5" s="200"/>
      <c r="Q5" s="200"/>
      <c r="R5" s="200"/>
      <c r="S5" s="200"/>
      <c r="T5" s="202"/>
    </row>
    <row r="6" spans="2:21" x14ac:dyDescent="0.35">
      <c r="R6" s="175"/>
      <c r="S6" s="175"/>
      <c r="T6" s="175"/>
    </row>
    <row r="7" spans="2:21" x14ac:dyDescent="0.35">
      <c r="B7" s="199"/>
      <c r="C7" s="635"/>
      <c r="D7" s="635"/>
      <c r="E7" s="635"/>
      <c r="F7" s="635"/>
      <c r="G7" s="635"/>
      <c r="H7" s="635"/>
      <c r="I7" s="635"/>
      <c r="J7" s="635"/>
      <c r="K7" s="635"/>
      <c r="L7" s="636"/>
      <c r="N7" s="199"/>
      <c r="O7" s="635"/>
      <c r="P7" s="635"/>
      <c r="Q7" s="635"/>
      <c r="R7" s="197"/>
      <c r="S7" s="197"/>
      <c r="T7" s="197"/>
      <c r="U7" s="146"/>
    </row>
    <row r="8" spans="2:21" ht="46.5" x14ac:dyDescent="0.35">
      <c r="B8" s="203"/>
      <c r="C8" s="315" t="s">
        <v>516</v>
      </c>
      <c r="D8" s="396"/>
      <c r="E8" s="315" t="s">
        <v>517</v>
      </c>
      <c r="F8" s="396"/>
      <c r="G8" s="315" t="s">
        <v>518</v>
      </c>
      <c r="H8" s="396"/>
      <c r="I8" s="315" t="s">
        <v>519</v>
      </c>
      <c r="J8" s="396"/>
      <c r="K8" s="393" t="s">
        <v>520</v>
      </c>
      <c r="L8" s="397"/>
      <c r="M8" s="316"/>
      <c r="N8" s="400"/>
      <c r="O8" s="317" t="s">
        <v>521</v>
      </c>
      <c r="P8" s="400"/>
      <c r="Q8" s="317" t="s">
        <v>522</v>
      </c>
      <c r="R8" s="396"/>
      <c r="S8" s="317" t="s">
        <v>523</v>
      </c>
      <c r="T8" s="396"/>
      <c r="U8" s="146"/>
    </row>
    <row r="9" spans="2:21" x14ac:dyDescent="0.35">
      <c r="B9" s="203"/>
      <c r="C9" s="197"/>
      <c r="D9" s="197"/>
      <c r="E9" s="197"/>
      <c r="F9" s="197"/>
      <c r="G9" s="197"/>
      <c r="H9" s="197"/>
      <c r="I9" s="197"/>
      <c r="J9" s="197"/>
      <c r="K9" s="197"/>
      <c r="L9" s="204"/>
      <c r="N9" s="203"/>
      <c r="O9" s="197"/>
      <c r="P9" s="197"/>
      <c r="Q9" s="197"/>
      <c r="R9" s="197"/>
      <c r="S9" s="197"/>
      <c r="T9" s="197"/>
      <c r="U9" s="146"/>
    </row>
    <row r="10" spans="2:21" ht="40" customHeight="1" x14ac:dyDescent="0.35">
      <c r="B10" s="203"/>
      <c r="C10" s="394"/>
      <c r="D10" s="175"/>
      <c r="E10" s="559"/>
      <c r="F10" s="175"/>
      <c r="G10" s="433" t="s">
        <v>524</v>
      </c>
      <c r="H10" s="434"/>
      <c r="I10" s="434"/>
      <c r="J10" s="175"/>
      <c r="K10" s="395"/>
      <c r="L10" s="204"/>
      <c r="N10" s="203"/>
      <c r="O10" s="394"/>
      <c r="P10" s="175"/>
      <c r="Q10" s="434" t="s">
        <v>525</v>
      </c>
      <c r="R10" s="175"/>
      <c r="S10" s="395"/>
      <c r="T10" s="197"/>
      <c r="U10" s="146"/>
    </row>
    <row r="11" spans="2:21" x14ac:dyDescent="0.35">
      <c r="B11" s="203"/>
      <c r="C11" s="197"/>
      <c r="D11" s="197"/>
      <c r="E11" s="197"/>
      <c r="F11" s="197"/>
      <c r="G11" s="197"/>
      <c r="H11" s="197"/>
      <c r="I11" s="197"/>
      <c r="J11" s="197"/>
      <c r="K11" s="197"/>
      <c r="L11" s="204"/>
      <c r="N11" s="203"/>
      <c r="O11" s="197"/>
      <c r="P11" s="197"/>
      <c r="Q11" s="197"/>
      <c r="R11" s="197"/>
      <c r="S11" s="197"/>
      <c r="T11" s="197"/>
      <c r="U11" s="146"/>
    </row>
    <row r="12" spans="2:21" ht="175" customHeight="1" x14ac:dyDescent="0.35">
      <c r="B12" s="203"/>
      <c r="C12" s="314" t="s">
        <v>526</v>
      </c>
      <c r="D12" s="398"/>
      <c r="E12" s="314" t="s">
        <v>527</v>
      </c>
      <c r="F12" s="398"/>
      <c r="G12" s="312" t="s">
        <v>528</v>
      </c>
      <c r="H12" s="398"/>
      <c r="I12" s="313" t="s">
        <v>529</v>
      </c>
      <c r="J12" s="398"/>
      <c r="K12" s="312" t="s">
        <v>530</v>
      </c>
      <c r="L12" s="399"/>
      <c r="M12" s="211"/>
      <c r="N12" s="401"/>
      <c r="O12" s="314" t="s">
        <v>531</v>
      </c>
      <c r="P12" s="401"/>
      <c r="Q12" s="352" t="s">
        <v>532</v>
      </c>
      <c r="R12" s="398"/>
      <c r="S12" s="352" t="s">
        <v>533</v>
      </c>
      <c r="T12" s="398"/>
      <c r="U12" s="146"/>
    </row>
    <row r="13" spans="2:21" x14ac:dyDescent="0.35">
      <c r="B13" s="201"/>
      <c r="C13" s="200"/>
      <c r="D13" s="200"/>
      <c r="E13" s="200"/>
      <c r="F13" s="200"/>
      <c r="G13" s="200"/>
      <c r="H13" s="200"/>
      <c r="I13" s="200"/>
      <c r="J13" s="200"/>
      <c r="K13" s="200"/>
      <c r="L13" s="202"/>
      <c r="N13" s="201"/>
      <c r="O13" s="200"/>
      <c r="P13" s="402"/>
      <c r="Q13" s="402"/>
      <c r="R13" s="402"/>
      <c r="S13" s="402"/>
      <c r="T13" s="402"/>
      <c r="U13" s="146"/>
    </row>
    <row r="16" spans="2:21" x14ac:dyDescent="0.35">
      <c r="B16" s="199"/>
      <c r="C16" s="635"/>
      <c r="D16" s="635"/>
      <c r="E16" s="635"/>
      <c r="F16" s="635"/>
      <c r="G16" s="635"/>
      <c r="H16" s="635"/>
      <c r="I16" s="635"/>
      <c r="J16" s="635"/>
      <c r="K16" s="635"/>
      <c r="L16" s="635"/>
      <c r="M16" s="635"/>
      <c r="N16" s="635"/>
      <c r="O16" s="635"/>
      <c r="P16" s="635"/>
      <c r="Q16" s="635"/>
      <c r="R16" s="635"/>
      <c r="S16" s="635"/>
      <c r="T16" s="636"/>
    </row>
    <row r="17" spans="2:20" x14ac:dyDescent="0.35">
      <c r="B17" s="203" t="s">
        <v>534</v>
      </c>
      <c r="C17" s="197"/>
      <c r="D17" s="197"/>
      <c r="E17" s="197"/>
      <c r="F17" s="197"/>
      <c r="G17" s="197"/>
      <c r="H17" s="197"/>
      <c r="I17" s="197"/>
      <c r="J17" s="197"/>
      <c r="K17" s="197"/>
      <c r="L17" s="197"/>
      <c r="M17" s="197"/>
      <c r="N17" s="197"/>
      <c r="O17" s="197"/>
      <c r="P17" s="197"/>
      <c r="Q17" s="197"/>
      <c r="R17" s="197"/>
      <c r="S17" s="197"/>
      <c r="T17" s="204"/>
    </row>
    <row r="18" spans="2:20" x14ac:dyDescent="0.35">
      <c r="B18" s="403" t="s">
        <v>535</v>
      </c>
      <c r="C18" s="197"/>
      <c r="D18" s="197"/>
      <c r="E18" s="197"/>
      <c r="F18" s="197"/>
      <c r="G18" s="197"/>
      <c r="H18" s="197"/>
      <c r="I18" s="197"/>
      <c r="J18" s="197"/>
      <c r="K18" s="197"/>
      <c r="L18" s="197"/>
      <c r="M18" s="197"/>
      <c r="N18" s="197"/>
      <c r="O18" s="197"/>
      <c r="P18" s="197"/>
      <c r="Q18" s="197"/>
      <c r="R18" s="197"/>
      <c r="S18" s="197"/>
      <c r="T18" s="204"/>
    </row>
    <row r="19" spans="2:20" x14ac:dyDescent="0.35">
      <c r="B19" s="404" t="s">
        <v>536</v>
      </c>
      <c r="C19" s="197"/>
      <c r="D19" s="197"/>
      <c r="E19" s="197"/>
      <c r="F19" s="197"/>
      <c r="G19" s="197"/>
      <c r="H19" s="197"/>
      <c r="I19" s="197"/>
      <c r="J19" s="197"/>
      <c r="K19" s="197"/>
      <c r="L19" s="197"/>
      <c r="M19" s="197"/>
      <c r="N19" s="197"/>
      <c r="O19" s="197"/>
      <c r="P19" s="197"/>
      <c r="Q19" s="197"/>
      <c r="R19" s="197"/>
      <c r="S19" s="197"/>
      <c r="T19" s="204"/>
    </row>
    <row r="20" spans="2:20" x14ac:dyDescent="0.35">
      <c r="B20" s="405" t="s">
        <v>537</v>
      </c>
      <c r="C20" s="197"/>
      <c r="D20" s="197"/>
      <c r="E20" s="197"/>
      <c r="F20" s="197"/>
      <c r="G20" s="197"/>
      <c r="H20" s="197"/>
      <c r="I20" s="197"/>
      <c r="J20" s="197"/>
      <c r="K20" s="197"/>
      <c r="L20" s="197"/>
      <c r="M20" s="197"/>
      <c r="N20" s="197"/>
      <c r="O20" s="197"/>
      <c r="P20" s="197"/>
      <c r="Q20" s="197"/>
      <c r="R20" s="197"/>
      <c r="S20" s="197"/>
      <c r="T20" s="204"/>
    </row>
    <row r="21" spans="2:20" x14ac:dyDescent="0.35">
      <c r="B21" s="404" t="s">
        <v>538</v>
      </c>
      <c r="C21" s="197"/>
      <c r="D21" s="197"/>
      <c r="E21" s="197"/>
      <c r="F21" s="197"/>
      <c r="G21" s="197"/>
      <c r="H21" s="197"/>
      <c r="I21" s="197"/>
      <c r="J21" s="197"/>
      <c r="K21" s="197"/>
      <c r="L21" s="197"/>
      <c r="M21" s="197"/>
      <c r="N21" s="197"/>
      <c r="O21" s="197"/>
      <c r="P21" s="197"/>
      <c r="Q21" s="197"/>
      <c r="R21" s="197"/>
      <c r="S21" s="197"/>
      <c r="T21" s="204"/>
    </row>
    <row r="22" spans="2:20" x14ac:dyDescent="0.35">
      <c r="B22" s="404" t="s">
        <v>539</v>
      </c>
      <c r="C22" s="197"/>
      <c r="D22" s="197"/>
      <c r="E22" s="197"/>
      <c r="F22" s="197"/>
      <c r="G22" s="197"/>
      <c r="H22" s="197"/>
      <c r="I22" s="197"/>
      <c r="J22" s="197"/>
      <c r="K22" s="197"/>
      <c r="L22" s="197"/>
      <c r="M22" s="197"/>
      <c r="N22" s="197"/>
      <c r="O22" s="197"/>
      <c r="P22" s="197"/>
      <c r="Q22" s="197"/>
      <c r="R22" s="197"/>
      <c r="S22" s="197"/>
      <c r="T22" s="204"/>
    </row>
    <row r="23" spans="2:20" x14ac:dyDescent="0.35">
      <c r="B23" s="203"/>
      <c r="C23" s="197"/>
      <c r="D23" s="197"/>
      <c r="E23" s="197"/>
      <c r="F23" s="197"/>
      <c r="G23" s="197"/>
      <c r="H23" s="197"/>
      <c r="I23" s="197"/>
      <c r="J23" s="197"/>
      <c r="K23" s="197"/>
      <c r="L23" s="197"/>
      <c r="M23" s="197"/>
      <c r="N23" s="197"/>
      <c r="O23" s="197"/>
      <c r="P23" s="197"/>
      <c r="Q23" s="197"/>
      <c r="R23" s="197"/>
      <c r="S23" s="197"/>
      <c r="T23" s="204"/>
    </row>
    <row r="24" spans="2:20" x14ac:dyDescent="0.35">
      <c r="B24" s="406" t="s">
        <v>540</v>
      </c>
      <c r="C24" s="197"/>
      <c r="D24" s="197"/>
      <c r="E24" s="197"/>
      <c r="F24" s="197"/>
      <c r="G24" s="197"/>
      <c r="H24" s="197"/>
      <c r="I24" s="197"/>
      <c r="J24" s="197"/>
      <c r="K24" s="197"/>
      <c r="L24" s="197"/>
      <c r="M24" s="197"/>
      <c r="N24" s="197"/>
      <c r="O24" s="197"/>
      <c r="P24" s="197"/>
      <c r="Q24" s="197"/>
      <c r="R24" s="197"/>
      <c r="S24" s="197"/>
      <c r="T24" s="204"/>
    </row>
    <row r="25" spans="2:20" x14ac:dyDescent="0.35">
      <c r="B25" s="201"/>
      <c r="C25" s="200"/>
      <c r="D25" s="200"/>
      <c r="E25" s="200"/>
      <c r="F25" s="200"/>
      <c r="G25" s="200"/>
      <c r="H25" s="200"/>
      <c r="I25" s="200"/>
      <c r="J25" s="200"/>
      <c r="K25" s="200"/>
      <c r="L25" s="200"/>
      <c r="M25" s="200"/>
      <c r="N25" s="200"/>
      <c r="O25" s="200"/>
      <c r="P25" s="200"/>
      <c r="Q25" s="200"/>
      <c r="R25" s="200"/>
      <c r="S25" s="200"/>
      <c r="T25" s="202"/>
    </row>
  </sheetData>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35"/>
  <sheetViews>
    <sheetView showGridLines="0" zoomScale="80" zoomScaleNormal="80" zoomScaleSheetLayoutView="25" workbookViewId="0">
      <selection activeCell="G112" sqref="G112"/>
    </sheetView>
  </sheetViews>
  <sheetFormatPr defaultRowHeight="14.5" x14ac:dyDescent="0.35"/>
  <cols>
    <col min="1" max="1" width="2.453125" customWidth="1"/>
    <col min="2" max="2" width="5.81640625" customWidth="1"/>
    <col min="3" max="3" width="72.26953125" customWidth="1"/>
    <col min="4" max="4" width="18" customWidth="1"/>
    <col min="5" max="5" width="17.26953125" customWidth="1"/>
    <col min="6" max="6" width="14.54296875" customWidth="1"/>
    <col min="7" max="7" width="15.26953125" customWidth="1"/>
    <col min="8" max="8" width="15.7265625" customWidth="1"/>
    <col min="9" max="9" width="13.81640625" customWidth="1"/>
    <col min="10" max="10" width="15.453125" customWidth="1"/>
    <col min="11" max="11" width="15.1796875" customWidth="1"/>
    <col min="12" max="16" width="13.453125" customWidth="1"/>
    <col min="17" max="17" width="6.26953125" customWidth="1"/>
  </cols>
  <sheetData>
    <row r="1" spans="2:22" ht="30" customHeight="1" x14ac:dyDescent="0.35">
      <c r="B1" s="441" t="s">
        <v>2231</v>
      </c>
    </row>
    <row r="2" spans="2:22" ht="30" customHeight="1" x14ac:dyDescent="0.35">
      <c r="B2" s="142" t="s">
        <v>541</v>
      </c>
      <c r="C2" s="142"/>
      <c r="D2" s="156"/>
      <c r="E2" s="141"/>
      <c r="F2" s="141"/>
      <c r="G2" s="141"/>
      <c r="H2" s="141"/>
      <c r="I2" s="141"/>
      <c r="J2" s="141"/>
      <c r="K2" s="141"/>
      <c r="L2" s="141"/>
      <c r="M2" s="141"/>
      <c r="N2" s="141"/>
      <c r="O2" s="141"/>
      <c r="P2" s="141"/>
      <c r="Q2" s="141"/>
      <c r="R2" s="141"/>
      <c r="S2" s="141"/>
      <c r="T2" s="141"/>
      <c r="U2" s="141"/>
      <c r="V2" s="141"/>
    </row>
    <row r="4" spans="2:22" x14ac:dyDescent="0.35">
      <c r="B4" s="143" t="s">
        <v>542</v>
      </c>
      <c r="C4" s="609"/>
      <c r="D4" s="609"/>
      <c r="E4" s="609"/>
      <c r="F4" s="609"/>
      <c r="G4" s="609"/>
      <c r="H4" s="609"/>
      <c r="I4" s="609"/>
      <c r="J4" s="609"/>
      <c r="K4" s="609"/>
      <c r="L4" s="609"/>
      <c r="M4" s="609"/>
      <c r="N4" s="609"/>
      <c r="O4" s="609"/>
      <c r="P4" s="609"/>
      <c r="Q4" s="580"/>
    </row>
    <row r="5" spans="2:22" x14ac:dyDescent="0.35">
      <c r="B5" s="146"/>
      <c r="C5" t="s">
        <v>543</v>
      </c>
      <c r="Q5" s="145"/>
    </row>
    <row r="6" spans="2:22" x14ac:dyDescent="0.35">
      <c r="B6" s="146"/>
      <c r="C6" t="s">
        <v>544</v>
      </c>
      <c r="Q6" s="145"/>
    </row>
    <row r="7" spans="2:22" x14ac:dyDescent="0.35">
      <c r="B7" s="146"/>
      <c r="C7" t="s">
        <v>545</v>
      </c>
      <c r="Q7" s="145"/>
    </row>
    <row r="8" spans="2:22" x14ac:dyDescent="0.35">
      <c r="B8" s="147"/>
      <c r="C8" s="148"/>
      <c r="D8" s="148"/>
      <c r="E8" s="148"/>
      <c r="F8" s="148"/>
      <c r="G8" s="148"/>
      <c r="H8" s="148"/>
      <c r="I8" s="148"/>
      <c r="J8" s="148"/>
      <c r="K8" s="148"/>
      <c r="L8" s="148"/>
      <c r="M8" s="148"/>
      <c r="N8" s="148"/>
      <c r="O8" s="148"/>
      <c r="P8" s="148"/>
      <c r="Q8" s="145"/>
    </row>
    <row r="9" spans="2:22" x14ac:dyDescent="0.35">
      <c r="Q9" s="175"/>
    </row>
    <row r="10" spans="2:22" x14ac:dyDescent="0.35">
      <c r="B10" s="143" t="s">
        <v>546</v>
      </c>
      <c r="C10" s="609"/>
      <c r="D10" s="609"/>
      <c r="E10" s="609"/>
      <c r="F10" s="609"/>
      <c r="G10" s="609"/>
      <c r="H10" s="609"/>
      <c r="I10" s="609"/>
      <c r="J10" s="609"/>
      <c r="K10" s="609"/>
      <c r="L10" s="609"/>
      <c r="M10" s="609"/>
      <c r="N10" s="609"/>
      <c r="O10" s="609"/>
      <c r="P10" s="609"/>
      <c r="Q10" s="145"/>
    </row>
    <row r="11" spans="2:22" x14ac:dyDescent="0.35">
      <c r="B11" s="144"/>
      <c r="C11" s="139" t="s">
        <v>547</v>
      </c>
      <c r="D11" s="137" t="s">
        <v>21</v>
      </c>
      <c r="Q11" s="145"/>
    </row>
    <row r="12" spans="2:22" x14ac:dyDescent="0.35">
      <c r="B12" s="144"/>
      <c r="C12" s="139" t="s">
        <v>41</v>
      </c>
      <c r="D12" s="137" t="s">
        <v>61</v>
      </c>
      <c r="E12" s="115">
        <f>'Population selection'!F14</f>
        <v>45691677</v>
      </c>
      <c r="F12" s="601" t="s">
        <v>2108</v>
      </c>
      <c r="Q12" s="145"/>
    </row>
    <row r="13" spans="2:22" x14ac:dyDescent="0.35">
      <c r="B13" s="144"/>
      <c r="C13" s="139"/>
      <c r="E13" s="621">
        <v>2.5222393017283001E-2</v>
      </c>
      <c r="F13" s="170" t="s">
        <v>2104</v>
      </c>
      <c r="Q13" s="145"/>
    </row>
    <row r="14" spans="2:22" x14ac:dyDescent="0.35">
      <c r="B14" s="144"/>
      <c r="C14" s="135"/>
      <c r="E14" s="162">
        <f>(100%+E13)*E12</f>
        <v>46844130.434912749</v>
      </c>
      <c r="F14" t="s">
        <v>2117</v>
      </c>
      <c r="Q14" s="145"/>
    </row>
    <row r="15" spans="2:22" x14ac:dyDescent="0.35">
      <c r="B15" s="144"/>
      <c r="C15" s="135"/>
      <c r="F15" s="251"/>
      <c r="Q15" s="145"/>
    </row>
    <row r="16" spans="2:22" x14ac:dyDescent="0.35">
      <c r="B16" s="144"/>
      <c r="C16" s="139" t="s">
        <v>548</v>
      </c>
      <c r="D16" s="638"/>
      <c r="E16" t="s">
        <v>549</v>
      </c>
      <c r="F16" s="251"/>
      <c r="Q16" s="145"/>
    </row>
    <row r="17" spans="2:18" x14ac:dyDescent="0.35">
      <c r="B17" s="144"/>
      <c r="C17" s="139"/>
      <c r="F17" s="251"/>
      <c r="Q17" s="145"/>
    </row>
    <row r="18" spans="2:18" x14ac:dyDescent="0.35">
      <c r="B18" s="144"/>
      <c r="C18" s="139" t="s">
        <v>2256</v>
      </c>
      <c r="D18" s="498">
        <v>0</v>
      </c>
      <c r="E18" t="str">
        <f>IF(D18=2.660497329457%,"Enter local estimate or delete the NICE assumption if required","Local value")</f>
        <v>Local value</v>
      </c>
      <c r="F18" s="251"/>
      <c r="Q18" s="145"/>
    </row>
    <row r="19" spans="2:18" x14ac:dyDescent="0.35">
      <c r="B19" s="144"/>
      <c r="C19" s="139" t="s">
        <v>2255</v>
      </c>
      <c r="D19" s="498">
        <v>0</v>
      </c>
      <c r="E19" t="str">
        <f>IF(D19=0,"Enter local estimate or delete the NICE assumption if required","Local value")</f>
        <v>Enter local estimate or delete the NICE assumption if required</v>
      </c>
      <c r="F19" s="251"/>
      <c r="Q19" s="145"/>
    </row>
    <row r="20" spans="2:18" x14ac:dyDescent="0.35">
      <c r="B20" s="557"/>
      <c r="C20" s="804"/>
      <c r="D20" s="148"/>
      <c r="E20" s="148"/>
      <c r="F20" s="805"/>
      <c r="G20" s="148"/>
      <c r="H20" s="148"/>
      <c r="I20" s="148"/>
      <c r="J20" s="148"/>
      <c r="K20" s="148"/>
      <c r="L20" s="148"/>
      <c r="M20" s="148"/>
      <c r="N20" s="148"/>
      <c r="O20" s="148"/>
      <c r="P20" s="148"/>
      <c r="Q20" s="149"/>
    </row>
    <row r="21" spans="2:18" ht="15" thickBot="1" x14ac:dyDescent="0.4">
      <c r="B21" s="135"/>
      <c r="C21" s="135"/>
      <c r="F21" s="251"/>
    </row>
    <row r="22" spans="2:18" x14ac:dyDescent="0.35">
      <c r="B22" s="807"/>
      <c r="C22" s="808" t="s">
        <v>2207</v>
      </c>
      <c r="D22" s="809"/>
      <c r="E22" s="811"/>
      <c r="F22" s="811"/>
      <c r="G22" s="809"/>
      <c r="H22" s="809"/>
      <c r="I22" s="809"/>
      <c r="J22" s="812"/>
    </row>
    <row r="23" spans="2:18" x14ac:dyDescent="0.35">
      <c r="B23" s="813"/>
      <c r="C23" s="867"/>
      <c r="D23" s="867"/>
      <c r="E23" s="867"/>
      <c r="F23" s="810"/>
      <c r="G23" s="806"/>
      <c r="H23" s="806"/>
      <c r="I23" s="806"/>
      <c r="J23" s="814"/>
    </row>
    <row r="24" spans="2:18" ht="43.5" x14ac:dyDescent="0.35">
      <c r="B24" s="813"/>
      <c r="C24" s="815" t="s">
        <v>2215</v>
      </c>
      <c r="D24" s="806"/>
      <c r="E24" s="806"/>
      <c r="F24" s="816" t="s">
        <v>2237</v>
      </c>
      <c r="G24" s="817" t="s">
        <v>2211</v>
      </c>
      <c r="H24" s="816" t="s">
        <v>2208</v>
      </c>
      <c r="I24" s="817" t="s">
        <v>2209</v>
      </c>
      <c r="J24" s="814"/>
    </row>
    <row r="25" spans="2:18" x14ac:dyDescent="0.35">
      <c r="B25" s="813"/>
      <c r="C25" s="818" t="s">
        <v>2216</v>
      </c>
      <c r="D25" s="819"/>
      <c r="E25" s="819"/>
      <c r="F25" s="828">
        <f>G80</f>
        <v>0</v>
      </c>
      <c r="G25" s="242">
        <f>J80</f>
        <v>0</v>
      </c>
      <c r="H25" s="242">
        <f t="shared" ref="H25:I25" si="0">K80</f>
        <v>0</v>
      </c>
      <c r="I25" s="242">
        <f t="shared" si="0"/>
        <v>0</v>
      </c>
      <c r="J25" s="814"/>
    </row>
    <row r="26" spans="2:18" x14ac:dyDescent="0.35">
      <c r="B26" s="813"/>
      <c r="C26" s="818" t="s">
        <v>2217</v>
      </c>
      <c r="D26" s="819"/>
      <c r="E26" s="819"/>
      <c r="F26" s="828">
        <f>F86</f>
        <v>0</v>
      </c>
      <c r="G26" s="242">
        <f t="shared" ref="G26:I26" si="1">J86</f>
        <v>5129.3400264897</v>
      </c>
      <c r="H26" s="242">
        <f t="shared" si="1"/>
        <v>5129.3400264897</v>
      </c>
      <c r="I26" s="242">
        <f t="shared" si="1"/>
        <v>0</v>
      </c>
      <c r="J26" s="814"/>
    </row>
    <row r="27" spans="2:18" x14ac:dyDescent="0.35">
      <c r="B27" s="813"/>
      <c r="C27" s="818" t="s">
        <v>2218</v>
      </c>
      <c r="D27" s="819"/>
      <c r="E27" s="819"/>
      <c r="F27" s="828">
        <f>F88</f>
        <v>0</v>
      </c>
      <c r="G27" s="242">
        <f>J88</f>
        <v>0</v>
      </c>
      <c r="H27" s="242">
        <f>K88</f>
        <v>0</v>
      </c>
      <c r="I27" s="242">
        <f>L88</f>
        <v>0</v>
      </c>
      <c r="J27" s="814"/>
    </row>
    <row r="28" spans="2:18" x14ac:dyDescent="0.35">
      <c r="B28" s="813"/>
      <c r="C28" s="818" t="s">
        <v>2251</v>
      </c>
      <c r="D28" s="819"/>
      <c r="E28" s="819"/>
      <c r="F28" s="828">
        <f>P60</f>
        <v>0</v>
      </c>
      <c r="G28" s="242">
        <f>J98</f>
        <v>7993.842433272147</v>
      </c>
      <c r="H28" s="242">
        <f>K98</f>
        <v>7993.842433272147</v>
      </c>
      <c r="I28" s="242">
        <f>L98</f>
        <v>0</v>
      </c>
      <c r="J28" s="814"/>
    </row>
    <row r="29" spans="2:18" x14ac:dyDescent="0.35">
      <c r="B29" s="813"/>
      <c r="C29" s="821" t="s">
        <v>2210</v>
      </c>
      <c r="D29" s="819"/>
      <c r="E29" s="819"/>
      <c r="F29" s="831"/>
      <c r="G29" s="825">
        <f t="shared" ref="G29:H29" si="2">SUM(G25:G28)</f>
        <v>13123.182459761847</v>
      </c>
      <c r="H29" s="825">
        <f t="shared" si="2"/>
        <v>13123.182459761847</v>
      </c>
      <c r="I29" s="825">
        <f>SUM(I25:I28)</f>
        <v>0</v>
      </c>
      <c r="J29" s="814"/>
    </row>
    <row r="30" spans="2:18" ht="15" thickBot="1" x14ac:dyDescent="0.4">
      <c r="B30" s="868"/>
      <c r="C30" s="869"/>
      <c r="D30" s="822"/>
      <c r="E30" s="822"/>
      <c r="F30" s="822"/>
      <c r="G30" s="822"/>
      <c r="H30" s="822"/>
      <c r="I30" s="822"/>
      <c r="J30" s="823"/>
    </row>
    <row r="32" spans="2:18" x14ac:dyDescent="0.35">
      <c r="B32" s="143" t="s">
        <v>550</v>
      </c>
      <c r="C32" s="609"/>
      <c r="D32" s="609"/>
      <c r="E32" s="609"/>
      <c r="F32" s="609"/>
      <c r="G32" s="609"/>
      <c r="H32" s="609"/>
      <c r="I32" s="609"/>
      <c r="J32" s="609"/>
      <c r="K32" s="609"/>
      <c r="L32" s="609"/>
      <c r="M32" s="609"/>
      <c r="N32" s="609"/>
      <c r="O32" s="609"/>
      <c r="P32" s="609"/>
      <c r="Q32" s="609"/>
      <c r="R32" s="580"/>
    </row>
    <row r="33" spans="2:18" ht="88.5" customHeight="1" x14ac:dyDescent="0.35">
      <c r="B33" s="144"/>
      <c r="D33" s="209" t="s">
        <v>2179</v>
      </c>
      <c r="E33" s="151" t="s">
        <v>2202</v>
      </c>
      <c r="F33" s="151" t="s">
        <v>2254</v>
      </c>
      <c r="G33" s="635"/>
      <c r="H33" s="635"/>
      <c r="I33" s="635"/>
      <c r="J33" s="635"/>
      <c r="K33" s="635"/>
      <c r="L33" s="635"/>
      <c r="M33" s="635"/>
      <c r="N33" s="635"/>
      <c r="O33" s="635"/>
      <c r="P33" s="635"/>
      <c r="Q33" s="635"/>
      <c r="R33" s="636"/>
    </row>
    <row r="34" spans="2:18" x14ac:dyDescent="0.35">
      <c r="B34" s="146"/>
      <c r="C34" s="347" t="str">
        <f>"Baseline population (inflated by growth(s))"</f>
        <v>Baseline population (inflated by growth(s))</v>
      </c>
      <c r="D34" s="154"/>
      <c r="E34" s="115">
        <f>IF(ISBLANK(D16),E14,D16)</f>
        <v>46844130.434912749</v>
      </c>
      <c r="F34" s="115">
        <f>E34*(100%+D18)</f>
        <v>46844130.434912749</v>
      </c>
      <c r="G34" s="175" t="s">
        <v>2226</v>
      </c>
      <c r="H34" s="175"/>
      <c r="I34" s="175"/>
      <c r="J34" s="175"/>
      <c r="K34" s="175"/>
      <c r="L34" s="175"/>
      <c r="M34" s="175"/>
      <c r="N34" s="175"/>
      <c r="O34" s="175"/>
      <c r="P34" s="175"/>
      <c r="Q34" s="175"/>
      <c r="R34" s="154"/>
    </row>
    <row r="35" spans="2:18" x14ac:dyDescent="0.35">
      <c r="B35" s="146"/>
      <c r="C35" s="153" t="s">
        <v>2227</v>
      </c>
      <c r="D35" s="498">
        <f>(66882+59723)/46844130</f>
        <v>2.7026865479196647E-3</v>
      </c>
      <c r="E35" s="837">
        <f>E34*$D35</f>
        <v>126605.00117543283</v>
      </c>
      <c r="F35" s="837">
        <f>F34*$D35</f>
        <v>126605.00117543283</v>
      </c>
      <c r="G35" s="848" t="s">
        <v>2236</v>
      </c>
      <c r="H35" s="210"/>
      <c r="I35" s="210"/>
      <c r="J35" s="210"/>
      <c r="K35" s="210"/>
      <c r="L35" s="210"/>
      <c r="M35" s="210"/>
      <c r="N35" s="210"/>
      <c r="O35" s="210"/>
      <c r="P35" s="210"/>
      <c r="Q35" s="210"/>
      <c r="R35" s="600"/>
    </row>
    <row r="36" spans="2:18" x14ac:dyDescent="0.35">
      <c r="B36" s="146"/>
      <c r="C36" s="603" t="s">
        <v>557</v>
      </c>
      <c r="D36" s="604"/>
      <c r="E36" s="602">
        <f>E35*(100%+D19)</f>
        <v>126605.00117543283</v>
      </c>
      <c r="F36" s="602">
        <f>F35*(100%+D19)</f>
        <v>126605.00117543283</v>
      </c>
      <c r="G36" s="785"/>
      <c r="H36" s="785"/>
      <c r="I36" s="785"/>
      <c r="J36" s="785"/>
      <c r="R36" s="145"/>
    </row>
    <row r="37" spans="2:18" x14ac:dyDescent="0.35">
      <c r="B37" s="147"/>
      <c r="C37" s="617"/>
      <c r="D37" s="618"/>
      <c r="E37" s="619"/>
      <c r="F37" s="619"/>
      <c r="G37" s="620"/>
      <c r="H37" s="148"/>
      <c r="I37" s="148"/>
      <c r="J37" s="148"/>
      <c r="K37" s="148"/>
      <c r="L37" s="148"/>
      <c r="M37" s="148"/>
      <c r="N37" s="148"/>
      <c r="O37" s="148"/>
      <c r="P37" s="148"/>
      <c r="Q37" s="148"/>
      <c r="R37" s="149"/>
    </row>
    <row r="38" spans="2:18" x14ac:dyDescent="0.35">
      <c r="C38" s="714"/>
      <c r="D38" s="715"/>
      <c r="E38" s="311"/>
      <c r="F38" s="311"/>
      <c r="G38" s="170"/>
    </row>
    <row r="39" spans="2:18" x14ac:dyDescent="0.35">
      <c r="B39" s="143" t="s">
        <v>2235</v>
      </c>
      <c r="C39" s="609"/>
      <c r="D39" s="609"/>
      <c r="E39" s="609"/>
      <c r="F39" s="609"/>
      <c r="G39" s="609"/>
      <c r="H39" s="609"/>
      <c r="I39" s="609"/>
      <c r="J39" s="609"/>
      <c r="K39" s="609"/>
      <c r="L39" s="609"/>
      <c r="M39" s="609"/>
      <c r="N39" s="609"/>
      <c r="O39" s="609"/>
      <c r="P39" s="609"/>
      <c r="Q39" s="609"/>
      <c r="R39" s="716"/>
    </row>
    <row r="40" spans="2:18" x14ac:dyDescent="0.35">
      <c r="B40" s="144"/>
      <c r="R40" s="145"/>
    </row>
    <row r="41" spans="2:18" x14ac:dyDescent="0.35">
      <c r="B41" s="144"/>
      <c r="C41" s="176" t="s">
        <v>607</v>
      </c>
      <c r="R41" s="145"/>
    </row>
    <row r="42" spans="2:18" x14ac:dyDescent="0.35">
      <c r="B42" s="144"/>
      <c r="C42" t="s">
        <v>2265</v>
      </c>
      <c r="R42" s="145"/>
    </row>
    <row r="43" spans="2:18" x14ac:dyDescent="0.35">
      <c r="B43" s="144"/>
      <c r="C43" t="s">
        <v>2268</v>
      </c>
      <c r="R43" s="145"/>
    </row>
    <row r="44" spans="2:18" x14ac:dyDescent="0.35">
      <c r="B44" s="144"/>
      <c r="C44" t="s">
        <v>2269</v>
      </c>
      <c r="R44" s="145"/>
    </row>
    <row r="45" spans="2:18" x14ac:dyDescent="0.35">
      <c r="B45" s="144"/>
      <c r="C45" t="s">
        <v>2267</v>
      </c>
      <c r="R45" s="145"/>
    </row>
    <row r="46" spans="2:18" x14ac:dyDescent="0.35">
      <c r="B46" s="144"/>
      <c r="R46" s="145"/>
    </row>
    <row r="47" spans="2:18" ht="29" x14ac:dyDescent="0.35">
      <c r="B47" s="146"/>
      <c r="D47" s="786" t="s">
        <v>642</v>
      </c>
      <c r="E47" s="185" t="s">
        <v>2180</v>
      </c>
      <c r="F47" s="802"/>
      <c r="J47" s="209" t="s">
        <v>2225</v>
      </c>
      <c r="K47" s="838" t="s">
        <v>2253</v>
      </c>
      <c r="L47" s="839" t="s">
        <v>2237</v>
      </c>
      <c r="M47" s="788"/>
      <c r="N47" s="788"/>
      <c r="O47" s="788"/>
      <c r="P47" s="788"/>
      <c r="Q47" s="788"/>
      <c r="R47" s="145"/>
    </row>
    <row r="48" spans="2:18" x14ac:dyDescent="0.35">
      <c r="B48" s="146"/>
      <c r="C48" s="302" t="s">
        <v>2182</v>
      </c>
      <c r="D48" s="842">
        <v>0.28000000000000003</v>
      </c>
      <c r="E48" s="853">
        <v>0.28000000000000003</v>
      </c>
      <c r="F48" s="803"/>
      <c r="J48" s="859">
        <f>E36*D48</f>
        <v>35449.400329121199</v>
      </c>
      <c r="K48" s="860">
        <f>F$36*E48</f>
        <v>35449.400329121199</v>
      </c>
      <c r="L48" s="115">
        <f>K48-J48</f>
        <v>0</v>
      </c>
      <c r="M48" s="791"/>
      <c r="N48" s="791"/>
      <c r="O48" s="791"/>
      <c r="P48" s="791"/>
      <c r="Q48" s="791"/>
      <c r="R48" s="145"/>
    </row>
    <row r="49" spans="2:18" x14ac:dyDescent="0.35">
      <c r="B49" s="146"/>
      <c r="C49" s="302" t="s">
        <v>2261</v>
      </c>
      <c r="D49" s="842">
        <v>0</v>
      </c>
      <c r="E49" s="853"/>
      <c r="F49" s="803"/>
      <c r="J49" s="859">
        <f>E37*D49</f>
        <v>0</v>
      </c>
      <c r="K49" s="860">
        <f>F$36*E49</f>
        <v>0</v>
      </c>
      <c r="L49" s="115">
        <f>K49-J49</f>
        <v>0</v>
      </c>
      <c r="M49" s="791"/>
      <c r="N49" s="791"/>
      <c r="O49" s="791"/>
      <c r="P49" s="791"/>
      <c r="Q49" s="791"/>
      <c r="R49" s="145"/>
    </row>
    <row r="50" spans="2:18" x14ac:dyDescent="0.35">
      <c r="B50" s="146"/>
      <c r="C50" s="302" t="s">
        <v>2262</v>
      </c>
      <c r="D50" s="842">
        <v>0</v>
      </c>
      <c r="E50" s="853"/>
      <c r="F50" s="789"/>
      <c r="J50" s="859">
        <f>E$36*D50</f>
        <v>0</v>
      </c>
      <c r="K50" s="860">
        <f>F$36*E50</f>
        <v>0</v>
      </c>
      <c r="L50" s="115">
        <f>K50-J50</f>
        <v>0</v>
      </c>
      <c r="M50" s="791"/>
      <c r="N50" s="791"/>
      <c r="O50" s="791"/>
      <c r="P50" s="791"/>
      <c r="Q50" s="791"/>
      <c r="R50" s="145"/>
    </row>
    <row r="51" spans="2:18" x14ac:dyDescent="0.35">
      <c r="B51" s="146"/>
      <c r="C51" s="302" t="s">
        <v>2258</v>
      </c>
      <c r="D51" s="842">
        <v>0.72</v>
      </c>
      <c r="E51" s="853"/>
      <c r="J51" s="859">
        <f>E$36*D51</f>
        <v>91155.60084631163</v>
      </c>
      <c r="K51" s="860">
        <f>F$36*E51</f>
        <v>0</v>
      </c>
      <c r="L51" s="115">
        <f>K51-J51</f>
        <v>-91155.60084631163</v>
      </c>
      <c r="M51" s="791"/>
      <c r="N51" s="791"/>
      <c r="O51" s="791"/>
      <c r="P51" s="791"/>
      <c r="Q51" s="791"/>
      <c r="R51" s="145"/>
    </row>
    <row r="52" spans="2:18" ht="13.9" customHeight="1" x14ac:dyDescent="0.35">
      <c r="B52" s="146"/>
      <c r="D52" s="787">
        <f>SUM(D48:D51)</f>
        <v>1</v>
      </c>
      <c r="E52" s="138">
        <f>SUM(E48:E51)</f>
        <v>0.28000000000000003</v>
      </c>
      <c r="F52" s="790"/>
      <c r="J52" s="840">
        <f>SUM(J48:J51)</f>
        <v>126605.00117543283</v>
      </c>
      <c r="K52" s="840">
        <f>SUM(K48:K51)</f>
        <v>35449.400329121199</v>
      </c>
      <c r="L52" s="162">
        <f>SUM(L48:L51)</f>
        <v>-91155.60084631163</v>
      </c>
      <c r="M52" s="791"/>
      <c r="N52" s="791"/>
      <c r="O52" s="791"/>
      <c r="P52" s="791"/>
      <c r="Q52" s="791"/>
      <c r="R52" s="145"/>
    </row>
    <row r="53" spans="2:18" x14ac:dyDescent="0.35">
      <c r="B53" s="146"/>
      <c r="D53" s="659"/>
      <c r="E53" s="659"/>
      <c r="F53" s="790"/>
      <c r="G53" s="408"/>
      <c r="H53" s="408"/>
      <c r="J53" s="408"/>
      <c r="K53" s="408"/>
      <c r="M53" s="791"/>
      <c r="N53" s="791"/>
      <c r="O53" s="791"/>
      <c r="P53" s="791"/>
      <c r="Q53" s="791"/>
      <c r="R53" s="145"/>
    </row>
    <row r="54" spans="2:18" x14ac:dyDescent="0.35">
      <c r="B54" s="146"/>
      <c r="D54" s="717"/>
      <c r="E54" s="717"/>
      <c r="F54" s="790"/>
      <c r="H54" s="408"/>
      <c r="I54" s="408"/>
      <c r="J54" s="408"/>
      <c r="K54" s="408"/>
      <c r="M54" s="791"/>
      <c r="N54" s="791"/>
      <c r="O54" s="791"/>
      <c r="P54" s="791"/>
      <c r="Q54" s="791"/>
      <c r="R54" s="145"/>
    </row>
    <row r="55" spans="2:18" ht="72.75" customHeight="1" x14ac:dyDescent="0.35">
      <c r="B55" s="146"/>
      <c r="D55" s="151" t="s">
        <v>2199</v>
      </c>
      <c r="E55" s="151" t="s">
        <v>2200</v>
      </c>
      <c r="F55" s="151" t="s">
        <v>2201</v>
      </c>
      <c r="G55" s="151" t="s">
        <v>2238</v>
      </c>
      <c r="H55" s="151" t="s">
        <v>2257</v>
      </c>
      <c r="J55" s="209" t="s">
        <v>2205</v>
      </c>
      <c r="K55" s="151" t="s">
        <v>2204</v>
      </c>
      <c r="L55" s="839" t="s">
        <v>2237</v>
      </c>
      <c r="N55" s="209" t="s">
        <v>2249</v>
      </c>
      <c r="O55" s="151" t="s">
        <v>2250</v>
      </c>
      <c r="P55" s="839" t="s">
        <v>2237</v>
      </c>
      <c r="Q55" s="791"/>
      <c r="R55" s="145"/>
    </row>
    <row r="56" spans="2:18" x14ac:dyDescent="0.35">
      <c r="B56" s="146"/>
      <c r="C56" s="302" t="s">
        <v>2203</v>
      </c>
      <c r="D56" s="856">
        <v>0.55000000000000004</v>
      </c>
      <c r="E56" s="499">
        <v>6</v>
      </c>
      <c r="F56" s="499">
        <f>E56/2</f>
        <v>3</v>
      </c>
      <c r="G56" s="499">
        <v>2</v>
      </c>
      <c r="H56" s="499">
        <v>1</v>
      </c>
      <c r="J56" s="827">
        <f>(J48*D56*E56)+(J48*(100%-D56)*F56)</f>
        <v>164839.7115304136</v>
      </c>
      <c r="K56" s="827">
        <f>(K48*D56*E56)+(K48*(100%-D56)*F56)</f>
        <v>164839.7115304136</v>
      </c>
      <c r="L56" s="115">
        <f>K56-J56</f>
        <v>0</v>
      </c>
      <c r="N56" s="827">
        <f>(J48*D56*G56)+(J48*(100%-D56)*H56)</f>
        <v>54946.570510137855</v>
      </c>
      <c r="O56" s="827">
        <f>(K48*D56*G56)+(K48*(100%-D56)*H56)</f>
        <v>54946.570510137855</v>
      </c>
      <c r="P56" s="115">
        <f>O56-N56</f>
        <v>0</v>
      </c>
      <c r="Q56" s="791"/>
      <c r="R56" s="145"/>
    </row>
    <row r="57" spans="2:18" x14ac:dyDescent="0.35">
      <c r="B57" s="146"/>
      <c r="C57" s="302" t="s">
        <v>2261</v>
      </c>
      <c r="D57" s="856">
        <v>0.55000000000000004</v>
      </c>
      <c r="E57" s="499"/>
      <c r="F57" s="499"/>
      <c r="G57" s="499">
        <v>2</v>
      </c>
      <c r="H57" s="499">
        <v>1</v>
      </c>
      <c r="J57" s="827">
        <f>(J49*D57*E57)+(J49*(100%-D57)*F57)</f>
        <v>0</v>
      </c>
      <c r="K57" s="827">
        <f>(K49*D57*E57)+(K49*(100%-D57)*F57)</f>
        <v>0</v>
      </c>
      <c r="L57" s="115">
        <f>K57-J57</f>
        <v>0</v>
      </c>
      <c r="N57" s="827">
        <f t="shared" ref="N57:N59" si="3">(J49*D57*G57)+(J49*(100%-D57)*H57)</f>
        <v>0</v>
      </c>
      <c r="O57" s="827">
        <f t="shared" ref="O57:O59" si="4">(K49*D57*G57)+(K49*(100%-D57)*H57)</f>
        <v>0</v>
      </c>
      <c r="P57" s="115">
        <f t="shared" ref="P57" si="5">O57-N57</f>
        <v>0</v>
      </c>
      <c r="Q57" s="791"/>
      <c r="R57" s="145"/>
    </row>
    <row r="58" spans="2:18" x14ac:dyDescent="0.35">
      <c r="B58" s="146"/>
      <c r="C58" s="302" t="s">
        <v>2262</v>
      </c>
      <c r="D58" s="856">
        <v>0.55000000000000004</v>
      </c>
      <c r="E58" s="499"/>
      <c r="F58" s="499"/>
      <c r="G58" s="499">
        <v>2</v>
      </c>
      <c r="H58" s="499">
        <v>1</v>
      </c>
      <c r="J58" s="827">
        <f>(J50*D58*E58)+(J50*(100%-D58)*F58)</f>
        <v>0</v>
      </c>
      <c r="K58" s="827">
        <f>(K50*D58*E58)+(K50*(100%-D58)*F58)</f>
        <v>0</v>
      </c>
      <c r="L58" s="115">
        <f>K58-J58</f>
        <v>0</v>
      </c>
      <c r="N58" s="827">
        <f t="shared" si="3"/>
        <v>0</v>
      </c>
      <c r="O58" s="827">
        <f t="shared" si="4"/>
        <v>0</v>
      </c>
      <c r="P58" s="115">
        <f t="shared" ref="P58:P59" si="6">O58-N58</f>
        <v>0</v>
      </c>
      <c r="Q58" s="791"/>
      <c r="R58" s="145"/>
    </row>
    <row r="59" spans="2:18" x14ac:dyDescent="0.35">
      <c r="B59" s="146"/>
      <c r="C59" s="302" t="s">
        <v>2258</v>
      </c>
      <c r="D59" s="857"/>
      <c r="E59" s="858"/>
      <c r="F59" s="858"/>
      <c r="G59" s="499">
        <v>0</v>
      </c>
      <c r="H59" s="499">
        <v>0</v>
      </c>
      <c r="J59" s="846"/>
      <c r="K59" s="846"/>
      <c r="L59" s="847"/>
      <c r="N59" s="827">
        <f t="shared" si="3"/>
        <v>0</v>
      </c>
      <c r="O59" s="827">
        <f t="shared" si="4"/>
        <v>0</v>
      </c>
      <c r="P59" s="115">
        <f t="shared" si="6"/>
        <v>0</v>
      </c>
      <c r="Q59" s="791"/>
      <c r="R59" s="145"/>
    </row>
    <row r="60" spans="2:18" x14ac:dyDescent="0.35">
      <c r="B60" s="146"/>
      <c r="C60" s="170"/>
      <c r="D60" s="170"/>
      <c r="F60" s="170"/>
      <c r="J60" s="841">
        <f>SUM(J56:J59)</f>
        <v>164839.7115304136</v>
      </c>
      <c r="K60" s="841">
        <f>SUM(K56:K58)</f>
        <v>164839.7115304136</v>
      </c>
      <c r="L60" s="841">
        <f>SUM(L56:L58)</f>
        <v>0</v>
      </c>
      <c r="N60" s="841">
        <f>SUM(N56:N59)</f>
        <v>54946.570510137855</v>
      </c>
      <c r="O60" s="841">
        <f>SUM(O56:O59)</f>
        <v>54946.570510137855</v>
      </c>
      <c r="P60" s="841">
        <f>SUM(P56:P59)</f>
        <v>0</v>
      </c>
      <c r="Q60" s="791"/>
      <c r="R60" s="145"/>
    </row>
    <row r="61" spans="2:18" x14ac:dyDescent="0.35">
      <c r="B61" s="146"/>
      <c r="D61" s="717"/>
      <c r="E61" s="717"/>
      <c r="F61" s="717"/>
      <c r="H61" s="717"/>
      <c r="I61" s="717"/>
      <c r="R61" s="145"/>
    </row>
    <row r="62" spans="2:18" x14ac:dyDescent="0.35">
      <c r="B62" s="146"/>
      <c r="C62" t="s">
        <v>2248</v>
      </c>
      <c r="D62" s="453" t="s">
        <v>2181</v>
      </c>
      <c r="E62" s="717"/>
      <c r="F62" s="717"/>
      <c r="G62" s="717"/>
      <c r="H62" s="717"/>
      <c r="I62" s="717"/>
      <c r="R62" s="145"/>
    </row>
    <row r="63" spans="2:18" x14ac:dyDescent="0.35">
      <c r="B63" s="146"/>
      <c r="C63" t="s">
        <v>2264</v>
      </c>
      <c r="D63" s="453"/>
      <c r="E63" s="717"/>
      <c r="F63" s="717"/>
      <c r="G63" s="717"/>
      <c r="H63" s="717"/>
      <c r="I63" s="717"/>
      <c r="R63" s="145"/>
    </row>
    <row r="64" spans="2:18" x14ac:dyDescent="0.35">
      <c r="B64" s="146"/>
      <c r="C64" t="s">
        <v>2234</v>
      </c>
      <c r="D64" s="717"/>
      <c r="E64" s="717"/>
      <c r="F64" s="717"/>
      <c r="G64" s="717"/>
      <c r="H64" s="717"/>
      <c r="I64" s="717"/>
      <c r="R64" s="145"/>
    </row>
    <row r="65" spans="2:18" x14ac:dyDescent="0.35">
      <c r="B65" s="146"/>
      <c r="C65" t="s">
        <v>2228</v>
      </c>
      <c r="D65" s="717"/>
      <c r="E65" s="717"/>
      <c r="F65" s="717"/>
      <c r="G65" s="717"/>
      <c r="H65" s="717"/>
      <c r="I65" s="717"/>
      <c r="R65" s="145"/>
    </row>
    <row r="66" spans="2:18" x14ac:dyDescent="0.35">
      <c r="B66" s="146"/>
      <c r="D66" s="717"/>
      <c r="E66" s="717"/>
      <c r="F66" s="717"/>
      <c r="G66" s="717"/>
      <c r="H66" s="717"/>
      <c r="I66" s="717"/>
      <c r="R66" s="145"/>
    </row>
    <row r="67" spans="2:18" x14ac:dyDescent="0.35">
      <c r="B67" s="147"/>
      <c r="C67" s="148"/>
      <c r="D67" s="148"/>
      <c r="E67" s="148"/>
      <c r="F67" s="148"/>
      <c r="G67" s="148"/>
      <c r="H67" s="148"/>
      <c r="I67" s="148"/>
      <c r="J67" s="148"/>
      <c r="K67" s="148"/>
      <c r="L67" s="148"/>
      <c r="M67" s="148"/>
      <c r="N67" s="148"/>
      <c r="O67" s="148"/>
      <c r="P67" s="148"/>
      <c r="Q67" s="148"/>
      <c r="R67" s="149"/>
    </row>
    <row r="68" spans="2:18" x14ac:dyDescent="0.35">
      <c r="C68" s="714"/>
      <c r="D68" s="715"/>
      <c r="E68" s="311"/>
      <c r="F68" s="311"/>
      <c r="G68" s="170"/>
    </row>
    <row r="69" spans="2:18" x14ac:dyDescent="0.35">
      <c r="B69" s="143" t="s">
        <v>558</v>
      </c>
      <c r="C69" s="609"/>
      <c r="D69" s="609"/>
      <c r="E69" s="609"/>
      <c r="F69" s="609"/>
      <c r="G69" s="609"/>
      <c r="H69" s="609"/>
      <c r="I69" s="609"/>
      <c r="J69" s="609"/>
      <c r="K69" s="609"/>
      <c r="L69" s="609"/>
      <c r="M69" s="609"/>
      <c r="N69" s="609"/>
      <c r="O69" s="609"/>
      <c r="P69" s="609"/>
      <c r="Q69" s="609"/>
      <c r="R69" s="580"/>
    </row>
    <row r="70" spans="2:18" x14ac:dyDescent="0.35">
      <c r="B70" s="144"/>
      <c r="R70" s="145"/>
    </row>
    <row r="71" spans="2:18" ht="15.5" x14ac:dyDescent="0.35">
      <c r="B71" s="146"/>
      <c r="C71" s="768"/>
      <c r="D71" s="769"/>
      <c r="E71" s="770"/>
      <c r="F71" s="770"/>
      <c r="R71" s="145"/>
    </row>
    <row r="72" spans="2:18" ht="46.9" customHeight="1" x14ac:dyDescent="0.35">
      <c r="B72" s="146"/>
      <c r="C72" s="801" t="s">
        <v>2198</v>
      </c>
      <c r="D72" s="793" t="s">
        <v>2151</v>
      </c>
      <c r="E72" s="776" t="s">
        <v>647</v>
      </c>
      <c r="F72" s="793" t="s">
        <v>2206</v>
      </c>
      <c r="G72" s="829" t="s">
        <v>2229</v>
      </c>
      <c r="I72" s="776" t="s">
        <v>648</v>
      </c>
      <c r="J72" s="817" t="s">
        <v>2211</v>
      </c>
      <c r="K72" s="816" t="s">
        <v>2208</v>
      </c>
      <c r="L72" s="817" t="s">
        <v>2209</v>
      </c>
      <c r="R72" s="145"/>
    </row>
    <row r="73" spans="2:18" ht="15.5" x14ac:dyDescent="0.35">
      <c r="B73" s="146"/>
      <c r="C73" s="771" t="s">
        <v>2153</v>
      </c>
      <c r="D73" s="772">
        <v>50</v>
      </c>
      <c r="E73" s="773">
        <v>0.2</v>
      </c>
      <c r="F73" s="773">
        <f>100%/7</f>
        <v>0.14285714285714285</v>
      </c>
      <c r="G73" s="830">
        <f>F73*(L$50+L$49)</f>
        <v>0</v>
      </c>
      <c r="I73" s="774">
        <f t="shared" ref="I73:I79" si="7">D73*(100%+E73)</f>
        <v>60</v>
      </c>
      <c r="J73" s="242">
        <f>(((J$50+J$49)*$F73)*$I73)/1000</f>
        <v>0</v>
      </c>
      <c r="K73" s="242">
        <f>(((K$50+K$49)*$F73)*$I73)/1000</f>
        <v>0</v>
      </c>
      <c r="L73" s="242">
        <f>K73-J73</f>
        <v>0</v>
      </c>
      <c r="R73" s="145"/>
    </row>
    <row r="74" spans="2:18" ht="15.5" x14ac:dyDescent="0.35">
      <c r="B74" s="146"/>
      <c r="C74" s="775" t="s">
        <v>2154</v>
      </c>
      <c r="D74" s="772">
        <v>22.39</v>
      </c>
      <c r="E74" s="773">
        <v>0.2</v>
      </c>
      <c r="F74" s="773">
        <f t="shared" ref="F74:F79" si="8">100%/7</f>
        <v>0.14285714285714285</v>
      </c>
      <c r="G74" s="830">
        <f t="shared" ref="G74:G79" si="9">F74*(L$50+L$49)</f>
        <v>0</v>
      </c>
      <c r="I74" s="774">
        <f t="shared" si="7"/>
        <v>26.867999999999999</v>
      </c>
      <c r="J74" s="242">
        <f t="shared" ref="J74:K79" si="10">(((J$50+J$49)*$F74)*$I74)/1000</f>
        <v>0</v>
      </c>
      <c r="K74" s="242">
        <f t="shared" si="10"/>
        <v>0</v>
      </c>
      <c r="L74" s="242">
        <f t="shared" ref="L74:L79" si="11">K74-J74</f>
        <v>0</v>
      </c>
      <c r="R74" s="145"/>
    </row>
    <row r="75" spans="2:18" ht="15.5" x14ac:dyDescent="0.35">
      <c r="B75" s="146"/>
      <c r="C75" s="775" t="s">
        <v>2155</v>
      </c>
      <c r="D75" s="772">
        <v>26</v>
      </c>
      <c r="E75" s="773">
        <v>0.2</v>
      </c>
      <c r="F75" s="773">
        <f t="shared" si="8"/>
        <v>0.14285714285714285</v>
      </c>
      <c r="G75" s="830">
        <f t="shared" si="9"/>
        <v>0</v>
      </c>
      <c r="I75" s="774">
        <f t="shared" si="7"/>
        <v>31.2</v>
      </c>
      <c r="J75" s="242">
        <f t="shared" si="10"/>
        <v>0</v>
      </c>
      <c r="K75" s="242">
        <f t="shared" si="10"/>
        <v>0</v>
      </c>
      <c r="L75" s="242">
        <f t="shared" si="11"/>
        <v>0</v>
      </c>
      <c r="R75" s="145"/>
    </row>
    <row r="76" spans="2:18" ht="15.5" x14ac:dyDescent="0.35">
      <c r="B76" s="146"/>
      <c r="C76" s="775" t="s">
        <v>2156</v>
      </c>
      <c r="D76" s="772">
        <v>250</v>
      </c>
      <c r="E76" s="773">
        <v>0.2</v>
      </c>
      <c r="F76" s="773">
        <f t="shared" si="8"/>
        <v>0.14285714285714285</v>
      </c>
      <c r="G76" s="830">
        <f t="shared" si="9"/>
        <v>0</v>
      </c>
      <c r="I76" s="774">
        <f t="shared" si="7"/>
        <v>300</v>
      </c>
      <c r="J76" s="242">
        <f t="shared" si="10"/>
        <v>0</v>
      </c>
      <c r="K76" s="242">
        <f t="shared" si="10"/>
        <v>0</v>
      </c>
      <c r="L76" s="242">
        <f t="shared" si="11"/>
        <v>0</v>
      </c>
      <c r="R76" s="145"/>
    </row>
    <row r="77" spans="2:18" ht="15.5" x14ac:dyDescent="0.35">
      <c r="B77" s="146"/>
      <c r="C77" s="775" t="s">
        <v>2157</v>
      </c>
      <c r="D77" s="772">
        <v>199</v>
      </c>
      <c r="E77" s="773">
        <v>0.2</v>
      </c>
      <c r="F77" s="773">
        <f t="shared" si="8"/>
        <v>0.14285714285714285</v>
      </c>
      <c r="G77" s="830">
        <f t="shared" si="9"/>
        <v>0</v>
      </c>
      <c r="I77" s="774">
        <f t="shared" si="7"/>
        <v>238.79999999999998</v>
      </c>
      <c r="J77" s="242">
        <f t="shared" si="10"/>
        <v>0</v>
      </c>
      <c r="K77" s="242">
        <f t="shared" si="10"/>
        <v>0</v>
      </c>
      <c r="L77" s="242">
        <f t="shared" si="11"/>
        <v>0</v>
      </c>
      <c r="R77" s="145"/>
    </row>
    <row r="78" spans="2:18" ht="15.5" x14ac:dyDescent="0.35">
      <c r="B78" s="146"/>
      <c r="C78" s="775" t="s">
        <v>2158</v>
      </c>
      <c r="D78" s="772">
        <v>66.67</v>
      </c>
      <c r="E78" s="773">
        <v>0.2</v>
      </c>
      <c r="F78" s="773">
        <f t="shared" si="8"/>
        <v>0.14285714285714285</v>
      </c>
      <c r="G78" s="830">
        <f t="shared" si="9"/>
        <v>0</v>
      </c>
      <c r="I78" s="774">
        <f t="shared" si="7"/>
        <v>80.004000000000005</v>
      </c>
      <c r="J78" s="242">
        <f t="shared" si="10"/>
        <v>0</v>
      </c>
      <c r="K78" s="242">
        <f t="shared" si="10"/>
        <v>0</v>
      </c>
      <c r="L78" s="242">
        <f t="shared" si="11"/>
        <v>0</v>
      </c>
      <c r="R78" s="145"/>
    </row>
    <row r="79" spans="2:18" ht="15.5" x14ac:dyDescent="0.35">
      <c r="B79" s="146"/>
      <c r="C79" s="775" t="s">
        <v>2152</v>
      </c>
      <c r="D79" s="772">
        <v>0</v>
      </c>
      <c r="E79" s="773">
        <v>0.2</v>
      </c>
      <c r="F79" s="773">
        <f t="shared" si="8"/>
        <v>0.14285714285714285</v>
      </c>
      <c r="G79" s="830">
        <f t="shared" si="9"/>
        <v>0</v>
      </c>
      <c r="I79" s="774">
        <f t="shared" si="7"/>
        <v>0</v>
      </c>
      <c r="J79" s="242">
        <f t="shared" si="10"/>
        <v>0</v>
      </c>
      <c r="K79" s="242">
        <f t="shared" si="10"/>
        <v>0</v>
      </c>
      <c r="L79" s="242">
        <f t="shared" si="11"/>
        <v>0</v>
      </c>
      <c r="R79" s="145"/>
    </row>
    <row r="80" spans="2:18" x14ac:dyDescent="0.35">
      <c r="B80" s="146"/>
      <c r="C80" s="765"/>
      <c r="D80" s="738"/>
      <c r="E80" s="729"/>
      <c r="F80" s="826">
        <f t="shared" ref="F80:G80" si="12">SUM(F73:F79)</f>
        <v>0.99999999999999978</v>
      </c>
      <c r="G80" s="795">
        <f t="shared" si="12"/>
        <v>0</v>
      </c>
      <c r="J80" s="168">
        <f t="shared" ref="J80:K80" si="13">SUM(J73:J79)</f>
        <v>0</v>
      </c>
      <c r="K80" s="168">
        <f t="shared" si="13"/>
        <v>0</v>
      </c>
      <c r="L80" s="825">
        <f>K80-J80</f>
        <v>0</v>
      </c>
      <c r="R80" s="145"/>
    </row>
    <row r="81" spans="2:18" ht="47.5" customHeight="1" x14ac:dyDescent="0.35">
      <c r="B81" s="146"/>
      <c r="C81" s="866" t="s">
        <v>2159</v>
      </c>
      <c r="D81" s="866"/>
      <c r="E81" s="866"/>
      <c r="F81" s="866"/>
      <c r="R81" s="145"/>
    </row>
    <row r="82" spans="2:18" ht="16.149999999999999" customHeight="1" x14ac:dyDescent="0.35">
      <c r="B82" s="146"/>
      <c r="C82" s="836" t="s">
        <v>2233</v>
      </c>
      <c r="D82" s="778"/>
      <c r="E82" s="778"/>
      <c r="F82" s="778"/>
      <c r="R82" s="145"/>
    </row>
    <row r="83" spans="2:18" ht="16.149999999999999" customHeight="1" x14ac:dyDescent="0.35">
      <c r="B83" s="146"/>
      <c r="C83" s="836"/>
      <c r="D83" s="778"/>
      <c r="E83" s="778"/>
      <c r="F83" s="778"/>
      <c r="R83" s="145"/>
    </row>
    <row r="84" spans="2:18" ht="19.149999999999999" customHeight="1" x14ac:dyDescent="0.35">
      <c r="B84" s="146"/>
      <c r="C84" s="778"/>
      <c r="D84" s="778"/>
      <c r="E84" s="778"/>
      <c r="F84" s="778"/>
      <c r="R84" s="145"/>
    </row>
    <row r="85" spans="2:18" ht="43.5" x14ac:dyDescent="0.35">
      <c r="B85" s="146"/>
      <c r="C85" s="824" t="s">
        <v>2213</v>
      </c>
      <c r="D85" s="817" t="s">
        <v>2242</v>
      </c>
      <c r="E85" s="816" t="s">
        <v>2243</v>
      </c>
      <c r="F85" s="816" t="s">
        <v>2239</v>
      </c>
      <c r="G85" s="816" t="s">
        <v>2260</v>
      </c>
      <c r="H85" s="793" t="s">
        <v>2259</v>
      </c>
      <c r="J85" s="817" t="s">
        <v>2211</v>
      </c>
      <c r="K85" s="816" t="s">
        <v>2208</v>
      </c>
      <c r="L85" s="817" t="s">
        <v>2209</v>
      </c>
      <c r="R85" s="145"/>
    </row>
    <row r="86" spans="2:18" ht="17.5" customHeight="1" x14ac:dyDescent="0.35">
      <c r="B86" s="146"/>
      <c r="C86" s="820" t="s">
        <v>2212</v>
      </c>
      <c r="D86" s="828">
        <f t="shared" ref="D86:E88" si="14">J56</f>
        <v>164839.7115304136</v>
      </c>
      <c r="E86" s="828">
        <f t="shared" si="14"/>
        <v>164839.7115304136</v>
      </c>
      <c r="F86" s="828">
        <f>E86-D86</f>
        <v>0</v>
      </c>
      <c r="G86" s="861">
        <v>3</v>
      </c>
      <c r="H86" s="772">
        <f>I106/G86</f>
        <v>31.117137847837814</v>
      </c>
      <c r="J86" s="242">
        <f>(D86*$H86)/1000</f>
        <v>5129.3400264897</v>
      </c>
      <c r="K86" s="242">
        <f>(E86*$H86)/1000</f>
        <v>5129.3400264897</v>
      </c>
      <c r="L86" s="242">
        <f>K86-J86</f>
        <v>0</v>
      </c>
      <c r="R86" s="145"/>
    </row>
    <row r="87" spans="2:18" ht="17.5" customHeight="1" x14ac:dyDescent="0.35">
      <c r="B87" s="146"/>
      <c r="C87" s="302" t="s">
        <v>2261</v>
      </c>
      <c r="D87" s="828">
        <f t="shared" si="14"/>
        <v>0</v>
      </c>
      <c r="E87" s="828">
        <f t="shared" si="14"/>
        <v>0</v>
      </c>
      <c r="F87" s="828">
        <f>E87-D87</f>
        <v>0</v>
      </c>
      <c r="G87" s="861"/>
      <c r="H87" s="772"/>
      <c r="J87" s="242">
        <f t="shared" ref="J87:J88" si="15">(D87*$H87)/1000</f>
        <v>0</v>
      </c>
      <c r="K87" s="242">
        <f t="shared" ref="K87:K88" si="16">(E87*$H87)/1000</f>
        <v>0</v>
      </c>
      <c r="L87" s="242">
        <f>K87-J87</f>
        <v>0</v>
      </c>
      <c r="R87" s="145"/>
    </row>
    <row r="88" spans="2:18" ht="17.5" customHeight="1" x14ac:dyDescent="0.35">
      <c r="B88" s="146"/>
      <c r="C88" s="302" t="s">
        <v>2262</v>
      </c>
      <c r="D88" s="828">
        <f t="shared" si="14"/>
        <v>0</v>
      </c>
      <c r="E88" s="828">
        <f t="shared" si="14"/>
        <v>0</v>
      </c>
      <c r="F88" s="828">
        <f>E88-D88</f>
        <v>0</v>
      </c>
      <c r="G88" s="861">
        <v>3</v>
      </c>
      <c r="H88" s="772">
        <f>J106/G88</f>
        <v>31.117137847837814</v>
      </c>
      <c r="J88" s="242">
        <f t="shared" si="15"/>
        <v>0</v>
      </c>
      <c r="K88" s="242">
        <f t="shared" si="16"/>
        <v>0</v>
      </c>
      <c r="L88" s="242">
        <f>K88-J88</f>
        <v>0</v>
      </c>
      <c r="R88" s="145"/>
    </row>
    <row r="89" spans="2:18" s="135" customFormat="1" ht="17.5" customHeight="1" x14ac:dyDescent="0.35">
      <c r="B89" s="144"/>
      <c r="C89" s="247" t="s">
        <v>2230</v>
      </c>
      <c r="D89" s="849">
        <f>SUM(D86:D88)</f>
        <v>164839.7115304136</v>
      </c>
      <c r="E89" s="849">
        <f>SUM(E86:E88)</f>
        <v>164839.7115304136</v>
      </c>
      <c r="F89" s="849">
        <f>SUM(F86:F88)</f>
        <v>0</v>
      </c>
      <c r="G89" s="849"/>
      <c r="H89" s="835"/>
      <c r="J89" s="168">
        <f>SUM(J86:J88)</f>
        <v>5129.3400264897</v>
      </c>
      <c r="K89" s="168">
        <f>SUM(K86:K88)</f>
        <v>5129.3400264897</v>
      </c>
      <c r="L89" s="825">
        <f>K89-J89</f>
        <v>0</v>
      </c>
      <c r="R89" s="834"/>
    </row>
    <row r="90" spans="2:18" s="135" customFormat="1" ht="17.5" customHeight="1" x14ac:dyDescent="0.35">
      <c r="B90" s="144"/>
      <c r="C90" s="854" t="s">
        <v>607</v>
      </c>
      <c r="D90" s="851"/>
      <c r="E90" s="851"/>
      <c r="F90" s="851"/>
      <c r="G90" s="851"/>
      <c r="H90" s="833"/>
      <c r="I90" s="735"/>
      <c r="J90" s="844"/>
      <c r="K90" s="844"/>
      <c r="L90" s="845"/>
      <c r="R90" s="834"/>
    </row>
    <row r="91" spans="2:18" s="135" customFormat="1" ht="17.5" customHeight="1" x14ac:dyDescent="0.35">
      <c r="B91" s="144"/>
      <c r="C91" s="852" t="s">
        <v>2266</v>
      </c>
      <c r="D91" s="851"/>
      <c r="E91" s="851"/>
      <c r="F91" s="851"/>
      <c r="G91" s="851"/>
      <c r="H91" s="833"/>
      <c r="I91" s="735"/>
      <c r="J91" s="844"/>
      <c r="K91" s="844"/>
      <c r="L91" s="845"/>
      <c r="R91" s="834"/>
    </row>
    <row r="92" spans="2:18" s="135" customFormat="1" ht="17.5" customHeight="1" x14ac:dyDescent="0.35">
      <c r="B92" s="144"/>
      <c r="C92" s="850"/>
      <c r="D92" s="851"/>
      <c r="E92" s="851"/>
      <c r="F92" s="851"/>
      <c r="G92" s="735"/>
      <c r="H92" s="833"/>
      <c r="I92" s="735"/>
      <c r="J92" s="844"/>
      <c r="K92" s="844"/>
      <c r="L92" s="845"/>
      <c r="R92" s="834"/>
    </row>
    <row r="93" spans="2:18" s="135" customFormat="1" ht="43.5" x14ac:dyDescent="0.35">
      <c r="B93" s="144"/>
      <c r="C93" s="824" t="s">
        <v>2244</v>
      </c>
      <c r="D93" s="817" t="s">
        <v>2245</v>
      </c>
      <c r="E93" s="816" t="s">
        <v>2246</v>
      </c>
      <c r="F93" s="816" t="s">
        <v>2247</v>
      </c>
      <c r="G93" s="793" t="s">
        <v>2259</v>
      </c>
      <c r="I93"/>
      <c r="J93" s="817" t="s">
        <v>2211</v>
      </c>
      <c r="K93" s="816" t="s">
        <v>2208</v>
      </c>
      <c r="L93" s="817" t="s">
        <v>2209</v>
      </c>
      <c r="R93" s="834"/>
    </row>
    <row r="94" spans="2:18" s="135" customFormat="1" ht="17.5" customHeight="1" x14ac:dyDescent="0.35">
      <c r="B94" s="144"/>
      <c r="C94" s="820" t="s">
        <v>2212</v>
      </c>
      <c r="D94" s="828">
        <f t="shared" ref="D94:E97" si="17">N56</f>
        <v>54946.570510137855</v>
      </c>
      <c r="E94" s="828">
        <f t="shared" si="17"/>
        <v>54946.570510137855</v>
      </c>
      <c r="F94" s="828">
        <f>E94-D94</f>
        <v>0</v>
      </c>
      <c r="G94" s="772">
        <f>I113</f>
        <v>145.48391936121385</v>
      </c>
      <c r="I94"/>
      <c r="J94" s="242">
        <f t="shared" ref="J94:K97" si="18">(D94*$G94)/1000</f>
        <v>7993.842433272147</v>
      </c>
      <c r="K94" s="242">
        <f t="shared" si="18"/>
        <v>7993.842433272147</v>
      </c>
      <c r="L94" s="242">
        <f>K94-J94</f>
        <v>0</v>
      </c>
      <c r="R94" s="834"/>
    </row>
    <row r="95" spans="2:18" s="135" customFormat="1" ht="17.5" customHeight="1" x14ac:dyDescent="0.35">
      <c r="B95" s="144"/>
      <c r="C95" s="302" t="s">
        <v>2261</v>
      </c>
      <c r="D95" s="828">
        <f t="shared" si="17"/>
        <v>0</v>
      </c>
      <c r="E95" s="828">
        <f t="shared" si="17"/>
        <v>0</v>
      </c>
      <c r="F95" s="828">
        <f t="shared" ref="F95" si="19">E95-D95</f>
        <v>0</v>
      </c>
      <c r="G95" s="772">
        <f>J113</f>
        <v>145.48391936121385</v>
      </c>
      <c r="I95"/>
      <c r="J95" s="242">
        <f t="shared" si="18"/>
        <v>0</v>
      </c>
      <c r="K95" s="242">
        <f t="shared" si="18"/>
        <v>0</v>
      </c>
      <c r="L95" s="242">
        <f>K95-J95</f>
        <v>0</v>
      </c>
      <c r="R95" s="834"/>
    </row>
    <row r="96" spans="2:18" s="135" customFormat="1" ht="17.5" customHeight="1" x14ac:dyDescent="0.35">
      <c r="B96" s="144"/>
      <c r="C96" s="302" t="s">
        <v>2262</v>
      </c>
      <c r="D96" s="828">
        <f t="shared" si="17"/>
        <v>0</v>
      </c>
      <c r="E96" s="828">
        <f t="shared" si="17"/>
        <v>0</v>
      </c>
      <c r="F96" s="828">
        <f t="shared" ref="F96:F97" si="20">E96-D96</f>
        <v>0</v>
      </c>
      <c r="G96" s="772">
        <f>J113</f>
        <v>145.48391936121385</v>
      </c>
      <c r="I96"/>
      <c r="J96" s="242">
        <f t="shared" si="18"/>
        <v>0</v>
      </c>
      <c r="K96" s="242">
        <f t="shared" si="18"/>
        <v>0</v>
      </c>
      <c r="L96" s="242">
        <f>K96-J96</f>
        <v>0</v>
      </c>
      <c r="R96" s="834"/>
    </row>
    <row r="97" spans="2:18" s="135" customFormat="1" ht="17.5" customHeight="1" x14ac:dyDescent="0.35">
      <c r="B97" s="144"/>
      <c r="C97" s="302" t="s">
        <v>2160</v>
      </c>
      <c r="D97" s="828">
        <f t="shared" si="17"/>
        <v>0</v>
      </c>
      <c r="E97" s="828">
        <f t="shared" si="17"/>
        <v>0</v>
      </c>
      <c r="F97" s="828">
        <f t="shared" si="20"/>
        <v>0</v>
      </c>
      <c r="G97" s="772">
        <f>I113</f>
        <v>145.48391936121385</v>
      </c>
      <c r="I97"/>
      <c r="J97" s="242">
        <f t="shared" si="18"/>
        <v>0</v>
      </c>
      <c r="K97" s="242">
        <f t="shared" si="18"/>
        <v>0</v>
      </c>
      <c r="L97" s="242">
        <f>K97-J97</f>
        <v>0</v>
      </c>
      <c r="R97" s="834"/>
    </row>
    <row r="98" spans="2:18" s="135" customFormat="1" ht="17.5" customHeight="1" x14ac:dyDescent="0.35">
      <c r="B98" s="144"/>
      <c r="C98" s="247" t="s">
        <v>2230</v>
      </c>
      <c r="D98" s="849">
        <f>SUM(D94:D97)</f>
        <v>54946.570510137855</v>
      </c>
      <c r="E98" s="849">
        <f t="shared" ref="E98:F98" si="21">SUM(E94:E97)</f>
        <v>54946.570510137855</v>
      </c>
      <c r="F98" s="849">
        <f t="shared" si="21"/>
        <v>0</v>
      </c>
      <c r="G98" s="835"/>
      <c r="J98" s="168">
        <f>SUM(J94:J97)</f>
        <v>7993.842433272147</v>
      </c>
      <c r="K98" s="168">
        <f>SUM(K94:K97)</f>
        <v>7993.842433272147</v>
      </c>
      <c r="L98" s="168">
        <f>SUM(L94:L97)</f>
        <v>0</v>
      </c>
      <c r="R98" s="834"/>
    </row>
    <row r="99" spans="2:18" s="135" customFormat="1" ht="17.5" customHeight="1" x14ac:dyDescent="0.35">
      <c r="B99" s="144"/>
      <c r="D99" s="851"/>
      <c r="E99" s="851"/>
      <c r="F99" s="851"/>
      <c r="G99" s="851"/>
      <c r="H99" s="833"/>
      <c r="I99" s="735"/>
      <c r="J99" s="844"/>
      <c r="K99" s="844"/>
      <c r="L99" s="845"/>
      <c r="R99" s="834"/>
    </row>
    <row r="100" spans="2:18" s="135" customFormat="1" ht="17.5" customHeight="1" x14ac:dyDescent="0.35">
      <c r="B100" s="144"/>
      <c r="C100" s="852" t="s">
        <v>2263</v>
      </c>
      <c r="D100" s="843"/>
      <c r="E100" s="843"/>
      <c r="F100" s="843"/>
      <c r="G100" s="833"/>
      <c r="H100" s="833"/>
      <c r="I100" s="735"/>
      <c r="J100" s="844"/>
      <c r="K100" s="844"/>
      <c r="L100" s="845"/>
      <c r="M100" s="735"/>
      <c r="R100" s="834"/>
    </row>
    <row r="101" spans="2:18" s="135" customFormat="1" ht="45" customHeight="1" x14ac:dyDescent="0.35">
      <c r="B101" s="144"/>
      <c r="C101" s="792" t="s">
        <v>2240</v>
      </c>
      <c r="D101" s="481" t="s">
        <v>2193</v>
      </c>
      <c r="E101" s="794" t="s">
        <v>2183</v>
      </c>
      <c r="F101" s="797" t="s">
        <v>2194</v>
      </c>
      <c r="G101" s="797" t="s">
        <v>2195</v>
      </c>
      <c r="H101" s="353" t="s">
        <v>745</v>
      </c>
      <c r="I101" s="353" t="s">
        <v>2196</v>
      </c>
      <c r="J101" s="353" t="s">
        <v>2197</v>
      </c>
      <c r="K101" s="844"/>
      <c r="L101" s="845"/>
      <c r="M101" s="735"/>
      <c r="R101" s="834"/>
    </row>
    <row r="102" spans="2:18" s="135" customFormat="1" ht="17.5" customHeight="1" x14ac:dyDescent="0.35">
      <c r="B102" s="144"/>
      <c r="C102" s="499" t="s">
        <v>2187</v>
      </c>
      <c r="D102" s="499" t="s">
        <v>2165</v>
      </c>
      <c r="E102" s="799">
        <v>8959</v>
      </c>
      <c r="F102" s="800">
        <f>E102/$E$106</f>
        <v>9.8701098392623032E-2</v>
      </c>
      <c r="G102" s="800">
        <f>E102/$E$106</f>
        <v>9.8701098392623032E-2</v>
      </c>
      <c r="H102" s="862">
        <v>92.662595604385558</v>
      </c>
      <c r="I102" s="832">
        <f t="shared" ref="I102:I105" si="22">H102*F102</f>
        <v>9.145899966064297</v>
      </c>
      <c r="J102" s="832">
        <f t="shared" ref="J102:J105" si="23">H102*G102</f>
        <v>9.145899966064297</v>
      </c>
      <c r="K102" s="844"/>
      <c r="L102" s="845"/>
      <c r="M102" s="735"/>
      <c r="R102" s="834"/>
    </row>
    <row r="103" spans="2:18" s="135" customFormat="1" ht="17.5" customHeight="1" x14ac:dyDescent="0.35">
      <c r="B103" s="144"/>
      <c r="C103" s="499" t="s">
        <v>2188</v>
      </c>
      <c r="D103" s="499" t="s">
        <v>2169</v>
      </c>
      <c r="E103" s="799">
        <v>7280</v>
      </c>
      <c r="F103" s="800">
        <f>E103/$E$106</f>
        <v>8.0203593737950177E-2</v>
      </c>
      <c r="G103" s="800">
        <f>E103/$E$106</f>
        <v>8.0203593737950177E-2</v>
      </c>
      <c r="H103" s="862">
        <v>126.91720180133105</v>
      </c>
      <c r="I103" s="832">
        <f t="shared" si="22"/>
        <v>10.179215691631393</v>
      </c>
      <c r="J103" s="832">
        <f t="shared" si="23"/>
        <v>10.179215691631393</v>
      </c>
      <c r="K103" s="844"/>
      <c r="L103" s="845"/>
      <c r="M103" s="735"/>
      <c r="R103" s="834"/>
    </row>
    <row r="104" spans="2:18" s="135" customFormat="1" ht="17.5" customHeight="1" x14ac:dyDescent="0.35">
      <c r="B104" s="144"/>
      <c r="C104" s="499" t="s">
        <v>2191</v>
      </c>
      <c r="D104" s="499" t="s">
        <v>2163</v>
      </c>
      <c r="E104" s="799">
        <v>60272</v>
      </c>
      <c r="F104" s="800">
        <f>E104/$E$106</f>
        <v>0.66401524749639196</v>
      </c>
      <c r="G104" s="800">
        <f>E104/$E$106</f>
        <v>0.66401524749639196</v>
      </c>
      <c r="H104" s="862">
        <v>78.554339166510331</v>
      </c>
      <c r="I104" s="832">
        <f t="shared" si="22"/>
        <v>52.161278963565877</v>
      </c>
      <c r="J104" s="832">
        <f t="shared" si="23"/>
        <v>52.161278963565877</v>
      </c>
      <c r="K104" s="844"/>
      <c r="L104" s="845"/>
      <c r="M104" s="735"/>
      <c r="R104" s="834"/>
    </row>
    <row r="105" spans="2:18" s="135" customFormat="1" ht="17.5" customHeight="1" x14ac:dyDescent="0.35">
      <c r="B105" s="144"/>
      <c r="C105" s="499" t="s">
        <v>2192</v>
      </c>
      <c r="D105" s="499" t="s">
        <v>2167</v>
      </c>
      <c r="E105" s="799">
        <v>14258</v>
      </c>
      <c r="F105" s="800">
        <f>E105/$E$106</f>
        <v>0.15708006037303485</v>
      </c>
      <c r="G105" s="800">
        <f>E105/$E$106</f>
        <v>0.15708006037303485</v>
      </c>
      <c r="H105" s="862">
        <v>139.19665468886802</v>
      </c>
      <c r="I105" s="832">
        <f t="shared" si="22"/>
        <v>21.865018922251874</v>
      </c>
      <c r="J105" s="832">
        <f t="shared" si="23"/>
        <v>21.865018922251874</v>
      </c>
      <c r="K105" s="844"/>
      <c r="L105" s="845"/>
      <c r="M105" s="735"/>
      <c r="R105" s="834"/>
    </row>
    <row r="106" spans="2:18" s="135" customFormat="1" ht="17.5" customHeight="1" x14ac:dyDescent="0.35">
      <c r="B106" s="144"/>
      <c r="C106" s="792" t="s">
        <v>2184</v>
      </c>
      <c r="D106" s="185"/>
      <c r="E106" s="795">
        <f>SUM(E102:E105)</f>
        <v>90769</v>
      </c>
      <c r="F106" s="798">
        <f>SUM(F102:F105)</f>
        <v>1</v>
      </c>
      <c r="G106" s="798">
        <f>SUM(G102:G105)</f>
        <v>1</v>
      </c>
      <c r="H106" s="183"/>
      <c r="I106" s="796">
        <f>SUM(I102:I105)</f>
        <v>93.351413543513445</v>
      </c>
      <c r="J106" s="796">
        <f>SUM(J102:J105)</f>
        <v>93.351413543513445</v>
      </c>
      <c r="K106" s="844"/>
      <c r="L106" s="845"/>
      <c r="M106" s="735"/>
      <c r="R106" s="834"/>
    </row>
    <row r="107" spans="2:18" ht="17.5" customHeight="1" x14ac:dyDescent="0.35">
      <c r="B107" s="146"/>
      <c r="C107" s="778"/>
      <c r="D107" s="778"/>
      <c r="E107" s="778"/>
      <c r="F107" s="778"/>
      <c r="G107" s="732"/>
      <c r="H107" s="732"/>
      <c r="I107" s="732"/>
      <c r="J107" s="732"/>
      <c r="K107" s="732"/>
      <c r="L107" s="732"/>
      <c r="M107" s="732"/>
      <c r="R107" s="145"/>
    </row>
    <row r="108" spans="2:18" ht="40.9" customHeight="1" x14ac:dyDescent="0.35">
      <c r="B108" s="146"/>
      <c r="C108" s="792" t="s">
        <v>2241</v>
      </c>
      <c r="D108" s="481" t="s">
        <v>2193</v>
      </c>
      <c r="E108" s="794" t="s">
        <v>2183</v>
      </c>
      <c r="F108" s="797" t="s">
        <v>2194</v>
      </c>
      <c r="G108" s="797" t="s">
        <v>2195</v>
      </c>
      <c r="H108" s="353" t="s">
        <v>745</v>
      </c>
      <c r="I108" s="353" t="s">
        <v>2196</v>
      </c>
      <c r="J108" s="353" t="s">
        <v>2197</v>
      </c>
      <c r="R108" s="145"/>
    </row>
    <row r="109" spans="2:18" ht="17.5" customHeight="1" x14ac:dyDescent="0.35">
      <c r="B109" s="146"/>
      <c r="C109" s="499" t="s">
        <v>2185</v>
      </c>
      <c r="D109" s="499" t="s">
        <v>2165</v>
      </c>
      <c r="E109" s="799">
        <v>4916</v>
      </c>
      <c r="F109" s="800">
        <f t="shared" ref="F109:F111" si="24">E109/$E$113</f>
        <v>8.896932404307302E-2</v>
      </c>
      <c r="G109" s="800">
        <f>E109/$E$113</f>
        <v>8.896932404307302E-2</v>
      </c>
      <c r="H109" s="862">
        <v>437.53408002593369</v>
      </c>
      <c r="I109" s="832">
        <f t="shared" ref="I109:I112" si="25">H109*F109</f>
        <v>38.92711134571514</v>
      </c>
      <c r="J109" s="832">
        <f t="shared" ref="J109:J112" si="26">H109*G109</f>
        <v>38.92711134571514</v>
      </c>
      <c r="R109" s="145"/>
    </row>
    <row r="110" spans="2:18" ht="17.5" customHeight="1" x14ac:dyDescent="0.35">
      <c r="B110" s="146"/>
      <c r="C110" s="499" t="s">
        <v>2186</v>
      </c>
      <c r="D110" s="499" t="s">
        <v>2169</v>
      </c>
      <c r="E110" s="799">
        <v>4115</v>
      </c>
      <c r="F110" s="800">
        <f t="shared" si="24"/>
        <v>7.4472898380237088E-2</v>
      </c>
      <c r="G110" s="800">
        <f>E110/$E$113</f>
        <v>7.4472898380237088E-2</v>
      </c>
      <c r="H110" s="862">
        <v>73.122977702398543</v>
      </c>
      <c r="I110" s="832">
        <f t="shared" si="25"/>
        <v>5.4456800876910689</v>
      </c>
      <c r="J110" s="832">
        <f t="shared" si="26"/>
        <v>5.4456800876910689</v>
      </c>
      <c r="R110" s="145"/>
    </row>
    <row r="111" spans="2:18" ht="17.5" customHeight="1" x14ac:dyDescent="0.35">
      <c r="B111" s="146"/>
      <c r="C111" s="499" t="s">
        <v>2189</v>
      </c>
      <c r="D111" s="499" t="s">
        <v>2163</v>
      </c>
      <c r="E111" s="799">
        <v>32047</v>
      </c>
      <c r="F111" s="800">
        <f t="shared" si="24"/>
        <v>0.57998371188127773</v>
      </c>
      <c r="G111" s="800">
        <f>E111/$E$113</f>
        <v>0.57998371188127773</v>
      </c>
      <c r="H111" s="862">
        <v>121.86442199233315</v>
      </c>
      <c r="I111" s="832">
        <f t="shared" si="25"/>
        <v>70.679379813379796</v>
      </c>
      <c r="J111" s="832">
        <f t="shared" si="26"/>
        <v>70.679379813379796</v>
      </c>
      <c r="R111" s="145"/>
    </row>
    <row r="112" spans="2:18" ht="17.5" customHeight="1" x14ac:dyDescent="0.35">
      <c r="B112" s="146"/>
      <c r="C112" s="499" t="s">
        <v>2190</v>
      </c>
      <c r="D112" s="499" t="s">
        <v>2167</v>
      </c>
      <c r="E112" s="799">
        <v>14177</v>
      </c>
      <c r="F112" s="800">
        <f>E112/$E$113</f>
        <v>0.25657406569541219</v>
      </c>
      <c r="G112" s="800">
        <f>E112/$E$113</f>
        <v>0.25657406569541219</v>
      </c>
      <c r="H112" s="862">
        <v>118.60804416045075</v>
      </c>
      <c r="I112" s="832">
        <f t="shared" si="25"/>
        <v>30.43174811442784</v>
      </c>
      <c r="J112" s="832">
        <f t="shared" si="26"/>
        <v>30.43174811442784</v>
      </c>
      <c r="R112" s="145"/>
    </row>
    <row r="113" spans="2:18" ht="17.5" customHeight="1" x14ac:dyDescent="0.35">
      <c r="B113" s="146"/>
      <c r="C113" s="792" t="s">
        <v>2184</v>
      </c>
      <c r="D113" s="185"/>
      <c r="E113" s="795">
        <f>SUM(E109:E112)</f>
        <v>55255</v>
      </c>
      <c r="F113" s="798">
        <f>SUM(F109:F112)</f>
        <v>1</v>
      </c>
      <c r="G113" s="798">
        <f>SUM(G109:G112)</f>
        <v>1</v>
      </c>
      <c r="H113" s="183"/>
      <c r="I113" s="796">
        <f>SUM(I109:I112)</f>
        <v>145.48391936121385</v>
      </c>
      <c r="J113" s="796">
        <f>SUM(J109:J112)</f>
        <v>145.48391936121385</v>
      </c>
      <c r="R113" s="145"/>
    </row>
    <row r="114" spans="2:18" x14ac:dyDescent="0.35">
      <c r="B114" s="146"/>
      <c r="R114" s="145"/>
    </row>
    <row r="115" spans="2:18" x14ac:dyDescent="0.35">
      <c r="B115" s="146"/>
      <c r="C115" t="s">
        <v>2252</v>
      </c>
      <c r="H115" s="732"/>
      <c r="I115" s="732"/>
      <c r="J115" s="732"/>
      <c r="R115" s="145"/>
    </row>
    <row r="116" spans="2:18" ht="14.5" customHeight="1" x14ac:dyDescent="0.35">
      <c r="B116" s="146"/>
      <c r="C116" t="s">
        <v>2219</v>
      </c>
      <c r="P116" s="453"/>
      <c r="Q116" s="453"/>
      <c r="R116" s="610"/>
    </row>
    <row r="117" spans="2:18" x14ac:dyDescent="0.35">
      <c r="B117" s="146"/>
      <c r="C117" t="s">
        <v>2214</v>
      </c>
      <c r="E117" s="555"/>
      <c r="F117" s="139"/>
      <c r="R117" s="145"/>
    </row>
    <row r="118" spans="2:18" x14ac:dyDescent="0.35">
      <c r="B118" s="147"/>
      <c r="C118" s="148"/>
      <c r="D118" s="148"/>
      <c r="E118" s="148"/>
      <c r="F118" s="148"/>
      <c r="G118" s="148"/>
      <c r="H118" s="148"/>
      <c r="I118" s="148"/>
      <c r="J118" s="148"/>
      <c r="K118" s="148"/>
      <c r="L118" s="148"/>
      <c r="M118" s="148"/>
      <c r="N118" s="148"/>
      <c r="O118" s="148"/>
      <c r="P118" s="148"/>
      <c r="Q118" s="148"/>
      <c r="R118" s="149"/>
    </row>
    <row r="119" spans="2:18" x14ac:dyDescent="0.35">
      <c r="J119" s="148"/>
    </row>
    <row r="120" spans="2:18" x14ac:dyDescent="0.35">
      <c r="B120" s="349" t="s">
        <v>562</v>
      </c>
      <c r="C120" s="635"/>
      <c r="D120" s="635"/>
      <c r="E120" s="635"/>
      <c r="F120" s="635"/>
      <c r="G120" s="635"/>
      <c r="H120" s="635"/>
      <c r="I120" s="635"/>
      <c r="J120" s="635"/>
      <c r="K120" s="635"/>
      <c r="L120" s="635"/>
      <c r="M120" s="635"/>
      <c r="N120" s="635"/>
      <c r="O120" s="635"/>
      <c r="P120" s="635"/>
      <c r="Q120" s="635"/>
      <c r="R120" s="636"/>
    </row>
    <row r="121" spans="2:18" x14ac:dyDescent="0.35">
      <c r="B121" s="203"/>
      <c r="C121" s="197"/>
      <c r="D121" s="197"/>
      <c r="E121" s="197"/>
      <c r="F121" s="197"/>
      <c r="G121" s="197"/>
      <c r="H121" s="197"/>
      <c r="I121" s="197"/>
      <c r="J121" s="197"/>
      <c r="K121" s="197"/>
      <c r="L121" s="197"/>
      <c r="M121" s="197"/>
      <c r="N121" s="197"/>
      <c r="O121" s="197"/>
      <c r="P121" s="197"/>
      <c r="Q121" s="197"/>
      <c r="R121" s="204"/>
    </row>
    <row r="122" spans="2:18" x14ac:dyDescent="0.35">
      <c r="B122" s="203"/>
      <c r="C122" s="520" t="s">
        <v>563</v>
      </c>
      <c r="D122" s="197"/>
      <c r="E122" s="197"/>
      <c r="F122" s="197"/>
      <c r="G122" s="197"/>
      <c r="H122" s="197"/>
      <c r="I122" s="197"/>
      <c r="J122" s="197"/>
      <c r="K122" s="197"/>
      <c r="L122" s="197"/>
      <c r="M122" s="197"/>
      <c r="N122" s="197"/>
      <c r="O122" s="197"/>
      <c r="P122" s="197"/>
      <c r="Q122" s="197"/>
      <c r="R122" s="204"/>
    </row>
    <row r="123" spans="2:18" x14ac:dyDescent="0.35">
      <c r="B123" s="203"/>
      <c r="C123" s="517" t="s">
        <v>564</v>
      </c>
      <c r="D123" s="197"/>
      <c r="E123" s="197"/>
      <c r="F123" s="197"/>
      <c r="G123" s="197"/>
      <c r="H123" s="197"/>
      <c r="I123" s="197"/>
      <c r="J123" s="197"/>
      <c r="K123" s="197"/>
      <c r="L123" s="197"/>
      <c r="M123" s="197"/>
      <c r="N123" s="197"/>
      <c r="O123" s="197"/>
      <c r="P123" s="197"/>
      <c r="Q123" s="197"/>
      <c r="R123" s="204"/>
    </row>
    <row r="124" spans="2:18" x14ac:dyDescent="0.35">
      <c r="B124" s="203"/>
      <c r="C124" s="517" t="s">
        <v>565</v>
      </c>
      <c r="D124" s="197"/>
      <c r="E124" s="197"/>
      <c r="F124" s="197"/>
      <c r="G124" s="197"/>
      <c r="H124" s="197"/>
      <c r="I124" s="197"/>
      <c r="J124" s="197"/>
      <c r="K124" s="197"/>
      <c r="L124" s="197"/>
      <c r="M124" s="197"/>
      <c r="N124" s="197"/>
      <c r="O124" s="197"/>
      <c r="P124" s="197"/>
      <c r="Q124" s="197"/>
      <c r="R124" s="204"/>
    </row>
    <row r="125" spans="2:18" x14ac:dyDescent="0.35">
      <c r="B125" s="203"/>
      <c r="C125" s="398" t="s">
        <v>566</v>
      </c>
      <c r="D125" s="197"/>
      <c r="E125" s="197"/>
      <c r="F125" s="197"/>
      <c r="G125" s="197"/>
      <c r="H125" s="197"/>
      <c r="I125" s="197"/>
      <c r="J125" s="197"/>
      <c r="K125" s="197"/>
      <c r="L125" s="197"/>
      <c r="M125" s="197"/>
      <c r="N125" s="197"/>
      <c r="O125" s="197"/>
      <c r="P125" s="197"/>
      <c r="Q125" s="197"/>
      <c r="R125" s="204"/>
    </row>
    <row r="126" spans="2:18" x14ac:dyDescent="0.35">
      <c r="B126" s="203"/>
      <c r="C126" s="398" t="s">
        <v>2101</v>
      </c>
      <c r="D126" s="197"/>
      <c r="E126" s="197"/>
      <c r="F126" s="197"/>
      <c r="G126" s="197"/>
      <c r="H126" s="197"/>
      <c r="I126" s="197"/>
      <c r="J126" s="197"/>
      <c r="K126" s="197"/>
      <c r="L126" s="197"/>
      <c r="M126" s="197"/>
      <c r="N126" s="197"/>
      <c r="O126" s="197"/>
      <c r="P126" s="197"/>
      <c r="Q126" s="197"/>
      <c r="R126" s="204"/>
    </row>
    <row r="127" spans="2:18" x14ac:dyDescent="0.35">
      <c r="B127" s="203"/>
      <c r="C127" s="673" t="s">
        <v>2103</v>
      </c>
      <c r="D127" s="197"/>
      <c r="E127" s="197"/>
      <c r="F127" s="197"/>
      <c r="G127" s="197"/>
      <c r="H127" s="197"/>
      <c r="I127" s="197"/>
      <c r="J127" s="197"/>
      <c r="K127" s="197"/>
      <c r="L127" s="197"/>
      <c r="M127" s="197"/>
      <c r="N127" s="197"/>
      <c r="O127" s="197"/>
      <c r="P127" s="197"/>
      <c r="Q127" s="197"/>
      <c r="R127" s="204"/>
    </row>
    <row r="128" spans="2:18" x14ac:dyDescent="0.35">
      <c r="B128" s="203"/>
      <c r="C128" s="398" t="s">
        <v>2102</v>
      </c>
      <c r="D128" s="197"/>
      <c r="E128" s="197"/>
      <c r="F128" s="197"/>
      <c r="G128" s="197"/>
      <c r="H128" s="197"/>
      <c r="I128" s="197"/>
      <c r="J128" s="197"/>
      <c r="K128" s="197"/>
      <c r="L128" s="197"/>
      <c r="M128" s="197"/>
      <c r="N128" s="197"/>
      <c r="O128" s="197"/>
      <c r="P128" s="197"/>
      <c r="Q128" s="197"/>
      <c r="R128" s="204"/>
    </row>
    <row r="129" spans="2:18" x14ac:dyDescent="0.35">
      <c r="B129" s="203"/>
      <c r="C129" s="398" t="s">
        <v>2105</v>
      </c>
      <c r="D129" s="197"/>
      <c r="E129" s="197"/>
      <c r="F129" s="197"/>
      <c r="G129" s="197"/>
      <c r="H129" s="197"/>
      <c r="I129" s="197"/>
      <c r="J129" s="197"/>
      <c r="K129" s="197"/>
      <c r="L129" s="197"/>
      <c r="M129" s="197"/>
      <c r="N129" s="197"/>
      <c r="O129" s="197"/>
      <c r="P129" s="197"/>
      <c r="Q129" s="197"/>
      <c r="R129" s="204"/>
    </row>
    <row r="130" spans="2:18" x14ac:dyDescent="0.35">
      <c r="B130" s="203"/>
      <c r="C130" s="398"/>
      <c r="D130" s="197"/>
      <c r="E130" s="197"/>
      <c r="F130" s="197"/>
      <c r="G130" s="197"/>
      <c r="H130" s="197"/>
      <c r="I130" s="197"/>
      <c r="J130" s="197"/>
      <c r="K130" s="197"/>
      <c r="L130" s="197"/>
      <c r="M130" s="197"/>
      <c r="N130" s="197"/>
      <c r="O130" s="197"/>
      <c r="P130" s="197"/>
      <c r="Q130" s="197"/>
      <c r="R130" s="204"/>
    </row>
    <row r="131" spans="2:18" x14ac:dyDescent="0.35">
      <c r="B131" s="203"/>
      <c r="C131" s="519" t="s">
        <v>567</v>
      </c>
      <c r="D131" s="197"/>
      <c r="E131" s="197"/>
      <c r="F131" s="197"/>
      <c r="G131" s="197"/>
      <c r="H131" s="197"/>
      <c r="I131" s="197"/>
      <c r="J131" s="197"/>
      <c r="K131" s="197"/>
      <c r="L131" s="197"/>
      <c r="M131" s="197"/>
      <c r="N131" s="197"/>
      <c r="O131" s="197"/>
      <c r="P131" s="197"/>
      <c r="Q131" s="197"/>
      <c r="R131" s="204"/>
    </row>
    <row r="132" spans="2:18" x14ac:dyDescent="0.35">
      <c r="B132" s="203"/>
      <c r="C132" s="517" t="s">
        <v>568</v>
      </c>
      <c r="D132" s="197"/>
      <c r="E132" s="197"/>
      <c r="F132" s="197"/>
      <c r="G132" s="197"/>
      <c r="H132" s="197"/>
      <c r="I132" s="197"/>
      <c r="J132" s="197"/>
      <c r="K132" s="197"/>
      <c r="L132" s="197"/>
      <c r="M132" s="197"/>
      <c r="N132" s="197"/>
      <c r="O132" s="197"/>
      <c r="P132" s="197"/>
      <c r="Q132" s="197"/>
      <c r="R132" s="204"/>
    </row>
    <row r="133" spans="2:18" x14ac:dyDescent="0.35">
      <c r="B133" s="203"/>
      <c r="C133" s="398" t="s">
        <v>2106</v>
      </c>
      <c r="D133" s="197"/>
      <c r="E133" s="197"/>
      <c r="F133" s="197"/>
      <c r="G133" s="197"/>
      <c r="H133" s="197"/>
      <c r="I133" s="197"/>
      <c r="J133" s="197"/>
      <c r="K133" s="197"/>
      <c r="L133" s="197"/>
      <c r="M133" s="197"/>
      <c r="N133" s="197"/>
      <c r="O133" s="197"/>
      <c r="P133" s="197"/>
      <c r="Q133" s="197"/>
      <c r="R133" s="204"/>
    </row>
    <row r="134" spans="2:18" x14ac:dyDescent="0.35">
      <c r="B134" s="203"/>
      <c r="C134" s="398" t="s">
        <v>2107</v>
      </c>
      <c r="D134" s="197"/>
      <c r="E134" s="197"/>
      <c r="F134" s="197"/>
      <c r="G134" s="197"/>
      <c r="H134" s="197"/>
      <c r="I134" s="197"/>
      <c r="J134" s="197"/>
      <c r="K134" s="197"/>
      <c r="L134" s="197"/>
      <c r="M134" s="197"/>
      <c r="N134" s="197"/>
      <c r="O134" s="197"/>
      <c r="P134" s="197"/>
      <c r="Q134" s="197"/>
      <c r="R134" s="204"/>
    </row>
    <row r="135" spans="2:18" x14ac:dyDescent="0.35">
      <c r="B135" s="201"/>
      <c r="C135" s="205"/>
      <c r="D135" s="200"/>
      <c r="E135" s="200"/>
      <c r="F135" s="200"/>
      <c r="G135" s="200"/>
      <c r="H135" s="200"/>
      <c r="I135" s="200"/>
      <c r="J135" s="200"/>
      <c r="K135" s="200"/>
      <c r="L135" s="200"/>
      <c r="M135" s="200"/>
      <c r="N135" s="200"/>
      <c r="O135" s="200"/>
      <c r="P135" s="200"/>
      <c r="Q135" s="200"/>
      <c r="R135" s="202"/>
    </row>
  </sheetData>
  <sheetProtection algorithmName="SHA-512" hashValue="5OVPT8TP8/l72kO9TlaGXxTzrRjltXovh54w8qoDCg9qaHnKdKvatzgb49DofPO0aVCnEKpM9x2upfdHiVyF0w==" saltValue="ErW0rs1wIqwJKojc60hGpQ==" spinCount="100000" sheet="1" objects="1" scenarios="1"/>
  <protectedRanges>
    <protectedRange sqref="D11:D12 D68:F68 D37:D38 D35:E35 J60:L60 D48:E51 F50 I35:J35 E36:E38 G36:J36 F35:F38 M48:Q51 J56:K59 N60:P60 J48:K51 N56:O59" name="Range1"/>
    <protectedRange sqref="D18:D19" name="Range1_1"/>
  </protectedRanges>
  <mergeCells count="3">
    <mergeCell ref="C81:F81"/>
    <mergeCell ref="C23:E23"/>
    <mergeCell ref="B30:C30"/>
  </mergeCells>
  <phoneticPr fontId="43" type="noConversion"/>
  <conditionalFormatting sqref="E12 E14 F15:F21">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123" r:id="rId1" xr:uid="{9E6038DB-C4EC-431A-B5C3-A48009ECA9D3}"/>
    <hyperlink ref="C124" r:id="rId2" xr:uid="{F90404C9-B340-4E9B-AA51-58D791264704}"/>
    <hyperlink ref="C132" r:id="rId3" xr:uid="{FC9107BA-DC63-4474-BE80-C70D0B07C108}"/>
    <hyperlink ref="C127" r:id="rId4" xr:uid="{D457B1CB-8B19-4A1D-996E-899FA025186B}"/>
    <hyperlink ref="G35" r:id="rId5" display="NACR 2024, number of people in England eligible for CR with ACS " xr:uid="{8548547C-59A9-430A-8B27-F84C270D31C0}"/>
    <hyperlink ref="D62" r:id="rId6" display="NACR 2024, number of people in England eligible for CR with ACS " xr:uid="{A3D68DC2-F1AB-49B0-AF57-6C137B39F974}"/>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65"/>
  <sheetViews>
    <sheetView showGridLines="0" zoomScale="60" zoomScaleNormal="60" workbookViewId="0">
      <selection activeCell="O13" sqref="O13"/>
    </sheetView>
  </sheetViews>
  <sheetFormatPr defaultRowHeight="14.5" x14ac:dyDescent="0.35"/>
  <cols>
    <col min="1" max="1" width="2.453125" customWidth="1"/>
    <col min="2" max="2" width="5.81640625" customWidth="1"/>
    <col min="3" max="3" width="41.1796875" customWidth="1"/>
    <col min="4" max="4" width="45.453125" customWidth="1"/>
    <col min="5" max="5" width="22.54296875" customWidth="1"/>
    <col min="6" max="6" width="12.1796875" customWidth="1"/>
    <col min="7" max="13" width="16.453125" customWidth="1"/>
    <col min="14" max="14" width="2.54296875" customWidth="1"/>
    <col min="15" max="15" width="18.54296875" customWidth="1"/>
    <col min="16" max="16" width="13.453125" customWidth="1"/>
    <col min="17" max="17" width="12.1796875" customWidth="1"/>
  </cols>
  <sheetData>
    <row r="1" spans="2:17" ht="30" customHeight="1" x14ac:dyDescent="0.35">
      <c r="B1" s="441" t="str">
        <f>'Resource impact'!B1</f>
        <v>Digital platforms to support cardiac rehabilitation: early value assessment</v>
      </c>
    </row>
    <row r="2" spans="2:17" ht="30" customHeight="1" x14ac:dyDescent="0.35">
      <c r="B2" s="142" t="s">
        <v>517</v>
      </c>
      <c r="C2" s="142"/>
      <c r="D2" s="141"/>
      <c r="E2" s="156"/>
      <c r="F2" s="156"/>
      <c r="G2" s="156"/>
      <c r="H2" s="156"/>
      <c r="I2" s="141"/>
      <c r="J2" s="141"/>
      <c r="K2" s="141"/>
      <c r="L2" s="141"/>
      <c r="M2" s="141"/>
      <c r="N2" s="141"/>
      <c r="O2" s="141"/>
      <c r="P2" s="141"/>
      <c r="Q2" s="141"/>
    </row>
    <row r="4" spans="2:17" ht="18.5" x14ac:dyDescent="0.45">
      <c r="B4" s="556" t="s">
        <v>569</v>
      </c>
      <c r="C4" s="609"/>
      <c r="D4" s="609"/>
      <c r="E4" s="609"/>
      <c r="F4" s="609"/>
      <c r="G4" s="609"/>
      <c r="H4" s="609"/>
      <c r="I4" s="609"/>
      <c r="J4" s="609"/>
      <c r="K4" s="609"/>
      <c r="L4" s="609"/>
      <c r="M4" s="609"/>
      <c r="N4" s="609"/>
      <c r="O4" s="609"/>
      <c r="P4" s="609"/>
      <c r="Q4" s="580"/>
    </row>
    <row r="5" spans="2:17" x14ac:dyDescent="0.35">
      <c r="B5" s="146" t="s">
        <v>570</v>
      </c>
      <c r="Q5" s="145"/>
    </row>
    <row r="6" spans="2:17" x14ac:dyDescent="0.35">
      <c r="B6" s="146" t="s">
        <v>571</v>
      </c>
      <c r="Q6" s="145"/>
    </row>
    <row r="7" spans="2:17" x14ac:dyDescent="0.35">
      <c r="B7" s="144" t="s">
        <v>572</v>
      </c>
      <c r="Q7" s="145"/>
    </row>
    <row r="8" spans="2:17" x14ac:dyDescent="0.35">
      <c r="B8" s="557"/>
      <c r="C8" s="148"/>
      <c r="D8" s="148"/>
      <c r="E8" s="148"/>
      <c r="F8" s="148"/>
      <c r="G8" s="148"/>
      <c r="H8" s="148"/>
      <c r="I8" s="148"/>
      <c r="J8" s="148"/>
      <c r="K8" s="148"/>
      <c r="L8" s="148"/>
      <c r="M8" s="148"/>
      <c r="N8" s="148"/>
      <c r="O8" s="148"/>
      <c r="P8" s="148"/>
      <c r="Q8" s="149"/>
    </row>
    <row r="9" spans="2:17" x14ac:dyDescent="0.35">
      <c r="B9" s="135"/>
      <c r="D9" s="175"/>
    </row>
    <row r="10" spans="2:17" x14ac:dyDescent="0.35">
      <c r="B10" s="143" t="s">
        <v>573</v>
      </c>
      <c r="C10" s="609"/>
      <c r="E10" s="609"/>
      <c r="F10" s="609"/>
      <c r="G10" s="609"/>
      <c r="H10" s="609"/>
      <c r="I10" s="609"/>
      <c r="J10" s="609"/>
      <c r="K10" s="609"/>
      <c r="L10" s="609"/>
      <c r="M10" s="609"/>
      <c r="N10" s="609"/>
      <c r="O10" s="609"/>
      <c r="P10" s="609"/>
      <c r="Q10" s="580"/>
    </row>
    <row r="11" spans="2:17" x14ac:dyDescent="0.35">
      <c r="B11" s="146"/>
      <c r="C11" s="306"/>
      <c r="D11" s="186"/>
      <c r="E11" s="186"/>
      <c r="F11" s="186"/>
      <c r="G11" s="718"/>
      <c r="H11" s="719"/>
      <c r="I11" s="719"/>
      <c r="J11" s="721" t="s">
        <v>2146</v>
      </c>
      <c r="K11" s="719"/>
      <c r="L11" s="719"/>
      <c r="M11" s="720"/>
      <c r="Q11" s="145"/>
    </row>
    <row r="12" spans="2:17" ht="87" customHeight="1" x14ac:dyDescent="0.35">
      <c r="B12" s="146"/>
      <c r="C12" s="353" t="s">
        <v>574</v>
      </c>
      <c r="D12" s="353" t="s">
        <v>575</v>
      </c>
      <c r="E12" s="558" t="s">
        <v>576</v>
      </c>
      <c r="F12" s="216" t="s">
        <v>577</v>
      </c>
      <c r="G12" s="216" t="s">
        <v>578</v>
      </c>
      <c r="H12" s="216" t="s">
        <v>579</v>
      </c>
      <c r="I12" s="216" t="s">
        <v>580</v>
      </c>
      <c r="J12" s="216" t="s">
        <v>2111</v>
      </c>
      <c r="K12" s="216" t="s">
        <v>2112</v>
      </c>
      <c r="L12" s="216" t="s">
        <v>2134</v>
      </c>
      <c r="M12" s="216" t="s">
        <v>2135</v>
      </c>
      <c r="O12" s="353" t="s">
        <v>581</v>
      </c>
      <c r="P12" s="353" t="s">
        <v>582</v>
      </c>
      <c r="Q12" s="145"/>
    </row>
    <row r="13" spans="2:17" x14ac:dyDescent="0.35">
      <c r="B13" s="146"/>
      <c r="C13" s="560" t="s">
        <v>583</v>
      </c>
      <c r="D13" s="561" t="s">
        <v>584</v>
      </c>
      <c r="E13" s="606" t="s">
        <v>2147</v>
      </c>
      <c r="F13" s="624"/>
      <c r="G13" s="622"/>
      <c r="H13" s="500"/>
      <c r="I13" s="500"/>
      <c r="J13" s="500"/>
      <c r="K13" s="500"/>
      <c r="L13" s="500"/>
      <c r="M13" s="500"/>
      <c r="O13" s="566" t="s">
        <v>585</v>
      </c>
      <c r="P13" s="628">
        <f>VLOOKUP(O13,payscales!B:N,10,0)</f>
        <v>127.43</v>
      </c>
      <c r="Q13" s="145"/>
    </row>
    <row r="14" spans="2:17" x14ac:dyDescent="0.35">
      <c r="B14" s="146"/>
      <c r="C14" s="560" t="s">
        <v>583</v>
      </c>
      <c r="D14" s="561" t="s">
        <v>586</v>
      </c>
      <c r="E14" s="606" t="s">
        <v>2147</v>
      </c>
      <c r="F14" s="624"/>
      <c r="G14" s="499"/>
      <c r="H14" s="499"/>
      <c r="I14" s="499"/>
      <c r="J14" s="499"/>
      <c r="K14" s="499"/>
      <c r="L14" s="499"/>
      <c r="M14" s="499"/>
      <c r="O14" s="566" t="s">
        <v>585</v>
      </c>
      <c r="P14" s="628">
        <f>VLOOKUP(O14,payscales!B:N,10,0)</f>
        <v>127.43</v>
      </c>
      <c r="Q14" s="145"/>
    </row>
    <row r="15" spans="2:17" x14ac:dyDescent="0.35">
      <c r="B15" s="146"/>
      <c r="C15" s="562" t="s">
        <v>587</v>
      </c>
      <c r="D15" s="561" t="s">
        <v>588</v>
      </c>
      <c r="E15" s="606" t="s">
        <v>2147</v>
      </c>
      <c r="F15" s="624"/>
      <c r="G15" s="623"/>
      <c r="H15" s="501"/>
      <c r="I15" s="500"/>
      <c r="J15" s="500"/>
      <c r="K15" s="500"/>
      <c r="L15" s="500"/>
      <c r="M15" s="500"/>
      <c r="O15" s="566" t="s">
        <v>589</v>
      </c>
      <c r="P15" s="628">
        <f>VLOOKUP(O15,payscales!B:N,10,0)</f>
        <v>44.4</v>
      </c>
      <c r="Q15" s="145"/>
    </row>
    <row r="16" spans="2:17" ht="29" x14ac:dyDescent="0.35">
      <c r="B16" s="146"/>
      <c r="C16" s="562" t="s">
        <v>587</v>
      </c>
      <c r="D16" s="561" t="s">
        <v>590</v>
      </c>
      <c r="E16" s="606" t="s">
        <v>2147</v>
      </c>
      <c r="F16" s="624"/>
      <c r="G16" s="623"/>
      <c r="H16" s="605"/>
      <c r="I16" s="499"/>
      <c r="J16" s="499"/>
      <c r="K16" s="499"/>
      <c r="L16" s="499"/>
      <c r="M16" s="499"/>
      <c r="O16" s="566" t="s">
        <v>589</v>
      </c>
      <c r="P16" s="628">
        <f>VLOOKUP(O16,payscales!B:N,10,0)</f>
        <v>44.4</v>
      </c>
      <c r="Q16" s="145"/>
    </row>
    <row r="17" spans="2:17" x14ac:dyDescent="0.35">
      <c r="B17" s="146"/>
      <c r="C17" s="562" t="s">
        <v>587</v>
      </c>
      <c r="D17" s="561" t="s">
        <v>591</v>
      </c>
      <c r="E17" s="606" t="s">
        <v>2147</v>
      </c>
      <c r="F17" s="624"/>
      <c r="G17" s="623"/>
      <c r="H17" s="605"/>
      <c r="I17" s="499"/>
      <c r="J17" s="499"/>
      <c r="K17" s="499"/>
      <c r="L17" s="499"/>
      <c r="M17" s="499"/>
      <c r="O17" s="566" t="s">
        <v>589</v>
      </c>
      <c r="P17" s="628">
        <f>VLOOKUP(O17,payscales!B:N,10,0)</f>
        <v>44.4</v>
      </c>
      <c r="Q17" s="145"/>
    </row>
    <row r="18" spans="2:17" x14ac:dyDescent="0.35">
      <c r="B18" s="146"/>
      <c r="C18" s="563" t="s">
        <v>592</v>
      </c>
      <c r="D18" s="561" t="s">
        <v>593</v>
      </c>
      <c r="E18" s="606" t="s">
        <v>594</v>
      </c>
      <c r="F18" s="624"/>
      <c r="G18" s="624"/>
      <c r="H18" s="502"/>
      <c r="I18" s="499"/>
      <c r="J18" s="499"/>
      <c r="K18" s="499"/>
      <c r="L18" s="499"/>
      <c r="M18" s="499"/>
      <c r="O18" s="566" t="s">
        <v>595</v>
      </c>
      <c r="P18" s="628">
        <f>VLOOKUP(O18,payscales!B:N,10,0)</f>
        <v>49.24</v>
      </c>
      <c r="Q18" s="145"/>
    </row>
    <row r="19" spans="2:17" x14ac:dyDescent="0.35">
      <c r="B19" s="146"/>
      <c r="C19" s="564" t="s">
        <v>596</v>
      </c>
      <c r="D19" s="561" t="s">
        <v>597</v>
      </c>
      <c r="E19" s="606" t="s">
        <v>598</v>
      </c>
      <c r="F19" s="624"/>
      <c r="G19" s="499"/>
      <c r="H19" s="499"/>
      <c r="I19" s="499"/>
      <c r="J19" s="499"/>
      <c r="K19" s="499"/>
      <c r="L19" s="499"/>
      <c r="M19" s="499"/>
      <c r="O19" s="566" t="s">
        <v>585</v>
      </c>
      <c r="P19" s="628">
        <f>VLOOKUP(O19,payscales!B:N,10,0)</f>
        <v>127.43</v>
      </c>
      <c r="Q19" s="145"/>
    </row>
    <row r="20" spans="2:17" x14ac:dyDescent="0.35">
      <c r="B20" s="146"/>
      <c r="C20" s="565" t="s">
        <v>599</v>
      </c>
      <c r="D20" s="561" t="s">
        <v>600</v>
      </c>
      <c r="E20" s="606" t="s">
        <v>598</v>
      </c>
      <c r="F20" s="624"/>
      <c r="G20" s="623"/>
      <c r="H20" s="501"/>
      <c r="I20" s="501"/>
      <c r="J20" s="501"/>
      <c r="K20" s="501"/>
      <c r="L20" s="501"/>
      <c r="M20" s="501"/>
      <c r="O20" s="566" t="s">
        <v>589</v>
      </c>
      <c r="P20" s="628">
        <f>VLOOKUP(O20,payscales!B:N,10,0)</f>
        <v>44.4</v>
      </c>
      <c r="Q20" s="145"/>
    </row>
    <row r="21" spans="2:17" x14ac:dyDescent="0.35">
      <c r="B21" s="146"/>
      <c r="C21" s="565" t="s">
        <v>601</v>
      </c>
      <c r="D21" s="561" t="s">
        <v>602</v>
      </c>
      <c r="E21" s="606" t="s">
        <v>598</v>
      </c>
      <c r="F21" s="624"/>
      <c r="G21" s="623"/>
      <c r="H21" s="503"/>
      <c r="I21" s="503"/>
      <c r="J21" s="503"/>
      <c r="K21" s="503"/>
      <c r="L21" s="503"/>
      <c r="M21" s="503"/>
      <c r="O21" s="566" t="s">
        <v>603</v>
      </c>
      <c r="P21" s="628">
        <f>VLOOKUP(O21,payscales!B:N,10,0)</f>
        <v>35.97</v>
      </c>
      <c r="Q21" s="145"/>
    </row>
    <row r="22" spans="2:17" x14ac:dyDescent="0.35">
      <c r="B22" s="146"/>
      <c r="C22" s="565" t="s">
        <v>604</v>
      </c>
      <c r="D22" s="561" t="s">
        <v>605</v>
      </c>
      <c r="E22" s="606" t="s">
        <v>598</v>
      </c>
      <c r="F22" s="627"/>
      <c r="G22" s="625"/>
      <c r="H22" s="626"/>
      <c r="I22" s="626"/>
      <c r="J22" s="626"/>
      <c r="K22" s="626"/>
      <c r="L22" s="626"/>
      <c r="M22" s="626"/>
      <c r="O22" s="566" t="s">
        <v>606</v>
      </c>
      <c r="P22" s="628">
        <f>VLOOKUP(O22,payscales!B:N,10,0)</f>
        <v>51.74</v>
      </c>
      <c r="Q22" s="145"/>
    </row>
    <row r="23" spans="2:17" x14ac:dyDescent="0.35">
      <c r="B23" s="146"/>
      <c r="C23" s="306"/>
      <c r="D23" s="186"/>
      <c r="E23" s="186"/>
      <c r="F23" s="186"/>
      <c r="G23" s="186"/>
      <c r="O23" s="607" t="s">
        <v>2131</v>
      </c>
      <c r="Q23" s="145"/>
    </row>
    <row r="24" spans="2:17" x14ac:dyDescent="0.35">
      <c r="B24" s="146"/>
      <c r="C24" s="176" t="s">
        <v>607</v>
      </c>
      <c r="D24" s="139"/>
      <c r="Q24" s="145"/>
    </row>
    <row r="25" spans="2:17" x14ac:dyDescent="0.35">
      <c r="B25" s="146"/>
      <c r="C25" t="s">
        <v>608</v>
      </c>
      <c r="D25" s="139"/>
      <c r="Q25" s="145"/>
    </row>
    <row r="26" spans="2:17" x14ac:dyDescent="0.35">
      <c r="B26" s="146"/>
      <c r="C26" s="170" t="s">
        <v>609</v>
      </c>
      <c r="D26" s="139"/>
      <c r="Q26" s="145"/>
    </row>
    <row r="27" spans="2:17" x14ac:dyDescent="0.35">
      <c r="B27" s="146"/>
      <c r="C27" s="307" t="s">
        <v>610</v>
      </c>
      <c r="D27" s="139"/>
      <c r="Q27" s="145"/>
    </row>
    <row r="28" spans="2:17" x14ac:dyDescent="0.35">
      <c r="B28" s="146"/>
      <c r="C28" t="s">
        <v>611</v>
      </c>
      <c r="D28" s="139"/>
      <c r="Q28" s="145"/>
    </row>
    <row r="29" spans="2:17" x14ac:dyDescent="0.35">
      <c r="B29" s="146"/>
      <c r="C29" t="s">
        <v>612</v>
      </c>
      <c r="D29" s="139"/>
      <c r="Q29" s="145"/>
    </row>
    <row r="30" spans="2:17" x14ac:dyDescent="0.35">
      <c r="B30" s="146"/>
      <c r="C30" t="s">
        <v>613</v>
      </c>
      <c r="D30" s="139"/>
      <c r="Q30" s="145"/>
    </row>
    <row r="31" spans="2:17" x14ac:dyDescent="0.35">
      <c r="B31" s="146"/>
      <c r="C31" t="s">
        <v>614</v>
      </c>
      <c r="D31" s="139"/>
      <c r="Q31" s="145"/>
    </row>
    <row r="32" spans="2:17" x14ac:dyDescent="0.35">
      <c r="B32" s="146"/>
      <c r="C32" t="s">
        <v>615</v>
      </c>
      <c r="D32" s="139"/>
      <c r="Q32" s="145"/>
    </row>
    <row r="33" spans="2:17" x14ac:dyDescent="0.35">
      <c r="B33" s="146"/>
      <c r="C33" t="s">
        <v>616</v>
      </c>
      <c r="D33" s="139"/>
      <c r="Q33" s="145"/>
    </row>
    <row r="34" spans="2:17" x14ac:dyDescent="0.35">
      <c r="B34" s="146"/>
      <c r="C34" t="s">
        <v>617</v>
      </c>
      <c r="D34" s="139"/>
      <c r="Q34" s="145"/>
    </row>
    <row r="35" spans="2:17" x14ac:dyDescent="0.35">
      <c r="B35" s="146"/>
      <c r="C35" t="s">
        <v>618</v>
      </c>
      <c r="D35" s="139"/>
      <c r="Q35" s="145"/>
    </row>
    <row r="36" spans="2:17" x14ac:dyDescent="0.35">
      <c r="B36" s="146"/>
      <c r="C36" s="186" t="s">
        <v>619</v>
      </c>
      <c r="D36" s="139"/>
      <c r="Q36" s="145"/>
    </row>
    <row r="37" spans="2:17" x14ac:dyDescent="0.35">
      <c r="B37" s="146"/>
      <c r="C37" s="186" t="s">
        <v>620</v>
      </c>
      <c r="D37" s="139"/>
      <c r="Q37" s="145"/>
    </row>
    <row r="38" spans="2:17" x14ac:dyDescent="0.35">
      <c r="B38" s="146"/>
      <c r="C38" s="186" t="s">
        <v>621</v>
      </c>
      <c r="D38" s="139"/>
      <c r="Q38" s="145"/>
    </row>
    <row r="39" spans="2:17" x14ac:dyDescent="0.35">
      <c r="B39" s="146"/>
      <c r="C39" s="186" t="s">
        <v>622</v>
      </c>
      <c r="D39" s="139"/>
      <c r="Q39" s="145"/>
    </row>
    <row r="40" spans="2:17" x14ac:dyDescent="0.35">
      <c r="B40" s="147"/>
      <c r="C40" s="148"/>
      <c r="D40" s="150"/>
      <c r="E40" s="150"/>
      <c r="F40" s="150"/>
      <c r="G40" s="150"/>
      <c r="H40" s="150"/>
      <c r="I40" s="150"/>
      <c r="J40" s="150"/>
      <c r="K40" s="150"/>
      <c r="L40" s="150"/>
      <c r="M40" s="150"/>
      <c r="N40" s="148"/>
      <c r="O40" s="148"/>
      <c r="P40" s="148"/>
      <c r="Q40" s="149"/>
    </row>
    <row r="41" spans="2:17" x14ac:dyDescent="0.35">
      <c r="D41" s="139"/>
      <c r="E41" s="139"/>
      <c r="F41" s="139"/>
      <c r="G41" s="139"/>
      <c r="H41" s="139"/>
      <c r="I41" s="139"/>
      <c r="J41" s="139"/>
      <c r="K41" s="139"/>
      <c r="L41" s="139"/>
      <c r="M41" s="139"/>
    </row>
    <row r="65" spans="2:17" x14ac:dyDescent="0.35">
      <c r="B65" s="609"/>
      <c r="C65" s="609"/>
      <c r="D65" s="609"/>
      <c r="E65" s="609"/>
      <c r="F65" s="609"/>
      <c r="G65" s="609"/>
      <c r="H65" s="609"/>
      <c r="I65" s="609"/>
      <c r="J65" s="609"/>
      <c r="K65" s="609"/>
      <c r="L65" s="609"/>
      <c r="M65" s="609"/>
      <c r="N65" s="609"/>
      <c r="O65" s="609"/>
      <c r="P65" s="609"/>
      <c r="Q65" s="609"/>
    </row>
  </sheetData>
  <protectedRanges>
    <protectedRange sqref="I23:M23 F13:M22" name="Range1"/>
  </protectedRanges>
  <hyperlinks>
    <hyperlink ref="C27" r:id="rId1" display="Duration of administrations as per SmPC" xr:uid="{EC078291-F163-4263-9E0D-2DC334CEE174}"/>
  </hyperlinks>
  <pageMargins left="0.7" right="0.7" top="0.75" bottom="0.75" header="0.3" footer="0.3"/>
  <pageSetup paperSize="9" scale="38" fitToHeight="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O13:O22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4.5" x14ac:dyDescent="0.35"/>
  <cols>
    <col min="1" max="1" width="3.453125" customWidth="1"/>
    <col min="2" max="2" width="21.54296875" customWidth="1"/>
    <col min="3" max="3" width="10.453125" customWidth="1"/>
    <col min="4" max="4" width="11.1796875" customWidth="1"/>
    <col min="5" max="14" width="10.54296875" customWidth="1"/>
    <col min="15" max="15" width="2.453125" customWidth="1"/>
  </cols>
  <sheetData>
    <row r="1" spans="2:15" ht="30" customHeight="1" x14ac:dyDescent="0.35">
      <c r="B1" s="441" t="str">
        <f>'Resource impact'!B1</f>
        <v>Digital platforms to support cardiac rehabilitation: early value assessment</v>
      </c>
    </row>
    <row r="2" spans="2:15" ht="30" customHeight="1" x14ac:dyDescent="0.35">
      <c r="B2" s="142" t="s">
        <v>623</v>
      </c>
      <c r="C2" s="141"/>
      <c r="D2" s="156"/>
      <c r="E2" s="156"/>
      <c r="F2" s="156"/>
      <c r="G2" s="156"/>
      <c r="H2" s="141"/>
      <c r="I2" s="141"/>
      <c r="J2" s="141"/>
      <c r="K2" s="141"/>
      <c r="L2" s="141"/>
      <c r="M2" s="141"/>
      <c r="N2" s="141"/>
      <c r="O2" s="141"/>
    </row>
    <row r="3" spans="2:15" x14ac:dyDescent="0.35">
      <c r="B3" s="630"/>
      <c r="C3" s="608"/>
      <c r="D3" s="608"/>
      <c r="E3" s="608"/>
      <c r="F3" s="608"/>
      <c r="G3" s="608"/>
      <c r="H3" s="609"/>
      <c r="I3" s="609"/>
      <c r="J3" s="609"/>
      <c r="K3" s="609"/>
      <c r="L3" s="609"/>
    </row>
    <row r="4" spans="2:15" x14ac:dyDescent="0.35">
      <c r="C4" s="631"/>
      <c r="D4" s="223"/>
      <c r="E4" s="389"/>
      <c r="F4" s="633" t="s">
        <v>624</v>
      </c>
      <c r="G4" s="389"/>
      <c r="H4" s="389"/>
      <c r="I4" s="634"/>
    </row>
    <row r="5" spans="2:15" ht="29" x14ac:dyDescent="0.35">
      <c r="B5" s="216" t="s">
        <v>625</v>
      </c>
      <c r="C5" s="216" t="s">
        <v>559</v>
      </c>
      <c r="D5" s="216" t="s">
        <v>560</v>
      </c>
      <c r="E5" s="216" t="s">
        <v>561</v>
      </c>
      <c r="F5" s="216" t="s">
        <v>2109</v>
      </c>
      <c r="G5" s="216" t="s">
        <v>2110</v>
      </c>
      <c r="H5" s="216" t="s">
        <v>2132</v>
      </c>
      <c r="I5" s="216" t="s">
        <v>2133</v>
      </c>
      <c r="J5" s="216" t="s">
        <v>626</v>
      </c>
    </row>
    <row r="6" spans="2:15" x14ac:dyDescent="0.35">
      <c r="B6" s="513" t="s">
        <v>627</v>
      </c>
      <c r="C6" s="514"/>
      <c r="D6" s="514"/>
      <c r="E6" s="514"/>
      <c r="F6" s="514"/>
      <c r="G6" s="514"/>
      <c r="H6" s="514"/>
      <c r="I6" s="514"/>
      <c r="J6" s="256">
        <v>1500</v>
      </c>
    </row>
    <row r="7" spans="2:15" x14ac:dyDescent="0.35">
      <c r="B7" s="513" t="s">
        <v>628</v>
      </c>
      <c r="C7" s="514"/>
      <c r="D7" s="514"/>
      <c r="E7" s="514"/>
      <c r="F7" s="514"/>
      <c r="G7" s="514"/>
      <c r="H7" s="514"/>
      <c r="I7" s="514"/>
      <c r="J7" s="256">
        <v>100</v>
      </c>
    </row>
    <row r="8" spans="2:15" x14ac:dyDescent="0.35">
      <c r="B8" s="513" t="s">
        <v>629</v>
      </c>
      <c r="C8" s="514"/>
      <c r="D8" s="514"/>
      <c r="E8" s="514"/>
      <c r="F8" s="514"/>
      <c r="G8" s="514"/>
      <c r="H8" s="514"/>
      <c r="I8" s="514"/>
      <c r="J8" s="256">
        <v>200</v>
      </c>
    </row>
    <row r="9" spans="2:15" x14ac:dyDescent="0.35">
      <c r="B9" s="513" t="s">
        <v>630</v>
      </c>
      <c r="C9" s="514"/>
      <c r="D9" s="514"/>
      <c r="E9" s="514"/>
      <c r="F9" s="514"/>
      <c r="G9" s="514"/>
      <c r="H9" s="514"/>
      <c r="I9" s="514"/>
      <c r="J9" s="256">
        <v>500</v>
      </c>
    </row>
    <row r="10" spans="2:15" x14ac:dyDescent="0.35">
      <c r="B10" s="513" t="s">
        <v>631</v>
      </c>
      <c r="C10" s="514"/>
      <c r="D10" s="514"/>
      <c r="E10" s="514"/>
      <c r="F10" s="514"/>
      <c r="G10" s="514"/>
      <c r="H10" s="514"/>
      <c r="I10" s="514"/>
      <c r="J10" s="256">
        <v>60</v>
      </c>
    </row>
    <row r="11" spans="2:15" x14ac:dyDescent="0.35">
      <c r="B11" s="513" t="s">
        <v>632</v>
      </c>
      <c r="C11" s="514"/>
      <c r="D11" s="514"/>
      <c r="E11" s="514"/>
      <c r="F11" s="514"/>
      <c r="G11" s="514"/>
      <c r="H11" s="514"/>
      <c r="I11" s="514"/>
      <c r="J11" s="256">
        <v>35</v>
      </c>
    </row>
    <row r="12" spans="2:15" x14ac:dyDescent="0.35">
      <c r="B12" s="513" t="s">
        <v>633</v>
      </c>
      <c r="C12" s="514"/>
      <c r="D12" s="514"/>
      <c r="E12" s="514"/>
      <c r="F12" s="514"/>
      <c r="G12" s="514"/>
      <c r="H12" s="514"/>
      <c r="I12" s="514"/>
      <c r="J12" s="256">
        <v>555</v>
      </c>
    </row>
    <row r="13" spans="2:15" x14ac:dyDescent="0.35">
      <c r="B13" s="513" t="s">
        <v>634</v>
      </c>
      <c r="C13" s="514"/>
      <c r="D13" s="514"/>
      <c r="E13" s="514"/>
      <c r="F13" s="514"/>
      <c r="G13" s="514"/>
      <c r="H13" s="514"/>
      <c r="I13" s="514"/>
      <c r="J13" s="256">
        <v>60</v>
      </c>
    </row>
    <row r="14" spans="2:15" x14ac:dyDescent="0.35">
      <c r="B14" s="513" t="s">
        <v>635</v>
      </c>
      <c r="C14" s="514"/>
      <c r="D14" s="514"/>
      <c r="E14" s="514"/>
      <c r="F14" s="514"/>
      <c r="G14" s="514"/>
      <c r="H14" s="514"/>
      <c r="I14" s="514"/>
      <c r="J14" s="256">
        <v>35</v>
      </c>
    </row>
    <row r="15" spans="2:15" x14ac:dyDescent="0.35">
      <c r="B15" s="513" t="s">
        <v>636</v>
      </c>
      <c r="C15" s="514"/>
      <c r="D15" s="514"/>
      <c r="E15" s="514"/>
      <c r="F15" s="514"/>
      <c r="G15" s="514"/>
      <c r="H15" s="514"/>
      <c r="I15" s="514"/>
      <c r="J15" s="256">
        <v>555</v>
      </c>
    </row>
    <row r="16" spans="2:15" x14ac:dyDescent="0.35">
      <c r="B16" s="5"/>
      <c r="C16" s="310">
        <f>SUM(C6:C15)</f>
        <v>0</v>
      </c>
      <c r="D16" s="310">
        <f t="shared" ref="D16:E16" si="0">SUM(D6:D15)</f>
        <v>0</v>
      </c>
      <c r="E16" s="310">
        <f t="shared" si="0"/>
        <v>0</v>
      </c>
      <c r="F16" s="310">
        <f t="shared" ref="F16:G16" si="1">SUM(F6:F15)</f>
        <v>0</v>
      </c>
      <c r="G16" s="310">
        <f t="shared" si="1"/>
        <v>0</v>
      </c>
      <c r="H16" s="310">
        <f t="shared" ref="H16:I16" si="2">SUM(H6:H15)</f>
        <v>0</v>
      </c>
      <c r="I16" s="310">
        <f t="shared" si="2"/>
        <v>0</v>
      </c>
    </row>
    <row r="17" spans="2:14" x14ac:dyDescent="0.35">
      <c r="B17" s="214" t="s">
        <v>637</v>
      </c>
      <c r="C17" s="629"/>
      <c r="D17" s="629"/>
      <c r="E17" s="629"/>
    </row>
    <row r="18" spans="2:14" x14ac:dyDescent="0.35">
      <c r="B18" s="214" t="s">
        <v>638</v>
      </c>
      <c r="C18" s="629"/>
      <c r="D18" s="629"/>
      <c r="E18" s="629"/>
    </row>
    <row r="19" spans="2:14" x14ac:dyDescent="0.35">
      <c r="B19" s="214" t="s">
        <v>639</v>
      </c>
      <c r="C19" s="629"/>
      <c r="D19" s="629"/>
      <c r="E19" s="629"/>
    </row>
    <row r="20" spans="2:14" x14ac:dyDescent="0.35">
      <c r="C20" s="5"/>
      <c r="D20" s="5"/>
      <c r="E20" s="5"/>
    </row>
    <row r="21" spans="2:14" x14ac:dyDescent="0.35">
      <c r="C21" s="631" t="s">
        <v>640</v>
      </c>
      <c r="D21" s="632"/>
      <c r="E21" s="632"/>
      <c r="F21" s="374"/>
      <c r="G21" s="374"/>
      <c r="H21" s="515"/>
      <c r="J21" s="631" t="s">
        <v>641</v>
      </c>
      <c r="K21" s="223"/>
      <c r="L21" s="223"/>
      <c r="M21" s="223"/>
      <c r="N21" s="184"/>
    </row>
    <row r="22" spans="2:14" ht="43.5" x14ac:dyDescent="0.35">
      <c r="C22" s="151" t="s">
        <v>642</v>
      </c>
      <c r="D22" s="151" t="s">
        <v>551</v>
      </c>
      <c r="E22" s="151" t="s">
        <v>552</v>
      </c>
      <c r="F22" s="207" t="s">
        <v>553</v>
      </c>
      <c r="G22" s="151" t="s">
        <v>554</v>
      </c>
      <c r="H22" s="151" t="s">
        <v>555</v>
      </c>
      <c r="J22" s="151" t="s">
        <v>551</v>
      </c>
      <c r="K22" s="151" t="s">
        <v>552</v>
      </c>
      <c r="L22" s="207" t="s">
        <v>553</v>
      </c>
      <c r="M22" s="151" t="s">
        <v>554</v>
      </c>
      <c r="N22" s="151" t="s">
        <v>555</v>
      </c>
    </row>
    <row r="23" spans="2:14" x14ac:dyDescent="0.35">
      <c r="B23" s="513" t="s">
        <v>627</v>
      </c>
      <c r="C23" s="115" t="e">
        <f>($C6*'Financial impact (cash)'!D$13)+(Events!$D6*'Financial impact (cash)'!D$14)+(Events!$E6*'Financial impact (cash)'!D$15)+($F6*'Financial impact (cash)'!D$16)+(Events!$G6*'Financial impact (cash)'!D$17)+(Events!$H6*'Financial impact (cash)'!D$18)+(Events!$I6*'Financial impact (cash)'!D$19)</f>
        <v>#REF!</v>
      </c>
      <c r="D23" s="115" t="e">
        <f>($C6*'Financial impact (cash)'!E$13)+(Events!$D6*'Financial impact (cash)'!E$14)+(Events!$E6*'Financial impact (cash)'!E$15)+($F6*'Financial impact (cash)'!E$16)+(Events!$G6*'Financial impact (cash)'!E$17)+(Events!$H6*'Financial impact (cash)'!E$18)+(Events!$I6*'Financial impact (cash)'!E$19)</f>
        <v>#REF!</v>
      </c>
      <c r="E23" s="115" t="e">
        <f>($C6*'Financial impact (cash)'!F$13)+(Events!$D6*'Financial impact (cash)'!F$14)+(Events!$E6*'Financial impact (cash)'!F$15)+($F6*'Financial impact (cash)'!F$16)+(Events!$G6*'Financial impact (cash)'!F$17)+(Events!$H6*'Financial impact (cash)'!F$18)+(Events!$I6*'Financial impact (cash)'!F$19)</f>
        <v>#REF!</v>
      </c>
      <c r="F23" s="115" t="e">
        <f>($C6*'Financial impact (cash)'!G$13)+(Events!$D6*'Financial impact (cash)'!G$14)+(Events!$E6*'Financial impact (cash)'!G$15)+($F6*'Financial impact (cash)'!G$16)+(Events!$G6*'Financial impact (cash)'!G$17)+(Events!$H6*'Financial impact (cash)'!G$18)+(Events!$I6*'Financial impact (cash)'!G$19)</f>
        <v>#REF!</v>
      </c>
      <c r="G23" s="115" t="e">
        <f>($C6*'Financial impact (cash)'!H$13)+(Events!$D6*'Financial impact (cash)'!H$14)+(Events!$E6*'Financial impact (cash)'!H$15)+($F6*'Financial impact (cash)'!H$16)+(Events!$G6*'Financial impact (cash)'!H$17)+(Events!$H6*'Financial impact (cash)'!H$18)+(Events!$I6*'Financial impact (cash)'!H$19)</f>
        <v>#REF!</v>
      </c>
      <c r="H23" s="115" t="e">
        <f>($C6*'Financial impact (cash)'!I$13)+(Events!$D6*'Financial impact (cash)'!I$14)+(Events!$E6*'Financial impact (cash)'!I$15)+($F6*'Financial impact (cash)'!I$16)+(Events!$G6*'Financial impact (cash)'!I$17)+(Events!$H6*'Financial impact (cash)'!I$18)+(Events!$I6*'Financial impact (cash)'!I$19)</f>
        <v>#REF!</v>
      </c>
      <c r="J23" s="115" t="e">
        <f>D23-$C23</f>
        <v>#REF!</v>
      </c>
      <c r="K23" s="115" t="e">
        <f>E23-$C23</f>
        <v>#REF!</v>
      </c>
      <c r="L23" s="115" t="e">
        <f t="shared" ref="L23:N23" si="3">F23-$C23</f>
        <v>#REF!</v>
      </c>
      <c r="M23" s="115" t="e">
        <f t="shared" si="3"/>
        <v>#REF!</v>
      </c>
      <c r="N23" s="115" t="e">
        <f t="shared" si="3"/>
        <v>#REF!</v>
      </c>
    </row>
    <row r="24" spans="2:14" x14ac:dyDescent="0.35">
      <c r="B24" s="513" t="s">
        <v>628</v>
      </c>
      <c r="C24" s="115" t="e">
        <f>($C7*'Financial impact (cash)'!D$13)+(Events!$D7*'Financial impact (cash)'!D$14)+(Events!$E7*'Financial impact (cash)'!D$15)+($F7*'Financial impact (cash)'!D$16)+(Events!$G7*'Financial impact (cash)'!D$17)+(Events!$H7*'Financial impact (cash)'!D$18)+(Events!$I7*'Financial impact (cash)'!D$19)</f>
        <v>#REF!</v>
      </c>
      <c r="D24" s="115" t="e">
        <f>($C7*'Financial impact (cash)'!E$13)+(Events!$D7*'Financial impact (cash)'!E$14)+(Events!$E7*'Financial impact (cash)'!E$15)+($F7*'Financial impact (cash)'!E$16)+(Events!$G7*'Financial impact (cash)'!E$17)+(Events!$H7*'Financial impact (cash)'!E$18)+(Events!$I7*'Financial impact (cash)'!E$19)</f>
        <v>#REF!</v>
      </c>
      <c r="E24" s="115" t="e">
        <f>($C7*'Financial impact (cash)'!F$13)+(Events!$D7*'Financial impact (cash)'!F$14)+(Events!$E7*'Financial impact (cash)'!F$15)+($F7*'Financial impact (cash)'!F$16)+(Events!$G7*'Financial impact (cash)'!F$17)+(Events!$H7*'Financial impact (cash)'!F$18)+(Events!$I7*'Financial impact (cash)'!F$19)</f>
        <v>#REF!</v>
      </c>
      <c r="F24" s="115" t="e">
        <f>($C7*'Financial impact (cash)'!G$13)+(Events!$D7*'Financial impact (cash)'!G$14)+(Events!$E7*'Financial impact (cash)'!G$15)+($F7*'Financial impact (cash)'!G$16)+(Events!$G7*'Financial impact (cash)'!G$17)+(Events!$H7*'Financial impact (cash)'!G$18)+(Events!$I7*'Financial impact (cash)'!G$19)</f>
        <v>#REF!</v>
      </c>
      <c r="G24" s="115" t="e">
        <f>($C7*'Financial impact (cash)'!H$13)+(Events!$D7*'Financial impact (cash)'!H$14)+(Events!$E7*'Financial impact (cash)'!H$15)+($F7*'Financial impact (cash)'!H$16)+(Events!$G7*'Financial impact (cash)'!H$17)+(Events!$H7*'Financial impact (cash)'!H$18)+(Events!$I7*'Financial impact (cash)'!H$19)</f>
        <v>#REF!</v>
      </c>
      <c r="H24" s="115" t="e">
        <f>($C7*'Financial impact (cash)'!I$13)+(Events!$D7*'Financial impact (cash)'!I$14)+(Events!$E7*'Financial impact (cash)'!I$15)+($F7*'Financial impact (cash)'!I$16)+(Events!$G7*'Financial impact (cash)'!I$17)+(Events!$H7*'Financial impact (cash)'!I$18)+(Events!$I7*'Financial impact (cash)'!I$19)</f>
        <v>#REF!</v>
      </c>
      <c r="J24" s="115" t="e">
        <f t="shared" ref="J24:J32" si="4">D24-$C24</f>
        <v>#REF!</v>
      </c>
      <c r="K24" s="115" t="e">
        <f t="shared" ref="K24:K32" si="5">E24-$C24</f>
        <v>#REF!</v>
      </c>
      <c r="L24" s="115" t="e">
        <f t="shared" ref="L24:L32" si="6">F24-$C24</f>
        <v>#REF!</v>
      </c>
      <c r="M24" s="115" t="e">
        <f t="shared" ref="M24:M32" si="7">G24-$C24</f>
        <v>#REF!</v>
      </c>
      <c r="N24" s="115" t="e">
        <f t="shared" ref="N24:N32" si="8">H24-$C24</f>
        <v>#REF!</v>
      </c>
    </row>
    <row r="25" spans="2:14" x14ac:dyDescent="0.35">
      <c r="B25" s="513" t="s">
        <v>629</v>
      </c>
      <c r="C25" s="115" t="e">
        <f>($C8*'Financial impact (cash)'!D$13)+(Events!$D8*'Financial impact (cash)'!D$14)+(Events!$E8*'Financial impact (cash)'!D$15)+($F8*'Financial impact (cash)'!D$16)+(Events!$G8*'Financial impact (cash)'!D$17)+(Events!$H8*'Financial impact (cash)'!D$18)+(Events!$I8*'Financial impact (cash)'!D$19)</f>
        <v>#REF!</v>
      </c>
      <c r="D25" s="115" t="e">
        <f>($C8*'Financial impact (cash)'!E$13)+(Events!$D8*'Financial impact (cash)'!E$14)+(Events!$E8*'Financial impact (cash)'!E$15)+($F8*'Financial impact (cash)'!E$16)+(Events!$G8*'Financial impact (cash)'!E$17)+(Events!$H8*'Financial impact (cash)'!E$18)+(Events!$I8*'Financial impact (cash)'!E$19)</f>
        <v>#REF!</v>
      </c>
      <c r="E25" s="115" t="e">
        <f>($C8*'Financial impact (cash)'!F$13)+(Events!$D8*'Financial impact (cash)'!F$14)+(Events!$E8*'Financial impact (cash)'!F$15)+($F8*'Financial impact (cash)'!F$16)+(Events!$G8*'Financial impact (cash)'!F$17)+(Events!$H8*'Financial impact (cash)'!F$18)+(Events!$I8*'Financial impact (cash)'!F$19)</f>
        <v>#REF!</v>
      </c>
      <c r="F25" s="115" t="e">
        <f>($C8*'Financial impact (cash)'!G$13)+(Events!$D8*'Financial impact (cash)'!G$14)+(Events!$E8*'Financial impact (cash)'!G$15)+($F8*'Financial impact (cash)'!G$16)+(Events!$G8*'Financial impact (cash)'!G$17)+(Events!$H8*'Financial impact (cash)'!G$18)+(Events!$I8*'Financial impact (cash)'!G$19)</f>
        <v>#REF!</v>
      </c>
      <c r="G25" s="115" t="e">
        <f>($C8*'Financial impact (cash)'!H$13)+(Events!$D8*'Financial impact (cash)'!H$14)+(Events!$E8*'Financial impact (cash)'!H$15)+($F8*'Financial impact (cash)'!H$16)+(Events!$G8*'Financial impact (cash)'!H$17)+(Events!$H8*'Financial impact (cash)'!H$18)+(Events!$I8*'Financial impact (cash)'!H$19)</f>
        <v>#REF!</v>
      </c>
      <c r="H25" s="115" t="e">
        <f>($C8*'Financial impact (cash)'!I$13)+(Events!$D8*'Financial impact (cash)'!I$14)+(Events!$E8*'Financial impact (cash)'!I$15)+($F8*'Financial impact (cash)'!I$16)+(Events!$G8*'Financial impact (cash)'!I$17)+(Events!$H8*'Financial impact (cash)'!I$18)+(Events!$I8*'Financial impact (cash)'!I$19)</f>
        <v>#REF!</v>
      </c>
      <c r="J25" s="115" t="e">
        <f t="shared" si="4"/>
        <v>#REF!</v>
      </c>
      <c r="K25" s="115" t="e">
        <f t="shared" si="5"/>
        <v>#REF!</v>
      </c>
      <c r="L25" s="115" t="e">
        <f t="shared" si="6"/>
        <v>#REF!</v>
      </c>
      <c r="M25" s="115" t="e">
        <f t="shared" si="7"/>
        <v>#REF!</v>
      </c>
      <c r="N25" s="115" t="e">
        <f t="shared" si="8"/>
        <v>#REF!</v>
      </c>
    </row>
    <row r="26" spans="2:14" x14ac:dyDescent="0.35">
      <c r="B26" s="513" t="s">
        <v>630</v>
      </c>
      <c r="C26" s="115" t="e">
        <f>($C9*'Financial impact (cash)'!D$13)+(Events!$D9*'Financial impact (cash)'!D$14)+(Events!$E9*'Financial impact (cash)'!D$15)+($F9*'Financial impact (cash)'!D$16)+(Events!$G9*'Financial impact (cash)'!D$17)+(Events!$H9*'Financial impact (cash)'!D$18)+(Events!$I9*'Financial impact (cash)'!D$19)</f>
        <v>#REF!</v>
      </c>
      <c r="D26" s="115" t="e">
        <f>($C9*'Financial impact (cash)'!E$13)+(Events!$D9*'Financial impact (cash)'!E$14)+(Events!$E9*'Financial impact (cash)'!E$15)+($F9*'Financial impact (cash)'!E$16)+(Events!$G9*'Financial impact (cash)'!E$17)+(Events!$H9*'Financial impact (cash)'!E$18)+(Events!$I9*'Financial impact (cash)'!E$19)</f>
        <v>#REF!</v>
      </c>
      <c r="E26" s="115" t="e">
        <f>($C9*'Financial impact (cash)'!F$13)+(Events!$D9*'Financial impact (cash)'!F$14)+(Events!$E9*'Financial impact (cash)'!F$15)+($F9*'Financial impact (cash)'!F$16)+(Events!$G9*'Financial impact (cash)'!F$17)+(Events!$H9*'Financial impact (cash)'!F$18)+(Events!$I9*'Financial impact (cash)'!F$19)</f>
        <v>#REF!</v>
      </c>
      <c r="F26" s="115" t="e">
        <f>($C9*'Financial impact (cash)'!G$13)+(Events!$D9*'Financial impact (cash)'!G$14)+(Events!$E9*'Financial impact (cash)'!G$15)+($F9*'Financial impact (cash)'!G$16)+(Events!$G9*'Financial impact (cash)'!G$17)+(Events!$H9*'Financial impact (cash)'!G$18)+(Events!$I9*'Financial impact (cash)'!G$19)</f>
        <v>#REF!</v>
      </c>
      <c r="G26" s="115" t="e">
        <f>($C9*'Financial impact (cash)'!H$13)+(Events!$D9*'Financial impact (cash)'!H$14)+(Events!$E9*'Financial impact (cash)'!H$15)+($F9*'Financial impact (cash)'!H$16)+(Events!$G9*'Financial impact (cash)'!H$17)+(Events!$H9*'Financial impact (cash)'!H$18)+(Events!$I9*'Financial impact (cash)'!H$19)</f>
        <v>#REF!</v>
      </c>
      <c r="H26" s="115" t="e">
        <f>($C9*'Financial impact (cash)'!I$13)+(Events!$D9*'Financial impact (cash)'!I$14)+(Events!$E9*'Financial impact (cash)'!I$15)+($F9*'Financial impact (cash)'!I$16)+(Events!$G9*'Financial impact (cash)'!I$17)+(Events!$H9*'Financial impact (cash)'!I$18)+(Events!$I9*'Financial impact (cash)'!I$19)</f>
        <v>#REF!</v>
      </c>
      <c r="J26" s="115" t="e">
        <f t="shared" si="4"/>
        <v>#REF!</v>
      </c>
      <c r="K26" s="115" t="e">
        <f t="shared" si="5"/>
        <v>#REF!</v>
      </c>
      <c r="L26" s="115" t="e">
        <f t="shared" si="6"/>
        <v>#REF!</v>
      </c>
      <c r="M26" s="115" t="e">
        <f t="shared" si="7"/>
        <v>#REF!</v>
      </c>
      <c r="N26" s="115" t="e">
        <f t="shared" si="8"/>
        <v>#REF!</v>
      </c>
    </row>
    <row r="27" spans="2:14" x14ac:dyDescent="0.35">
      <c r="B27" s="513" t="s">
        <v>631</v>
      </c>
      <c r="C27" s="115" t="e">
        <f>($C10*'Financial impact (cash)'!D$13)+(Events!$D10*'Financial impact (cash)'!D$14)+(Events!$E10*'Financial impact (cash)'!D$15)+($F10*'Financial impact (cash)'!D$16)+(Events!$G10*'Financial impact (cash)'!D$17)+(Events!$H10*'Financial impact (cash)'!D$18)+(Events!$I10*'Financial impact (cash)'!D$19)</f>
        <v>#REF!</v>
      </c>
      <c r="D27" s="115" t="e">
        <f>($C10*'Financial impact (cash)'!E$13)+(Events!$D10*'Financial impact (cash)'!E$14)+(Events!$E10*'Financial impact (cash)'!E$15)+($F10*'Financial impact (cash)'!E$16)+(Events!$G10*'Financial impact (cash)'!E$17)+(Events!$H10*'Financial impact (cash)'!E$18)+(Events!$I10*'Financial impact (cash)'!E$19)</f>
        <v>#REF!</v>
      </c>
      <c r="E27" s="115" t="e">
        <f>($C10*'Financial impact (cash)'!F$13)+(Events!$D10*'Financial impact (cash)'!F$14)+(Events!$E10*'Financial impact (cash)'!F$15)+($F10*'Financial impact (cash)'!F$16)+(Events!$G10*'Financial impact (cash)'!F$17)+(Events!$H10*'Financial impact (cash)'!F$18)+(Events!$I10*'Financial impact (cash)'!F$19)</f>
        <v>#REF!</v>
      </c>
      <c r="F27" s="115" t="e">
        <f>($C10*'Financial impact (cash)'!G$13)+(Events!$D10*'Financial impact (cash)'!G$14)+(Events!$E10*'Financial impact (cash)'!G$15)+($F10*'Financial impact (cash)'!G$16)+(Events!$G10*'Financial impact (cash)'!G$17)+(Events!$H10*'Financial impact (cash)'!G$18)+(Events!$I10*'Financial impact (cash)'!G$19)</f>
        <v>#REF!</v>
      </c>
      <c r="G27" s="115" t="e">
        <f>($C10*'Financial impact (cash)'!H$13)+(Events!$D10*'Financial impact (cash)'!H$14)+(Events!$E10*'Financial impact (cash)'!H$15)+($F10*'Financial impact (cash)'!H$16)+(Events!$G10*'Financial impact (cash)'!H$17)+(Events!$H10*'Financial impact (cash)'!H$18)+(Events!$I10*'Financial impact (cash)'!H$19)</f>
        <v>#REF!</v>
      </c>
      <c r="H27" s="115" t="e">
        <f>($C10*'Financial impact (cash)'!I$13)+(Events!$D10*'Financial impact (cash)'!I$14)+(Events!$E10*'Financial impact (cash)'!I$15)+($F10*'Financial impact (cash)'!I$16)+(Events!$G10*'Financial impact (cash)'!I$17)+(Events!$H10*'Financial impact (cash)'!I$18)+(Events!$I10*'Financial impact (cash)'!I$19)</f>
        <v>#REF!</v>
      </c>
      <c r="J27" s="115" t="e">
        <f t="shared" si="4"/>
        <v>#REF!</v>
      </c>
      <c r="K27" s="115" t="e">
        <f t="shared" si="5"/>
        <v>#REF!</v>
      </c>
      <c r="L27" s="115" t="e">
        <f t="shared" si="6"/>
        <v>#REF!</v>
      </c>
      <c r="M27" s="115" t="e">
        <f t="shared" si="7"/>
        <v>#REF!</v>
      </c>
      <c r="N27" s="115" t="e">
        <f t="shared" si="8"/>
        <v>#REF!</v>
      </c>
    </row>
    <row r="28" spans="2:14" x14ac:dyDescent="0.35">
      <c r="B28" s="513" t="s">
        <v>632</v>
      </c>
      <c r="C28" s="115" t="e">
        <f>($C11*'Financial impact (cash)'!D$13)+(Events!$D11*'Financial impact (cash)'!D$14)+(Events!$E11*'Financial impact (cash)'!D$15)+($F11*'Financial impact (cash)'!D$16)+(Events!$G11*'Financial impact (cash)'!D$17)+(Events!$H11*'Financial impact (cash)'!D$18)+(Events!$I11*'Financial impact (cash)'!D$19)</f>
        <v>#REF!</v>
      </c>
      <c r="D28" s="115" t="e">
        <f>($C11*'Financial impact (cash)'!E$13)+(Events!$D11*'Financial impact (cash)'!E$14)+(Events!$E11*'Financial impact (cash)'!E$15)+($F11*'Financial impact (cash)'!E$16)+(Events!$G11*'Financial impact (cash)'!E$17)+(Events!$H11*'Financial impact (cash)'!E$18)+(Events!$I11*'Financial impact (cash)'!E$19)</f>
        <v>#REF!</v>
      </c>
      <c r="E28" s="115" t="e">
        <f>($C11*'Financial impact (cash)'!F$13)+(Events!$D11*'Financial impact (cash)'!F$14)+(Events!$E11*'Financial impact (cash)'!F$15)+($F11*'Financial impact (cash)'!F$16)+(Events!$G11*'Financial impact (cash)'!F$17)+(Events!$H11*'Financial impact (cash)'!F$18)+(Events!$I11*'Financial impact (cash)'!F$19)</f>
        <v>#REF!</v>
      </c>
      <c r="F28" s="115" t="e">
        <f>($C11*'Financial impact (cash)'!G$13)+(Events!$D11*'Financial impact (cash)'!G$14)+(Events!$E11*'Financial impact (cash)'!G$15)+($F11*'Financial impact (cash)'!G$16)+(Events!$G11*'Financial impact (cash)'!G$17)+(Events!$H11*'Financial impact (cash)'!G$18)+(Events!$I11*'Financial impact (cash)'!G$19)</f>
        <v>#REF!</v>
      </c>
      <c r="G28" s="115" t="e">
        <f>($C11*'Financial impact (cash)'!H$13)+(Events!$D11*'Financial impact (cash)'!H$14)+(Events!$E11*'Financial impact (cash)'!H$15)+($F11*'Financial impact (cash)'!H$16)+(Events!$G11*'Financial impact (cash)'!H$17)+(Events!$H11*'Financial impact (cash)'!H$18)+(Events!$I11*'Financial impact (cash)'!H$19)</f>
        <v>#REF!</v>
      </c>
      <c r="H28" s="115" t="e">
        <f>($C11*'Financial impact (cash)'!I$13)+(Events!$D11*'Financial impact (cash)'!I$14)+(Events!$E11*'Financial impact (cash)'!I$15)+($F11*'Financial impact (cash)'!I$16)+(Events!$G11*'Financial impact (cash)'!I$17)+(Events!$H11*'Financial impact (cash)'!I$18)+(Events!$I11*'Financial impact (cash)'!I$19)</f>
        <v>#REF!</v>
      </c>
      <c r="J28" s="115" t="e">
        <f t="shared" si="4"/>
        <v>#REF!</v>
      </c>
      <c r="K28" s="115" t="e">
        <f t="shared" si="5"/>
        <v>#REF!</v>
      </c>
      <c r="L28" s="115" t="e">
        <f t="shared" si="6"/>
        <v>#REF!</v>
      </c>
      <c r="M28" s="115" t="e">
        <f t="shared" si="7"/>
        <v>#REF!</v>
      </c>
      <c r="N28" s="115" t="e">
        <f t="shared" si="8"/>
        <v>#REF!</v>
      </c>
    </row>
    <row r="29" spans="2:14" x14ac:dyDescent="0.35">
      <c r="B29" s="513" t="s">
        <v>633</v>
      </c>
      <c r="C29" s="115" t="e">
        <f>($C12*'Financial impact (cash)'!D$13)+(Events!$D12*'Financial impact (cash)'!D$14)+(Events!$E12*'Financial impact (cash)'!D$15)+($F12*'Financial impact (cash)'!D$16)+(Events!$G12*'Financial impact (cash)'!D$17)+(Events!$H12*'Financial impact (cash)'!D$18)+(Events!$I12*'Financial impact (cash)'!D$19)</f>
        <v>#REF!</v>
      </c>
      <c r="D29" s="115" t="e">
        <f>($C12*'Financial impact (cash)'!E$13)+(Events!$D12*'Financial impact (cash)'!E$14)+(Events!$E12*'Financial impact (cash)'!E$15)+($F12*'Financial impact (cash)'!E$16)+(Events!$G12*'Financial impact (cash)'!E$17)+(Events!$H12*'Financial impact (cash)'!E$18)+(Events!$I12*'Financial impact (cash)'!E$19)</f>
        <v>#REF!</v>
      </c>
      <c r="E29" s="115" t="e">
        <f>($C12*'Financial impact (cash)'!F$13)+(Events!$D12*'Financial impact (cash)'!F$14)+(Events!$E12*'Financial impact (cash)'!F$15)+($F12*'Financial impact (cash)'!F$16)+(Events!$G12*'Financial impact (cash)'!F$17)+(Events!$H12*'Financial impact (cash)'!F$18)+(Events!$I12*'Financial impact (cash)'!F$19)</f>
        <v>#REF!</v>
      </c>
      <c r="F29" s="115" t="e">
        <f>($C12*'Financial impact (cash)'!G$13)+(Events!$D12*'Financial impact (cash)'!G$14)+(Events!$E12*'Financial impact (cash)'!G$15)+($F12*'Financial impact (cash)'!G$16)+(Events!$G12*'Financial impact (cash)'!G$17)+(Events!$H12*'Financial impact (cash)'!G$18)+(Events!$I12*'Financial impact (cash)'!G$19)</f>
        <v>#REF!</v>
      </c>
      <c r="G29" s="115" t="e">
        <f>($C12*'Financial impact (cash)'!H$13)+(Events!$D12*'Financial impact (cash)'!H$14)+(Events!$E12*'Financial impact (cash)'!H$15)+($F12*'Financial impact (cash)'!H$16)+(Events!$G12*'Financial impact (cash)'!H$17)+(Events!$H12*'Financial impact (cash)'!H$18)+(Events!$I12*'Financial impact (cash)'!H$19)</f>
        <v>#REF!</v>
      </c>
      <c r="H29" s="115" t="e">
        <f>($C12*'Financial impact (cash)'!I$13)+(Events!$D12*'Financial impact (cash)'!I$14)+(Events!$E12*'Financial impact (cash)'!I$15)+($F12*'Financial impact (cash)'!I$16)+(Events!$G12*'Financial impact (cash)'!I$17)+(Events!$H12*'Financial impact (cash)'!I$18)+(Events!$I12*'Financial impact (cash)'!I$19)</f>
        <v>#REF!</v>
      </c>
      <c r="J29" s="115" t="e">
        <f t="shared" si="4"/>
        <v>#REF!</v>
      </c>
      <c r="K29" s="115" t="e">
        <f t="shared" si="5"/>
        <v>#REF!</v>
      </c>
      <c r="L29" s="115" t="e">
        <f t="shared" si="6"/>
        <v>#REF!</v>
      </c>
      <c r="M29" s="115" t="e">
        <f t="shared" si="7"/>
        <v>#REF!</v>
      </c>
      <c r="N29" s="115" t="e">
        <f t="shared" si="8"/>
        <v>#REF!</v>
      </c>
    </row>
    <row r="30" spans="2:14" x14ac:dyDescent="0.35">
      <c r="B30" s="513" t="s">
        <v>634</v>
      </c>
      <c r="C30" s="115" t="e">
        <f>($C13*'Financial impact (cash)'!D$13)+(Events!$D13*'Financial impact (cash)'!D$14)+(Events!$E13*'Financial impact (cash)'!D$15)+($F13*'Financial impact (cash)'!D$16)+(Events!$G13*'Financial impact (cash)'!D$17)+(Events!$H13*'Financial impact (cash)'!D$18)+(Events!$I13*'Financial impact (cash)'!D$19)</f>
        <v>#REF!</v>
      </c>
      <c r="D30" s="115" t="e">
        <f>($C13*'Financial impact (cash)'!E$13)+(Events!$D13*'Financial impact (cash)'!E$14)+(Events!$E13*'Financial impact (cash)'!E$15)+($F13*'Financial impact (cash)'!E$16)+(Events!$G13*'Financial impact (cash)'!E$17)+(Events!$H13*'Financial impact (cash)'!E$18)+(Events!$I13*'Financial impact (cash)'!E$19)</f>
        <v>#REF!</v>
      </c>
      <c r="E30" s="115" t="e">
        <f>($C13*'Financial impact (cash)'!F$13)+(Events!$D13*'Financial impact (cash)'!F$14)+(Events!$E13*'Financial impact (cash)'!F$15)+($F13*'Financial impact (cash)'!F$16)+(Events!$G13*'Financial impact (cash)'!F$17)+(Events!$H13*'Financial impact (cash)'!F$18)+(Events!$I13*'Financial impact (cash)'!F$19)</f>
        <v>#REF!</v>
      </c>
      <c r="F30" s="115" t="e">
        <f>($C13*'Financial impact (cash)'!G$13)+(Events!$D13*'Financial impact (cash)'!G$14)+(Events!$E13*'Financial impact (cash)'!G$15)+($F13*'Financial impact (cash)'!G$16)+(Events!$G13*'Financial impact (cash)'!G$17)+(Events!$H13*'Financial impact (cash)'!G$18)+(Events!$I13*'Financial impact (cash)'!G$19)</f>
        <v>#REF!</v>
      </c>
      <c r="G30" s="115" t="e">
        <f>($C13*'Financial impact (cash)'!H$13)+(Events!$D13*'Financial impact (cash)'!H$14)+(Events!$E13*'Financial impact (cash)'!H$15)+($F13*'Financial impact (cash)'!H$16)+(Events!$G13*'Financial impact (cash)'!H$17)+(Events!$H13*'Financial impact (cash)'!H$18)+(Events!$I13*'Financial impact (cash)'!H$19)</f>
        <v>#REF!</v>
      </c>
      <c r="H30" s="115" t="e">
        <f>($C13*'Financial impact (cash)'!I$13)+(Events!$D13*'Financial impact (cash)'!I$14)+(Events!$E13*'Financial impact (cash)'!I$15)+($F13*'Financial impact (cash)'!I$16)+(Events!$G13*'Financial impact (cash)'!I$17)+(Events!$H13*'Financial impact (cash)'!I$18)+(Events!$I13*'Financial impact (cash)'!I$19)</f>
        <v>#REF!</v>
      </c>
      <c r="J30" s="115" t="e">
        <f t="shared" si="4"/>
        <v>#REF!</v>
      </c>
      <c r="K30" s="115" t="e">
        <f t="shared" si="5"/>
        <v>#REF!</v>
      </c>
      <c r="L30" s="115" t="e">
        <f t="shared" si="6"/>
        <v>#REF!</v>
      </c>
      <c r="M30" s="115" t="e">
        <f t="shared" si="7"/>
        <v>#REF!</v>
      </c>
      <c r="N30" s="115" t="e">
        <f t="shared" si="8"/>
        <v>#REF!</v>
      </c>
    </row>
    <row r="31" spans="2:14" x14ac:dyDescent="0.35">
      <c r="B31" s="513" t="s">
        <v>635</v>
      </c>
      <c r="C31" s="115" t="e">
        <f>($C14*'Financial impact (cash)'!D$13)+(Events!$D14*'Financial impact (cash)'!D$14)+(Events!$E14*'Financial impact (cash)'!D$15)+($F14*'Financial impact (cash)'!D$16)+(Events!$G14*'Financial impact (cash)'!D$17)+(Events!$H14*'Financial impact (cash)'!D$18)+(Events!$I14*'Financial impact (cash)'!D$19)</f>
        <v>#REF!</v>
      </c>
      <c r="D31" s="115" t="e">
        <f>($C14*'Financial impact (cash)'!E$13)+(Events!$D14*'Financial impact (cash)'!E$14)+(Events!$E14*'Financial impact (cash)'!E$15)+($F14*'Financial impact (cash)'!E$16)+(Events!$G14*'Financial impact (cash)'!E$17)+(Events!$H14*'Financial impact (cash)'!E$18)+(Events!$I14*'Financial impact (cash)'!E$19)</f>
        <v>#REF!</v>
      </c>
      <c r="E31" s="115" t="e">
        <f>($C14*'Financial impact (cash)'!F$13)+(Events!$D14*'Financial impact (cash)'!F$14)+(Events!$E14*'Financial impact (cash)'!F$15)+($F14*'Financial impact (cash)'!F$16)+(Events!$G14*'Financial impact (cash)'!F$17)+(Events!$H14*'Financial impact (cash)'!F$18)+(Events!$I14*'Financial impact (cash)'!F$19)</f>
        <v>#REF!</v>
      </c>
      <c r="F31" s="115" t="e">
        <f>($C14*'Financial impact (cash)'!G$13)+(Events!$D14*'Financial impact (cash)'!G$14)+(Events!$E14*'Financial impact (cash)'!G$15)+($F14*'Financial impact (cash)'!G$16)+(Events!$G14*'Financial impact (cash)'!G$17)+(Events!$H14*'Financial impact (cash)'!G$18)+(Events!$I14*'Financial impact (cash)'!G$19)</f>
        <v>#REF!</v>
      </c>
      <c r="G31" s="115" t="e">
        <f>($C14*'Financial impact (cash)'!H$13)+(Events!$D14*'Financial impact (cash)'!H$14)+(Events!$E14*'Financial impact (cash)'!H$15)+($F14*'Financial impact (cash)'!H$16)+(Events!$G14*'Financial impact (cash)'!H$17)+(Events!$H14*'Financial impact (cash)'!H$18)+(Events!$I14*'Financial impact (cash)'!H$19)</f>
        <v>#REF!</v>
      </c>
      <c r="H31" s="115" t="e">
        <f>($C14*'Financial impact (cash)'!I$13)+(Events!$D14*'Financial impact (cash)'!I$14)+(Events!$E14*'Financial impact (cash)'!I$15)+($F14*'Financial impact (cash)'!I$16)+(Events!$G14*'Financial impact (cash)'!I$17)+(Events!$H14*'Financial impact (cash)'!I$18)+(Events!$I14*'Financial impact (cash)'!I$19)</f>
        <v>#REF!</v>
      </c>
      <c r="J31" s="115" t="e">
        <f t="shared" si="4"/>
        <v>#REF!</v>
      </c>
      <c r="K31" s="115" t="e">
        <f t="shared" si="5"/>
        <v>#REF!</v>
      </c>
      <c r="L31" s="115" t="e">
        <f t="shared" si="6"/>
        <v>#REF!</v>
      </c>
      <c r="M31" s="115" t="e">
        <f t="shared" si="7"/>
        <v>#REF!</v>
      </c>
      <c r="N31" s="115" t="e">
        <f t="shared" si="8"/>
        <v>#REF!</v>
      </c>
    </row>
    <row r="32" spans="2:14" x14ac:dyDescent="0.35">
      <c r="B32" s="513" t="s">
        <v>636</v>
      </c>
      <c r="C32" s="115" t="e">
        <f>($C15*'Financial impact (cash)'!D$13)+(Events!$D15*'Financial impact (cash)'!D$14)+(Events!$E15*'Financial impact (cash)'!D$15)+($F15*'Financial impact (cash)'!D$16)+(Events!$G15*'Financial impact (cash)'!D$17)+(Events!$H15*'Financial impact (cash)'!D$18)+(Events!$I15*'Financial impact (cash)'!D$19)</f>
        <v>#REF!</v>
      </c>
      <c r="D32" s="115" t="e">
        <f>($C15*'Financial impact (cash)'!E$13)+(Events!$D15*'Financial impact (cash)'!E$14)+(Events!$E15*'Financial impact (cash)'!E$15)+($F15*'Financial impact (cash)'!E$16)+(Events!$G15*'Financial impact (cash)'!E$17)+(Events!$H15*'Financial impact (cash)'!E$18)+(Events!$I15*'Financial impact (cash)'!E$19)</f>
        <v>#REF!</v>
      </c>
      <c r="E32" s="115" t="e">
        <f>($C15*'Financial impact (cash)'!F$13)+(Events!$D15*'Financial impact (cash)'!F$14)+(Events!$E15*'Financial impact (cash)'!F$15)+($F15*'Financial impact (cash)'!F$16)+(Events!$G15*'Financial impact (cash)'!F$17)+(Events!$H15*'Financial impact (cash)'!F$18)+(Events!$I15*'Financial impact (cash)'!F$19)</f>
        <v>#REF!</v>
      </c>
      <c r="F32" s="115" t="e">
        <f>($C15*'Financial impact (cash)'!G$13)+(Events!$D15*'Financial impact (cash)'!G$14)+(Events!$E15*'Financial impact (cash)'!G$15)+($F15*'Financial impact (cash)'!G$16)+(Events!$G15*'Financial impact (cash)'!G$17)+(Events!$H15*'Financial impact (cash)'!G$18)+(Events!$I15*'Financial impact (cash)'!G$19)</f>
        <v>#REF!</v>
      </c>
      <c r="G32" s="115" t="e">
        <f>($C15*'Financial impact (cash)'!H$13)+(Events!$D15*'Financial impact (cash)'!H$14)+(Events!$E15*'Financial impact (cash)'!H$15)+($F15*'Financial impact (cash)'!H$16)+(Events!$G15*'Financial impact (cash)'!H$17)+(Events!$H15*'Financial impact (cash)'!H$18)+(Events!$I15*'Financial impact (cash)'!H$19)</f>
        <v>#REF!</v>
      </c>
      <c r="H32" s="115" t="e">
        <f>($C15*'Financial impact (cash)'!I$13)+(Events!$D15*'Financial impact (cash)'!I$14)+(Events!$E15*'Financial impact (cash)'!I$15)+($F15*'Financial impact (cash)'!I$16)+(Events!$G15*'Financial impact (cash)'!I$17)+(Events!$H15*'Financial impact (cash)'!I$18)+(Events!$I15*'Financial impact (cash)'!I$19)</f>
        <v>#REF!</v>
      </c>
      <c r="J32" s="115" t="e">
        <f t="shared" si="4"/>
        <v>#REF!</v>
      </c>
      <c r="K32" s="115" t="e">
        <f t="shared" si="5"/>
        <v>#REF!</v>
      </c>
      <c r="L32" s="115" t="e">
        <f t="shared" si="6"/>
        <v>#REF!</v>
      </c>
      <c r="M32" s="115" t="e">
        <f t="shared" si="7"/>
        <v>#REF!</v>
      </c>
      <c r="N32" s="115" t="e">
        <f t="shared" si="8"/>
        <v>#REF!</v>
      </c>
    </row>
    <row r="33" spans="2:14" s="135" customFormat="1" x14ac:dyDescent="0.35">
      <c r="B33" s="637"/>
      <c r="C33" s="162" t="e">
        <f>SUM(C23:C32)</f>
        <v>#REF!</v>
      </c>
      <c r="D33" s="162" t="e">
        <f t="shared" ref="D33:H33" si="9">SUM(D23:D32)</f>
        <v>#REF!</v>
      </c>
      <c r="E33" s="162" t="e">
        <f t="shared" si="9"/>
        <v>#REF!</v>
      </c>
      <c r="F33" s="162" t="e">
        <f t="shared" si="9"/>
        <v>#REF!</v>
      </c>
      <c r="G33" s="162" t="e">
        <f t="shared" si="9"/>
        <v>#REF!</v>
      </c>
      <c r="H33" s="162" t="e">
        <f t="shared" si="9"/>
        <v>#REF!</v>
      </c>
      <c r="J33" s="162" t="e">
        <f t="shared" ref="J33" si="10">SUM(J23:J32)</f>
        <v>#REF!</v>
      </c>
      <c r="K33" s="162" t="e">
        <f t="shared" ref="K33" si="11">SUM(K23:K32)</f>
        <v>#REF!</v>
      </c>
      <c r="L33" s="162" t="e">
        <f t="shared" ref="L33" si="12">SUM(L23:L32)</f>
        <v>#REF!</v>
      </c>
      <c r="M33" s="162" t="e">
        <f t="shared" ref="M33" si="13">SUM(M23:M32)</f>
        <v>#REF!</v>
      </c>
      <c r="N33" s="162" t="e">
        <f t="shared" ref="N33" si="14">SUM(N23:N32)</f>
        <v>#REF!</v>
      </c>
    </row>
    <row r="34" spans="2:14" x14ac:dyDescent="0.35">
      <c r="J34" s="609"/>
    </row>
    <row r="35" spans="2:14" x14ac:dyDescent="0.35">
      <c r="C35" s="631" t="s">
        <v>643</v>
      </c>
      <c r="D35" s="632"/>
      <c r="E35" s="632"/>
      <c r="F35" s="374"/>
      <c r="G35" s="374"/>
      <c r="H35" s="515"/>
      <c r="J35" s="631" t="s">
        <v>644</v>
      </c>
      <c r="K35" s="223"/>
      <c r="L35" s="223"/>
      <c r="M35" s="223"/>
      <c r="N35" s="184"/>
    </row>
    <row r="36" spans="2:14" ht="43.5" x14ac:dyDescent="0.35">
      <c r="C36" s="151" t="s">
        <v>642</v>
      </c>
      <c r="D36" s="151" t="s">
        <v>551</v>
      </c>
      <c r="E36" s="151" t="s">
        <v>552</v>
      </c>
      <c r="F36" s="207" t="s">
        <v>553</v>
      </c>
      <c r="G36" s="151" t="s">
        <v>554</v>
      </c>
      <c r="H36" s="151" t="s">
        <v>555</v>
      </c>
      <c r="J36" s="151" t="s">
        <v>551</v>
      </c>
      <c r="K36" s="151" t="s">
        <v>552</v>
      </c>
      <c r="L36" s="207" t="s">
        <v>553</v>
      </c>
      <c r="M36" s="151" t="s">
        <v>554</v>
      </c>
      <c r="N36" s="151" t="s">
        <v>555</v>
      </c>
    </row>
    <row r="37" spans="2:14" x14ac:dyDescent="0.35">
      <c r="B37" s="513" t="s">
        <v>627</v>
      </c>
      <c r="C37" s="256" t="e">
        <f>C23*$J6/1000</f>
        <v>#REF!</v>
      </c>
      <c r="D37" s="256" t="e">
        <f t="shared" ref="D37:H37" si="15">D23*$J6/1000</f>
        <v>#REF!</v>
      </c>
      <c r="E37" s="256" t="e">
        <f t="shared" si="15"/>
        <v>#REF!</v>
      </c>
      <c r="F37" s="256" t="e">
        <f t="shared" si="15"/>
        <v>#REF!</v>
      </c>
      <c r="G37" s="256" t="e">
        <f t="shared" si="15"/>
        <v>#REF!</v>
      </c>
      <c r="H37" s="256" t="e">
        <f t="shared" si="15"/>
        <v>#REF!</v>
      </c>
      <c r="J37" s="256" t="e">
        <f>D37-$C37</f>
        <v>#REF!</v>
      </c>
      <c r="K37" s="256" t="e">
        <f>E37-$C37</f>
        <v>#REF!</v>
      </c>
      <c r="L37" s="256" t="e">
        <f>F37-$C37</f>
        <v>#REF!</v>
      </c>
      <c r="M37" s="256" t="e">
        <f>G37-$C37</f>
        <v>#REF!</v>
      </c>
      <c r="N37" s="256" t="e">
        <f>H37-$C37</f>
        <v>#REF!</v>
      </c>
    </row>
    <row r="38" spans="2:14" x14ac:dyDescent="0.35">
      <c r="B38" s="513" t="s">
        <v>628</v>
      </c>
      <c r="C38" s="256" t="e">
        <f t="shared" ref="C38:H46" si="16">C24*$J7/1000</f>
        <v>#REF!</v>
      </c>
      <c r="D38" s="256" t="e">
        <f t="shared" si="16"/>
        <v>#REF!</v>
      </c>
      <c r="E38" s="256" t="e">
        <f t="shared" si="16"/>
        <v>#REF!</v>
      </c>
      <c r="F38" s="256" t="e">
        <f t="shared" si="16"/>
        <v>#REF!</v>
      </c>
      <c r="G38" s="256" t="e">
        <f t="shared" si="16"/>
        <v>#REF!</v>
      </c>
      <c r="H38" s="256" t="e">
        <f t="shared" si="16"/>
        <v>#REF!</v>
      </c>
      <c r="J38" s="256" t="e">
        <f t="shared" ref="J38:J46" si="17">D38-$C38</f>
        <v>#REF!</v>
      </c>
      <c r="K38" s="256" t="e">
        <f t="shared" ref="K38:K46" si="18">E38-$C38</f>
        <v>#REF!</v>
      </c>
      <c r="L38" s="256" t="e">
        <f t="shared" ref="L38:L46" si="19">F38-$C38</f>
        <v>#REF!</v>
      </c>
      <c r="M38" s="256" t="e">
        <f t="shared" ref="M38:M46" si="20">G38-$C38</f>
        <v>#REF!</v>
      </c>
      <c r="N38" s="256" t="e">
        <f t="shared" ref="N38:N46" si="21">H38-$C38</f>
        <v>#REF!</v>
      </c>
    </row>
    <row r="39" spans="2:14" x14ac:dyDescent="0.35">
      <c r="B39" s="513" t="s">
        <v>629</v>
      </c>
      <c r="C39" s="256" t="e">
        <f t="shared" si="16"/>
        <v>#REF!</v>
      </c>
      <c r="D39" s="256" t="e">
        <f t="shared" si="16"/>
        <v>#REF!</v>
      </c>
      <c r="E39" s="256" t="e">
        <f t="shared" si="16"/>
        <v>#REF!</v>
      </c>
      <c r="F39" s="256" t="e">
        <f t="shared" si="16"/>
        <v>#REF!</v>
      </c>
      <c r="G39" s="256" t="e">
        <f t="shared" si="16"/>
        <v>#REF!</v>
      </c>
      <c r="H39" s="256" t="e">
        <f t="shared" si="16"/>
        <v>#REF!</v>
      </c>
      <c r="J39" s="256" t="e">
        <f t="shared" si="17"/>
        <v>#REF!</v>
      </c>
      <c r="K39" s="256" t="e">
        <f t="shared" si="18"/>
        <v>#REF!</v>
      </c>
      <c r="L39" s="256" t="e">
        <f t="shared" si="19"/>
        <v>#REF!</v>
      </c>
      <c r="M39" s="256" t="e">
        <f t="shared" si="20"/>
        <v>#REF!</v>
      </c>
      <c r="N39" s="256" t="e">
        <f t="shared" si="21"/>
        <v>#REF!</v>
      </c>
    </row>
    <row r="40" spans="2:14" x14ac:dyDescent="0.35">
      <c r="B40" s="513" t="s">
        <v>630</v>
      </c>
      <c r="C40" s="256" t="e">
        <f t="shared" si="16"/>
        <v>#REF!</v>
      </c>
      <c r="D40" s="256" t="e">
        <f t="shared" si="16"/>
        <v>#REF!</v>
      </c>
      <c r="E40" s="256" t="e">
        <f t="shared" si="16"/>
        <v>#REF!</v>
      </c>
      <c r="F40" s="256" t="e">
        <f t="shared" si="16"/>
        <v>#REF!</v>
      </c>
      <c r="G40" s="256" t="e">
        <f t="shared" si="16"/>
        <v>#REF!</v>
      </c>
      <c r="H40" s="256" t="e">
        <f t="shared" si="16"/>
        <v>#REF!</v>
      </c>
      <c r="J40" s="256" t="e">
        <f t="shared" si="17"/>
        <v>#REF!</v>
      </c>
      <c r="K40" s="256" t="e">
        <f t="shared" si="18"/>
        <v>#REF!</v>
      </c>
      <c r="L40" s="256" t="e">
        <f t="shared" si="19"/>
        <v>#REF!</v>
      </c>
      <c r="M40" s="256" t="e">
        <f t="shared" si="20"/>
        <v>#REF!</v>
      </c>
      <c r="N40" s="256" t="e">
        <f t="shared" si="21"/>
        <v>#REF!</v>
      </c>
    </row>
    <row r="41" spans="2:14" x14ac:dyDescent="0.35">
      <c r="B41" s="513" t="s">
        <v>631</v>
      </c>
      <c r="C41" s="256" t="e">
        <f t="shared" si="16"/>
        <v>#REF!</v>
      </c>
      <c r="D41" s="256" t="e">
        <f t="shared" si="16"/>
        <v>#REF!</v>
      </c>
      <c r="E41" s="256" t="e">
        <f t="shared" si="16"/>
        <v>#REF!</v>
      </c>
      <c r="F41" s="256" t="e">
        <f t="shared" si="16"/>
        <v>#REF!</v>
      </c>
      <c r="G41" s="256" t="e">
        <f t="shared" si="16"/>
        <v>#REF!</v>
      </c>
      <c r="H41" s="256" t="e">
        <f t="shared" si="16"/>
        <v>#REF!</v>
      </c>
      <c r="J41" s="256" t="e">
        <f t="shared" si="17"/>
        <v>#REF!</v>
      </c>
      <c r="K41" s="256" t="e">
        <f t="shared" si="18"/>
        <v>#REF!</v>
      </c>
      <c r="L41" s="256" t="e">
        <f t="shared" si="19"/>
        <v>#REF!</v>
      </c>
      <c r="M41" s="256" t="e">
        <f t="shared" si="20"/>
        <v>#REF!</v>
      </c>
      <c r="N41" s="256" t="e">
        <f t="shared" si="21"/>
        <v>#REF!</v>
      </c>
    </row>
    <row r="42" spans="2:14" x14ac:dyDescent="0.35">
      <c r="B42" s="513" t="s">
        <v>632</v>
      </c>
      <c r="C42" s="256" t="e">
        <f t="shared" si="16"/>
        <v>#REF!</v>
      </c>
      <c r="D42" s="256" t="e">
        <f t="shared" si="16"/>
        <v>#REF!</v>
      </c>
      <c r="E42" s="256" t="e">
        <f t="shared" si="16"/>
        <v>#REF!</v>
      </c>
      <c r="F42" s="256" t="e">
        <f t="shared" si="16"/>
        <v>#REF!</v>
      </c>
      <c r="G42" s="256" t="e">
        <f t="shared" si="16"/>
        <v>#REF!</v>
      </c>
      <c r="H42" s="256" t="e">
        <f t="shared" si="16"/>
        <v>#REF!</v>
      </c>
      <c r="J42" s="256" t="e">
        <f t="shared" si="17"/>
        <v>#REF!</v>
      </c>
      <c r="K42" s="256" t="e">
        <f t="shared" si="18"/>
        <v>#REF!</v>
      </c>
      <c r="L42" s="256" t="e">
        <f t="shared" si="19"/>
        <v>#REF!</v>
      </c>
      <c r="M42" s="256" t="e">
        <f t="shared" si="20"/>
        <v>#REF!</v>
      </c>
      <c r="N42" s="256" t="e">
        <f t="shared" si="21"/>
        <v>#REF!</v>
      </c>
    </row>
    <row r="43" spans="2:14" x14ac:dyDescent="0.35">
      <c r="B43" s="513" t="s">
        <v>633</v>
      </c>
      <c r="C43" s="256" t="e">
        <f t="shared" si="16"/>
        <v>#REF!</v>
      </c>
      <c r="D43" s="256" t="e">
        <f t="shared" si="16"/>
        <v>#REF!</v>
      </c>
      <c r="E43" s="256" t="e">
        <f t="shared" si="16"/>
        <v>#REF!</v>
      </c>
      <c r="F43" s="256" t="e">
        <f t="shared" si="16"/>
        <v>#REF!</v>
      </c>
      <c r="G43" s="256" t="e">
        <f t="shared" si="16"/>
        <v>#REF!</v>
      </c>
      <c r="H43" s="256" t="e">
        <f t="shared" si="16"/>
        <v>#REF!</v>
      </c>
      <c r="J43" s="256" t="e">
        <f t="shared" si="17"/>
        <v>#REF!</v>
      </c>
      <c r="K43" s="256" t="e">
        <f t="shared" si="18"/>
        <v>#REF!</v>
      </c>
      <c r="L43" s="256" t="e">
        <f t="shared" si="19"/>
        <v>#REF!</v>
      </c>
      <c r="M43" s="256" t="e">
        <f t="shared" si="20"/>
        <v>#REF!</v>
      </c>
      <c r="N43" s="256" t="e">
        <f t="shared" si="21"/>
        <v>#REF!</v>
      </c>
    </row>
    <row r="44" spans="2:14" x14ac:dyDescent="0.35">
      <c r="B44" s="513" t="s">
        <v>634</v>
      </c>
      <c r="C44" s="256" t="e">
        <f t="shared" si="16"/>
        <v>#REF!</v>
      </c>
      <c r="D44" s="256" t="e">
        <f t="shared" si="16"/>
        <v>#REF!</v>
      </c>
      <c r="E44" s="256" t="e">
        <f t="shared" si="16"/>
        <v>#REF!</v>
      </c>
      <c r="F44" s="256" t="e">
        <f t="shared" si="16"/>
        <v>#REF!</v>
      </c>
      <c r="G44" s="256" t="e">
        <f t="shared" si="16"/>
        <v>#REF!</v>
      </c>
      <c r="H44" s="256" t="e">
        <f t="shared" si="16"/>
        <v>#REF!</v>
      </c>
      <c r="J44" s="256" t="e">
        <f t="shared" si="17"/>
        <v>#REF!</v>
      </c>
      <c r="K44" s="256" t="e">
        <f t="shared" si="18"/>
        <v>#REF!</v>
      </c>
      <c r="L44" s="256" t="e">
        <f t="shared" si="19"/>
        <v>#REF!</v>
      </c>
      <c r="M44" s="256" t="e">
        <f t="shared" si="20"/>
        <v>#REF!</v>
      </c>
      <c r="N44" s="256" t="e">
        <f t="shared" si="21"/>
        <v>#REF!</v>
      </c>
    </row>
    <row r="45" spans="2:14" x14ac:dyDescent="0.35">
      <c r="B45" s="513" t="s">
        <v>635</v>
      </c>
      <c r="C45" s="256" t="e">
        <f t="shared" si="16"/>
        <v>#REF!</v>
      </c>
      <c r="D45" s="256" t="e">
        <f t="shared" si="16"/>
        <v>#REF!</v>
      </c>
      <c r="E45" s="256" t="e">
        <f t="shared" si="16"/>
        <v>#REF!</v>
      </c>
      <c r="F45" s="256" t="e">
        <f t="shared" si="16"/>
        <v>#REF!</v>
      </c>
      <c r="G45" s="256" t="e">
        <f t="shared" si="16"/>
        <v>#REF!</v>
      </c>
      <c r="H45" s="256" t="e">
        <f t="shared" si="16"/>
        <v>#REF!</v>
      </c>
      <c r="J45" s="256" t="e">
        <f t="shared" si="17"/>
        <v>#REF!</v>
      </c>
      <c r="K45" s="256" t="e">
        <f t="shared" si="18"/>
        <v>#REF!</v>
      </c>
      <c r="L45" s="256" t="e">
        <f t="shared" si="19"/>
        <v>#REF!</v>
      </c>
      <c r="M45" s="256" t="e">
        <f t="shared" si="20"/>
        <v>#REF!</v>
      </c>
      <c r="N45" s="256" t="e">
        <f t="shared" si="21"/>
        <v>#REF!</v>
      </c>
    </row>
    <row r="46" spans="2:14" x14ac:dyDescent="0.35">
      <c r="B46" s="513" t="s">
        <v>636</v>
      </c>
      <c r="C46" s="256" t="e">
        <f t="shared" si="16"/>
        <v>#REF!</v>
      </c>
      <c r="D46" s="256" t="e">
        <f t="shared" si="16"/>
        <v>#REF!</v>
      </c>
      <c r="E46" s="256" t="e">
        <f t="shared" si="16"/>
        <v>#REF!</v>
      </c>
      <c r="F46" s="256" t="e">
        <f t="shared" si="16"/>
        <v>#REF!</v>
      </c>
      <c r="G46" s="256" t="e">
        <f t="shared" si="16"/>
        <v>#REF!</v>
      </c>
      <c r="H46" s="256" t="e">
        <f t="shared" si="16"/>
        <v>#REF!</v>
      </c>
      <c r="J46" s="256" t="e">
        <f t="shared" si="17"/>
        <v>#REF!</v>
      </c>
      <c r="K46" s="256" t="e">
        <f t="shared" si="18"/>
        <v>#REF!</v>
      </c>
      <c r="L46" s="256" t="e">
        <f t="shared" si="19"/>
        <v>#REF!</v>
      </c>
      <c r="M46" s="256" t="e">
        <f t="shared" si="20"/>
        <v>#REF!</v>
      </c>
      <c r="N46" s="256" t="e">
        <f t="shared" si="21"/>
        <v>#REF!</v>
      </c>
    </row>
    <row r="47" spans="2:14" x14ac:dyDescent="0.35">
      <c r="C47" s="257" t="e">
        <f>SUM(C37:C46)</f>
        <v>#REF!</v>
      </c>
      <c r="D47" s="257" t="e">
        <f t="shared" ref="D47:N47" si="22">SUM(D37:D46)</f>
        <v>#REF!</v>
      </c>
      <c r="E47" s="257" t="e">
        <f t="shared" si="22"/>
        <v>#REF!</v>
      </c>
      <c r="F47" s="257" t="e">
        <f t="shared" si="22"/>
        <v>#REF!</v>
      </c>
      <c r="G47" s="257" t="e">
        <f t="shared" si="22"/>
        <v>#REF!</v>
      </c>
      <c r="H47" s="257" t="e">
        <f t="shared" si="22"/>
        <v>#REF!</v>
      </c>
      <c r="J47" s="257" t="e">
        <f t="shared" si="22"/>
        <v>#REF!</v>
      </c>
      <c r="K47" s="257" t="e">
        <f t="shared" si="22"/>
        <v>#REF!</v>
      </c>
      <c r="L47" s="257" t="e">
        <f t="shared" si="22"/>
        <v>#REF!</v>
      </c>
      <c r="M47" s="257" t="e">
        <f t="shared" si="22"/>
        <v>#REF!</v>
      </c>
      <c r="N47" s="257"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95"/>
  <sheetViews>
    <sheetView showGridLines="0" topLeftCell="A9" zoomScale="80" zoomScaleNormal="80" workbookViewId="0">
      <selection activeCell="B20" sqref="B20:I26"/>
    </sheetView>
  </sheetViews>
  <sheetFormatPr defaultColWidth="9.1796875" defaultRowHeight="12.5" x14ac:dyDescent="0.25"/>
  <cols>
    <col min="1" max="1" width="3.54296875" style="3" customWidth="1"/>
    <col min="2" max="2" width="30.1796875" style="3" customWidth="1"/>
    <col min="3" max="3" width="29.81640625" style="3" bestFit="1" customWidth="1"/>
    <col min="4" max="4" width="15" style="3" bestFit="1" customWidth="1"/>
    <col min="5" max="5" width="12.54296875" style="3" customWidth="1"/>
    <col min="6" max="6" width="11.1796875" style="3" customWidth="1"/>
    <col min="7" max="7" width="27.26953125" style="3" customWidth="1"/>
    <col min="8" max="8" width="21.81640625" style="3" bestFit="1" customWidth="1"/>
    <col min="9" max="10" width="11.1796875" style="3" customWidth="1"/>
    <col min="11" max="12" width="10.54296875" style="3" customWidth="1"/>
    <col min="13" max="13" width="12.54296875" style="3" customWidth="1"/>
    <col min="14" max="16" width="12.453125" style="3" customWidth="1"/>
    <col min="17" max="18" width="12.1796875" style="3" customWidth="1"/>
    <col min="19" max="19" width="3.54296875" style="3" customWidth="1"/>
    <col min="20" max="20" width="9.453125" style="3" customWidth="1"/>
    <col min="21" max="16384" width="9.1796875" style="3"/>
  </cols>
  <sheetData>
    <row r="1" spans="1:22" ht="30" customHeight="1" x14ac:dyDescent="0.5">
      <c r="A1" s="172"/>
      <c r="B1" s="441" t="str">
        <f>'Resource impact'!B1</f>
        <v>Digital platforms to support cardiac rehabilitation: early value assessment</v>
      </c>
      <c r="C1" s="134"/>
      <c r="D1" s="118"/>
      <c r="E1" s="118"/>
      <c r="F1" s="118"/>
      <c r="G1" s="118"/>
      <c r="H1" s="118"/>
      <c r="I1" s="118"/>
      <c r="J1" s="118" t="s">
        <v>556</v>
      </c>
      <c r="K1" s="118" t="s">
        <v>556</v>
      </c>
      <c r="L1" s="118" t="s">
        <v>556</v>
      </c>
      <c r="M1" s="118" t="s">
        <v>556</v>
      </c>
      <c r="N1" s="140"/>
      <c r="O1" s="140"/>
      <c r="P1" s="140"/>
      <c r="Q1" s="172"/>
      <c r="R1" s="172"/>
      <c r="S1" s="172"/>
    </row>
    <row r="2" spans="1:22" ht="26.25" customHeight="1" x14ac:dyDescent="0.5">
      <c r="A2" s="172"/>
      <c r="B2" s="132" t="s">
        <v>7</v>
      </c>
      <c r="C2" s="133" t="s">
        <v>556</v>
      </c>
      <c r="D2" s="118" t="s">
        <v>556</v>
      </c>
      <c r="E2" s="118" t="s">
        <v>556</v>
      </c>
      <c r="F2" s="118" t="s">
        <v>556</v>
      </c>
      <c r="G2" s="118" t="s">
        <v>556</v>
      </c>
      <c r="H2" s="118" t="s">
        <v>556</v>
      </c>
      <c r="I2" s="118" t="s">
        <v>556</v>
      </c>
      <c r="J2" s="118" t="s">
        <v>556</v>
      </c>
      <c r="K2" s="119" t="s">
        <v>556</v>
      </c>
      <c r="L2" s="119"/>
      <c r="M2" s="119"/>
      <c r="N2" s="119"/>
      <c r="O2" s="119"/>
      <c r="P2" s="119"/>
      <c r="Q2" s="172"/>
      <c r="R2" s="172"/>
      <c r="S2" s="172"/>
    </row>
    <row r="3" spans="1:22" ht="14.5" customHeight="1" x14ac:dyDescent="0.5">
      <c r="A3" s="172"/>
      <c r="B3" s="116"/>
      <c r="C3" s="134"/>
      <c r="D3" s="118"/>
      <c r="E3" s="118"/>
      <c r="F3" s="118"/>
      <c r="G3" s="118" t="s">
        <v>556</v>
      </c>
      <c r="H3" s="118" t="s">
        <v>556</v>
      </c>
      <c r="I3" s="118" t="s">
        <v>556</v>
      </c>
      <c r="J3" s="118" t="s">
        <v>556</v>
      </c>
      <c r="K3" s="119" t="s">
        <v>556</v>
      </c>
      <c r="L3" s="119"/>
      <c r="M3" s="119"/>
      <c r="N3" s="119"/>
      <c r="O3" s="119"/>
      <c r="P3" s="119"/>
      <c r="Q3" s="172"/>
      <c r="R3" s="172"/>
      <c r="S3" s="172"/>
    </row>
    <row r="4" spans="1:22" ht="14.5" customHeight="1" x14ac:dyDescent="0.5">
      <c r="A4" s="172"/>
      <c r="B4" t="s">
        <v>645</v>
      </c>
      <c r="C4" s="134"/>
      <c r="D4" s="118"/>
      <c r="E4" s="118"/>
      <c r="F4" s="118"/>
      <c r="G4" s="118" t="s">
        <v>556</v>
      </c>
      <c r="H4" s="118" t="s">
        <v>556</v>
      </c>
      <c r="I4" s="118" t="s">
        <v>556</v>
      </c>
      <c r="J4" s="118" t="s">
        <v>556</v>
      </c>
      <c r="K4" s="119" t="s">
        <v>556</v>
      </c>
      <c r="L4" s="118"/>
      <c r="M4" s="119"/>
      <c r="N4" s="119"/>
      <c r="O4" s="119"/>
      <c r="P4" s="119"/>
      <c r="Q4" s="119"/>
      <c r="R4" s="119"/>
      <c r="S4" s="119"/>
    </row>
    <row r="5" spans="1:22" ht="14.5" customHeight="1" x14ac:dyDescent="0.5">
      <c r="A5" s="172"/>
      <c r="B5" t="s">
        <v>544</v>
      </c>
      <c r="C5" s="134"/>
      <c r="D5" s="118"/>
      <c r="E5" s="118"/>
      <c r="F5" s="118"/>
      <c r="G5" s="118"/>
      <c r="H5" s="118" t="s">
        <v>556</v>
      </c>
      <c r="I5" s="118" t="s">
        <v>556</v>
      </c>
      <c r="J5" s="118" t="s">
        <v>556</v>
      </c>
      <c r="K5" s="119" t="s">
        <v>556</v>
      </c>
      <c r="L5" s="118"/>
      <c r="M5" s="119"/>
      <c r="N5" s="119"/>
      <c r="O5" s="119"/>
      <c r="P5" s="119"/>
      <c r="Q5" s="119"/>
      <c r="R5" s="119"/>
      <c r="S5" s="119"/>
    </row>
    <row r="6" spans="1:22" ht="14.5" customHeight="1" x14ac:dyDescent="0.5">
      <c r="A6" s="172"/>
      <c r="B6" s="732"/>
      <c r="C6" s="733"/>
      <c r="D6" s="734"/>
      <c r="E6" s="118"/>
      <c r="F6" s="118"/>
      <c r="G6" s="118"/>
      <c r="H6" s="118"/>
      <c r="I6" s="118"/>
      <c r="J6" s="118"/>
      <c r="K6" s="118"/>
      <c r="L6" s="118"/>
      <c r="M6" s="118"/>
      <c r="N6" s="118"/>
      <c r="O6" s="118"/>
      <c r="P6" s="118"/>
      <c r="Q6" s="118"/>
      <c r="R6" s="118"/>
      <c r="S6" s="118"/>
    </row>
    <row r="7" spans="1:22" ht="19.5" customHeight="1" x14ac:dyDescent="0.5">
      <c r="A7" s="172"/>
      <c r="B7" s="735"/>
      <c r="C7" s="733"/>
      <c r="D7" s="736"/>
      <c r="E7" s="118"/>
      <c r="F7" s="118"/>
      <c r="G7" s="118"/>
      <c r="H7" s="118"/>
      <c r="I7" s="118"/>
      <c r="J7" s="118"/>
      <c r="K7" s="118"/>
      <c r="L7" s="118"/>
      <c r="M7" s="118"/>
      <c r="N7" s="118"/>
      <c r="O7" s="118"/>
      <c r="P7" s="118"/>
      <c r="Q7" s="118"/>
      <c r="R7" s="118"/>
      <c r="S7" s="118"/>
    </row>
    <row r="8" spans="1:22" s="4" customFormat="1" ht="14.5" customHeight="1" x14ac:dyDescent="0.35">
      <c r="A8" s="5"/>
      <c r="B8" s="768" t="s">
        <v>2150</v>
      </c>
      <c r="C8" s="769"/>
      <c r="D8" s="770"/>
      <c r="E8" s="770"/>
      <c r="F8" s="118"/>
      <c r="G8" s="118"/>
      <c r="H8" s="118"/>
      <c r="I8" s="118"/>
      <c r="J8" s="118"/>
      <c r="K8" s="118"/>
      <c r="L8" s="118"/>
      <c r="M8" s="118"/>
      <c r="N8" s="118"/>
      <c r="O8" s="118"/>
      <c r="P8" s="118"/>
      <c r="Q8" s="118"/>
      <c r="R8" s="118"/>
      <c r="S8" s="738"/>
      <c r="V8" s="3"/>
    </row>
    <row r="9" spans="1:22" s="4" customFormat="1" ht="14.5" customHeight="1" x14ac:dyDescent="0.35">
      <c r="A9" s="5"/>
      <c r="B9" s="776" t="s">
        <v>2150</v>
      </c>
      <c r="C9" s="776" t="s">
        <v>2151</v>
      </c>
      <c r="D9" s="776" t="s">
        <v>647</v>
      </c>
      <c r="E9" s="776" t="s">
        <v>648</v>
      </c>
      <c r="F9" s="118"/>
      <c r="G9" s="118"/>
      <c r="H9" s="118"/>
      <c r="I9" s="118"/>
      <c r="J9" s="118"/>
      <c r="K9" s="118"/>
      <c r="L9" s="118"/>
      <c r="M9" s="118"/>
      <c r="N9" s="118"/>
      <c r="O9" s="118"/>
      <c r="P9" s="118"/>
      <c r="Q9" s="118"/>
      <c r="R9" s="118"/>
      <c r="S9" s="738"/>
      <c r="V9" s="3"/>
    </row>
    <row r="10" spans="1:22" s="4" customFormat="1" ht="15.5" x14ac:dyDescent="0.35">
      <c r="A10" s="5"/>
      <c r="B10" s="771" t="s">
        <v>2153</v>
      </c>
      <c r="C10" s="772">
        <v>50</v>
      </c>
      <c r="D10" s="773">
        <v>0.2</v>
      </c>
      <c r="E10" s="774">
        <f>C10*(100%+D10)</f>
        <v>60</v>
      </c>
      <c r="F10" s="739"/>
      <c r="G10" s="739"/>
      <c r="H10" s="740"/>
      <c r="I10" s="739"/>
      <c r="J10" s="739"/>
      <c r="K10" s="739"/>
      <c r="L10" s="739"/>
      <c r="M10" s="739"/>
      <c r="N10" s="739"/>
      <c r="O10" s="739"/>
      <c r="P10" s="739"/>
      <c r="Q10" s="739"/>
      <c r="R10" s="739"/>
      <c r="S10" s="738"/>
      <c r="V10" s="3"/>
    </row>
    <row r="11" spans="1:22" s="4" customFormat="1" ht="15.5" x14ac:dyDescent="0.35">
      <c r="A11" s="5"/>
      <c r="B11" s="775" t="s">
        <v>2154</v>
      </c>
      <c r="C11" s="772">
        <v>22.39</v>
      </c>
      <c r="D11" s="773">
        <v>0.2</v>
      </c>
      <c r="E11" s="774">
        <f>C11*(100%+D11)</f>
        <v>26.867999999999999</v>
      </c>
      <c r="F11" s="742"/>
      <c r="G11" s="742"/>
      <c r="H11" s="741"/>
      <c r="I11" s="742"/>
      <c r="J11" s="742"/>
      <c r="K11" s="742"/>
      <c r="L11" s="742"/>
      <c r="M11" s="742"/>
      <c r="N11" s="742"/>
      <c r="O11" s="742"/>
      <c r="P11" s="742"/>
      <c r="Q11" s="741"/>
      <c r="R11" s="742"/>
      <c r="S11" s="738"/>
      <c r="V11" s="3"/>
    </row>
    <row r="12" spans="1:22" s="4" customFormat="1" ht="15.5" x14ac:dyDescent="0.35">
      <c r="A12" s="5"/>
      <c r="B12" s="775" t="s">
        <v>2155</v>
      </c>
      <c r="C12" s="772">
        <v>26</v>
      </c>
      <c r="D12" s="773">
        <v>0.2</v>
      </c>
      <c r="E12" s="774">
        <f t="shared" ref="E12:E16" si="0">C12*(100%+D12)</f>
        <v>31.2</v>
      </c>
      <c r="F12" s="745"/>
      <c r="G12" s="745"/>
      <c r="H12" s="745"/>
      <c r="I12" s="746"/>
      <c r="J12" s="746"/>
      <c r="K12" s="745"/>
      <c r="L12" s="743"/>
      <c r="M12" s="747"/>
      <c r="N12" s="743"/>
      <c r="O12" s="743"/>
      <c r="P12" s="748"/>
      <c r="Q12" s="749"/>
      <c r="R12" s="750"/>
      <c r="S12" s="738"/>
      <c r="V12" s="3"/>
    </row>
    <row r="13" spans="1:22" s="4" customFormat="1" ht="15.5" x14ac:dyDescent="0.35">
      <c r="A13" s="5"/>
      <c r="B13" s="775" t="s">
        <v>2156</v>
      </c>
      <c r="C13" s="772">
        <v>250</v>
      </c>
      <c r="D13" s="773">
        <v>0.2</v>
      </c>
      <c r="E13" s="774">
        <f t="shared" si="0"/>
        <v>300</v>
      </c>
      <c r="F13" s="745"/>
      <c r="G13" s="745"/>
      <c r="H13" s="745"/>
      <c r="I13" s="746"/>
      <c r="J13" s="746"/>
      <c r="K13" s="745"/>
      <c r="L13" s="743"/>
      <c r="M13" s="751"/>
      <c r="N13" s="751"/>
      <c r="O13" s="751"/>
      <c r="P13" s="748"/>
      <c r="Q13" s="749"/>
      <c r="R13" s="750"/>
      <c r="S13" s="738"/>
      <c r="V13" s="3"/>
    </row>
    <row r="14" spans="1:22" s="4" customFormat="1" ht="15.5" x14ac:dyDescent="0.35">
      <c r="A14" s="5"/>
      <c r="B14" s="775" t="s">
        <v>2157</v>
      </c>
      <c r="C14" s="772">
        <v>199</v>
      </c>
      <c r="D14" s="773">
        <v>0.2</v>
      </c>
      <c r="E14" s="774">
        <f t="shared" si="0"/>
        <v>238.79999999999998</v>
      </c>
      <c r="F14" s="745"/>
      <c r="G14" s="745"/>
      <c r="H14" s="745"/>
      <c r="I14" s="746"/>
      <c r="J14" s="746"/>
      <c r="K14" s="745"/>
      <c r="L14" s="743"/>
      <c r="M14" s="751"/>
      <c r="N14" s="751"/>
      <c r="O14" s="751"/>
      <c r="P14" s="748"/>
      <c r="Q14" s="749"/>
      <c r="R14" s="750"/>
      <c r="S14" s="738"/>
      <c r="V14" s="3"/>
    </row>
    <row r="15" spans="1:22" s="4" customFormat="1" ht="15.5" x14ac:dyDescent="0.35">
      <c r="A15" s="5"/>
      <c r="B15" s="775" t="s">
        <v>2158</v>
      </c>
      <c r="C15" s="772">
        <v>66.67</v>
      </c>
      <c r="D15" s="773">
        <v>0.2</v>
      </c>
      <c r="E15" s="774">
        <f t="shared" si="0"/>
        <v>80.004000000000005</v>
      </c>
      <c r="F15" s="739"/>
      <c r="G15" s="739"/>
      <c r="H15" s="739"/>
      <c r="I15" s="739"/>
      <c r="J15" s="739"/>
      <c r="K15" s="739"/>
      <c r="L15" s="739"/>
      <c r="M15" s="739"/>
      <c r="N15" s="739"/>
      <c r="O15" s="739"/>
      <c r="P15" s="739"/>
      <c r="Q15" s="739"/>
      <c r="R15" s="752"/>
      <c r="S15" s="738"/>
      <c r="V15" s="3"/>
    </row>
    <row r="16" spans="1:22" s="4" customFormat="1" ht="31" x14ac:dyDescent="0.35">
      <c r="A16" s="5"/>
      <c r="B16" s="775" t="s">
        <v>2152</v>
      </c>
      <c r="C16" s="772">
        <v>0</v>
      </c>
      <c r="D16" s="773">
        <v>0.2</v>
      </c>
      <c r="E16" s="774">
        <f t="shared" si="0"/>
        <v>0</v>
      </c>
      <c r="F16" s="739"/>
      <c r="G16" s="739"/>
      <c r="H16" s="739"/>
      <c r="I16" s="739"/>
      <c r="J16" s="739"/>
      <c r="K16" s="739"/>
      <c r="L16" s="739"/>
      <c r="M16" s="739"/>
      <c r="N16" s="739"/>
      <c r="O16" s="739"/>
      <c r="P16" s="739"/>
      <c r="Q16" s="739"/>
      <c r="R16" s="739"/>
      <c r="S16" s="738"/>
      <c r="V16" s="3"/>
    </row>
    <row r="17" spans="1:22" s="4" customFormat="1" ht="3" customHeight="1" x14ac:dyDescent="0.3">
      <c r="A17" s="5"/>
      <c r="B17" s="765"/>
      <c r="C17" s="738"/>
      <c r="D17" s="729"/>
      <c r="E17" s="753"/>
      <c r="F17" s="754"/>
      <c r="G17" s="730"/>
      <c r="H17" s="738"/>
      <c r="I17" s="738"/>
      <c r="J17" s="755"/>
      <c r="K17" s="730"/>
      <c r="L17" s="730"/>
      <c r="M17" s="730"/>
      <c r="N17" s="730"/>
      <c r="O17" s="730"/>
      <c r="P17" s="730"/>
      <c r="Q17" s="730"/>
      <c r="R17" s="755"/>
      <c r="S17" s="738"/>
      <c r="V17" s="3"/>
    </row>
    <row r="18" spans="1:22" s="4" customFormat="1" ht="42" customHeight="1" x14ac:dyDescent="0.3">
      <c r="A18" s="5"/>
      <c r="B18" s="870" t="s">
        <v>2159</v>
      </c>
      <c r="C18" s="870"/>
      <c r="D18" s="870"/>
      <c r="E18" s="870"/>
      <c r="F18" s="754"/>
      <c r="G18" s="730"/>
      <c r="H18" s="738"/>
      <c r="I18" s="738"/>
      <c r="J18" s="755"/>
      <c r="K18" s="730"/>
      <c r="L18" s="730"/>
      <c r="M18" s="730"/>
      <c r="N18" s="730"/>
      <c r="O18" s="730"/>
      <c r="P18" s="730"/>
      <c r="Q18" s="730"/>
      <c r="R18" s="755"/>
      <c r="S18" s="738"/>
      <c r="V18" s="3"/>
    </row>
    <row r="19" spans="1:22" s="4" customFormat="1" ht="14.5" customHeight="1" x14ac:dyDescent="0.35">
      <c r="A19" s="5"/>
      <c r="B19" s="777"/>
      <c r="C19" s="777"/>
      <c r="D19" s="777"/>
      <c r="E19" s="777"/>
      <c r="F19" s="754"/>
      <c r="G19" s="730"/>
      <c r="H19" s="738"/>
      <c r="I19" s="738"/>
      <c r="J19" s="755"/>
      <c r="K19" s="730"/>
      <c r="L19" s="730"/>
      <c r="M19" s="730"/>
      <c r="N19" s="730"/>
      <c r="O19" s="730"/>
      <c r="P19" s="730"/>
      <c r="Q19" s="730"/>
      <c r="R19" s="755"/>
      <c r="S19" s="738"/>
      <c r="V19" s="3"/>
    </row>
    <row r="20" spans="1:22" s="4" customFormat="1" ht="14.5" x14ac:dyDescent="0.35">
      <c r="A20" s="5"/>
      <c r="B20" s="781" t="s">
        <v>2171</v>
      </c>
      <c r="C20" s="781" t="s">
        <v>2172</v>
      </c>
      <c r="D20" s="781" t="s">
        <v>2173</v>
      </c>
      <c r="E20" s="781" t="s">
        <v>2174</v>
      </c>
      <c r="F20" s="389"/>
      <c r="G20" s="634"/>
      <c r="H20" s="781" t="s">
        <v>2175</v>
      </c>
      <c r="I20" s="781" t="s">
        <v>2176</v>
      </c>
      <c r="J20" s="755"/>
      <c r="K20" s="730"/>
      <c r="L20" s="730"/>
      <c r="M20" s="730"/>
      <c r="N20" s="730"/>
      <c r="O20" s="730"/>
      <c r="P20" s="730"/>
      <c r="Q20" s="730"/>
      <c r="R20" s="755"/>
      <c r="S20" s="738"/>
      <c r="V20" s="3"/>
    </row>
    <row r="21" spans="1:22" s="4" customFormat="1" ht="14.5" x14ac:dyDescent="0.35">
      <c r="A21" s="5"/>
      <c r="B21" s="782" t="s">
        <v>2161</v>
      </c>
      <c r="C21" s="782" t="s">
        <v>2162</v>
      </c>
      <c r="D21" s="782" t="s">
        <v>2163</v>
      </c>
      <c r="E21" s="782" t="s">
        <v>2164</v>
      </c>
      <c r="F21" s="731"/>
      <c r="G21" s="731"/>
      <c r="H21" s="779">
        <v>60272</v>
      </c>
      <c r="I21" s="780">
        <v>78.554339166510331</v>
      </c>
      <c r="J21" s="118"/>
      <c r="K21" s="118"/>
      <c r="L21" s="118"/>
      <c r="M21" s="118"/>
      <c r="N21" s="118"/>
      <c r="O21" s="118"/>
      <c r="P21" s="118"/>
      <c r="Q21" s="118"/>
      <c r="R21" s="118"/>
      <c r="S21" s="738"/>
      <c r="V21" s="3"/>
    </row>
    <row r="22" spans="1:22" s="4" customFormat="1" ht="14.5" customHeight="1" x14ac:dyDescent="0.35">
      <c r="A22" s="5"/>
      <c r="B22" s="782" t="s">
        <v>2161</v>
      </c>
      <c r="C22" s="782" t="s">
        <v>2162</v>
      </c>
      <c r="D22" s="782" t="s">
        <v>2165</v>
      </c>
      <c r="E22" s="782" t="s">
        <v>2166</v>
      </c>
      <c r="F22" s="731"/>
      <c r="G22" s="731"/>
      <c r="H22" s="779">
        <v>8959</v>
      </c>
      <c r="I22" s="780">
        <v>92.662595604385558</v>
      </c>
      <c r="J22" s="118"/>
      <c r="K22" s="118"/>
      <c r="L22" s="118"/>
      <c r="M22" s="118"/>
      <c r="N22" s="118"/>
      <c r="O22" s="118"/>
      <c r="P22" s="118"/>
      <c r="Q22" s="118"/>
      <c r="R22" s="118"/>
      <c r="S22" s="738"/>
      <c r="V22" s="3"/>
    </row>
    <row r="23" spans="1:22" s="4" customFormat="1" ht="14.5" x14ac:dyDescent="0.35">
      <c r="A23" s="5"/>
      <c r="B23" s="782" t="s">
        <v>2161</v>
      </c>
      <c r="C23" s="782" t="s">
        <v>2162</v>
      </c>
      <c r="D23" s="782" t="s">
        <v>2167</v>
      </c>
      <c r="E23" s="782" t="s">
        <v>2168</v>
      </c>
      <c r="F23" s="731"/>
      <c r="G23" s="731"/>
      <c r="H23" s="779">
        <v>14258</v>
      </c>
      <c r="I23" s="780">
        <v>139.19665468886802</v>
      </c>
      <c r="J23" s="739"/>
      <c r="K23" s="739"/>
      <c r="L23" s="739"/>
      <c r="M23" s="739"/>
      <c r="N23" s="739"/>
      <c r="O23" s="739"/>
      <c r="P23" s="739"/>
      <c r="Q23" s="739"/>
      <c r="R23" s="739"/>
      <c r="S23" s="738"/>
      <c r="V23" s="3"/>
    </row>
    <row r="24" spans="1:22" s="4" customFormat="1" ht="14.5" x14ac:dyDescent="0.35">
      <c r="A24" s="5"/>
      <c r="B24" s="782" t="s">
        <v>2161</v>
      </c>
      <c r="C24" s="782" t="s">
        <v>2162</v>
      </c>
      <c r="D24" s="782" t="s">
        <v>2169</v>
      </c>
      <c r="E24" s="782" t="s">
        <v>2170</v>
      </c>
      <c r="F24" s="731"/>
      <c r="G24" s="731"/>
      <c r="H24" s="779">
        <v>7280</v>
      </c>
      <c r="I24" s="780">
        <v>126.91720180133105</v>
      </c>
      <c r="J24" s="742"/>
      <c r="K24" s="742"/>
      <c r="L24" s="742"/>
      <c r="M24" s="742"/>
      <c r="N24" s="742"/>
      <c r="O24" s="742"/>
      <c r="P24" s="742"/>
      <c r="Q24" s="741"/>
      <c r="R24" s="742"/>
      <c r="S24" s="738"/>
      <c r="V24" s="3"/>
    </row>
    <row r="25" spans="1:22" s="4" customFormat="1" ht="14.5" x14ac:dyDescent="0.35">
      <c r="A25" s="5"/>
      <c r="B25" s="743"/>
      <c r="C25" s="744"/>
      <c r="D25" s="744"/>
      <c r="E25" s="745"/>
      <c r="F25" s="745"/>
      <c r="G25" s="745"/>
      <c r="H25" s="783" t="s">
        <v>2178</v>
      </c>
      <c r="I25" s="784">
        <f>((I21*H21)+(H23*I23))/(H21+H23)</f>
        <v>90.155548541497268</v>
      </c>
      <c r="J25" s="746"/>
      <c r="K25" s="745"/>
      <c r="L25" s="743"/>
      <c r="M25" s="747"/>
      <c r="N25" s="743"/>
      <c r="O25" s="743"/>
      <c r="P25" s="748"/>
      <c r="Q25" s="749"/>
      <c r="R25" s="750"/>
      <c r="S25" s="738"/>
      <c r="V25" s="3"/>
    </row>
    <row r="26" spans="1:22" s="4" customFormat="1" ht="14.5" x14ac:dyDescent="0.35">
      <c r="A26" s="5"/>
      <c r="B26" s="743"/>
      <c r="C26" s="744"/>
      <c r="D26" s="744"/>
      <c r="E26" s="745"/>
      <c r="F26" s="745"/>
      <c r="G26" s="745"/>
      <c r="H26" s="783" t="s">
        <v>2177</v>
      </c>
      <c r="I26" s="784">
        <f>((I22*H22)+(H24*I24))/(H22+H24)</f>
        <v>108.01905432190284</v>
      </c>
      <c r="J26" s="746"/>
      <c r="K26" s="745"/>
      <c r="L26" s="743"/>
      <c r="M26" s="751"/>
      <c r="N26" s="751"/>
      <c r="O26" s="751"/>
      <c r="P26" s="748"/>
      <c r="Q26" s="749"/>
      <c r="R26" s="750"/>
      <c r="S26" s="738"/>
      <c r="V26" s="3"/>
    </row>
    <row r="27" spans="1:22" s="4" customFormat="1" ht="14.5" x14ac:dyDescent="0.35">
      <c r="A27" s="5"/>
      <c r="B27" s="743"/>
      <c r="C27" s="744"/>
      <c r="D27" s="744"/>
      <c r="E27" s="745"/>
      <c r="F27" s="745"/>
      <c r="G27" s="745"/>
      <c r="H27" s="745"/>
      <c r="I27" s="746"/>
      <c r="J27" s="746"/>
      <c r="K27" s="745"/>
      <c r="L27" s="743"/>
      <c r="M27" s="751"/>
      <c r="N27" s="751"/>
      <c r="O27" s="751"/>
      <c r="P27" s="748"/>
      <c r="Q27" s="749"/>
      <c r="R27" s="750"/>
      <c r="S27" s="738"/>
      <c r="V27" s="3"/>
    </row>
    <row r="28" spans="1:22" s="4" customFormat="1" ht="14.5" x14ac:dyDescent="0.35">
      <c r="A28" s="5"/>
      <c r="B28" s="739"/>
      <c r="C28" s="739"/>
      <c r="D28" s="739"/>
      <c r="E28" s="739"/>
      <c r="F28" s="739"/>
      <c r="G28" s="739"/>
      <c r="H28" s="739"/>
      <c r="I28" s="739"/>
      <c r="J28" s="739"/>
      <c r="K28" s="739"/>
      <c r="L28" s="739"/>
      <c r="M28" s="739"/>
      <c r="N28" s="739"/>
      <c r="O28" s="739"/>
      <c r="P28" s="739"/>
      <c r="Q28" s="739"/>
      <c r="R28" s="752"/>
      <c r="S28" s="738"/>
      <c r="V28" s="3"/>
    </row>
    <row r="29" spans="1:22" s="4" customFormat="1" ht="14.5" x14ac:dyDescent="0.35">
      <c r="A29" s="5"/>
      <c r="B29" s="739"/>
      <c r="C29" s="739"/>
      <c r="D29" s="739"/>
      <c r="E29" s="739"/>
      <c r="F29" s="739"/>
      <c r="G29" s="739"/>
      <c r="H29" s="739"/>
      <c r="I29" s="739"/>
      <c r="J29" s="739"/>
      <c r="K29" s="739"/>
      <c r="L29" s="739"/>
      <c r="M29" s="739"/>
      <c r="N29" s="739"/>
      <c r="O29" s="739"/>
      <c r="P29" s="739"/>
      <c r="Q29" s="739"/>
      <c r="R29" s="739"/>
      <c r="S29" s="738"/>
      <c r="V29" s="3"/>
    </row>
    <row r="30" spans="1:22" s="4" customFormat="1" ht="14.5" x14ac:dyDescent="0.35">
      <c r="A30" s="5"/>
      <c r="B30" s="740"/>
      <c r="C30" s="739"/>
      <c r="D30" s="729"/>
      <c r="E30" s="753"/>
      <c r="F30" s="754"/>
      <c r="G30" s="730"/>
      <c r="H30" s="738"/>
      <c r="I30" s="738"/>
      <c r="J30" s="755"/>
      <c r="K30" s="730"/>
      <c r="L30" s="730"/>
      <c r="M30" s="730"/>
      <c r="N30" s="730"/>
      <c r="O30" s="739"/>
      <c r="P30" s="739"/>
      <c r="Q30" s="739"/>
      <c r="R30" s="739"/>
      <c r="S30" s="738"/>
      <c r="V30" s="3"/>
    </row>
    <row r="31" spans="1:22" s="4" customFormat="1" ht="14.5" x14ac:dyDescent="0.35">
      <c r="A31" s="5"/>
      <c r="B31" s="741"/>
      <c r="C31" s="741"/>
      <c r="D31" s="756"/>
      <c r="E31" s="754"/>
      <c r="F31" s="730"/>
      <c r="G31" s="730"/>
      <c r="H31" s="730"/>
      <c r="I31" s="730"/>
      <c r="J31" s="738"/>
      <c r="K31" s="730"/>
      <c r="L31" s="738"/>
      <c r="M31" s="730"/>
      <c r="N31" s="742"/>
      <c r="O31" s="742"/>
      <c r="P31" s="742"/>
      <c r="Q31" s="741"/>
      <c r="R31" s="741"/>
      <c r="S31" s="738"/>
      <c r="V31" s="3"/>
    </row>
    <row r="32" spans="1:22" s="4" customFormat="1" ht="14.5" x14ac:dyDescent="0.35">
      <c r="A32" s="5"/>
      <c r="B32" s="743"/>
      <c r="C32" s="757"/>
      <c r="D32" s="758"/>
      <c r="E32" s="759"/>
      <c r="F32" s="760"/>
      <c r="G32" s="761"/>
      <c r="H32" s="761"/>
      <c r="I32" s="761"/>
      <c r="J32" s="761"/>
      <c r="K32" s="761"/>
      <c r="L32" s="760"/>
      <c r="M32" s="760"/>
      <c r="N32" s="762"/>
      <c r="O32" s="763"/>
      <c r="P32" s="743"/>
      <c r="Q32" s="750"/>
      <c r="R32" s="750"/>
      <c r="S32" s="738"/>
      <c r="V32" s="3"/>
    </row>
    <row r="33" spans="1:22" s="4" customFormat="1" ht="14.5" x14ac:dyDescent="0.35">
      <c r="A33" s="5"/>
      <c r="B33" s="764"/>
      <c r="C33" s="739"/>
      <c r="D33" s="739"/>
      <c r="E33" s="739"/>
      <c r="F33" s="739"/>
      <c r="G33" s="739"/>
      <c r="H33" s="739"/>
      <c r="I33" s="739"/>
      <c r="J33" s="739"/>
      <c r="K33" s="739"/>
      <c r="L33" s="739"/>
      <c r="M33" s="739"/>
      <c r="N33" s="739"/>
      <c r="O33" s="739"/>
      <c r="P33" s="739"/>
      <c r="Q33" s="739"/>
      <c r="R33" s="739"/>
      <c r="S33" s="738"/>
      <c r="V33" s="3"/>
    </row>
    <row r="34" spans="1:22" s="4" customFormat="1" ht="14.5" x14ac:dyDescent="0.35">
      <c r="A34" s="5"/>
      <c r="B34" s="743"/>
      <c r="C34" s="738"/>
      <c r="D34" s="729"/>
      <c r="E34" s="753"/>
      <c r="F34" s="754"/>
      <c r="G34" s="730"/>
      <c r="H34" s="738"/>
      <c r="I34" s="738"/>
      <c r="J34" s="755"/>
      <c r="K34" s="730"/>
      <c r="L34" s="730"/>
      <c r="M34" s="730"/>
      <c r="N34" s="730"/>
      <c r="O34" s="730"/>
      <c r="P34" s="730"/>
      <c r="Q34" s="730"/>
      <c r="R34" s="755"/>
      <c r="S34" s="738"/>
      <c r="V34" s="3"/>
    </row>
    <row r="35" spans="1:22" s="4" customFormat="1" ht="14.5" x14ac:dyDescent="0.35">
      <c r="A35" s="5"/>
      <c r="B35" s="743"/>
      <c r="C35" s="738"/>
      <c r="D35" s="729"/>
      <c r="E35" s="753"/>
      <c r="F35" s="754"/>
      <c r="G35" s="730"/>
      <c r="H35" s="738"/>
      <c r="I35" s="738"/>
      <c r="J35" s="755"/>
      <c r="K35" s="730"/>
      <c r="L35" s="730"/>
      <c r="M35" s="730"/>
      <c r="N35" s="730"/>
      <c r="O35" s="730"/>
      <c r="P35" s="730"/>
      <c r="Q35" s="730"/>
      <c r="R35" s="755"/>
      <c r="S35" s="738"/>
      <c r="V35" s="3"/>
    </row>
    <row r="36" spans="1:22" s="4" customFormat="1" ht="14.5" x14ac:dyDescent="0.3">
      <c r="A36" s="5"/>
      <c r="B36" s="765"/>
      <c r="C36" s="738"/>
      <c r="D36" s="729"/>
      <c r="E36" s="753"/>
      <c r="F36" s="754"/>
      <c r="G36" s="730"/>
      <c r="H36" s="738"/>
      <c r="I36" s="738"/>
      <c r="J36" s="755"/>
      <c r="K36" s="730"/>
      <c r="L36" s="730"/>
      <c r="M36" s="730"/>
      <c r="N36" s="730"/>
      <c r="O36" s="730"/>
      <c r="P36" s="730"/>
      <c r="Q36" s="730"/>
      <c r="R36" s="755"/>
      <c r="S36" s="738"/>
      <c r="V36" s="3"/>
    </row>
    <row r="37" spans="1:22" s="4" customFormat="1" ht="14.5" x14ac:dyDescent="0.35">
      <c r="A37" s="5"/>
      <c r="B37" s="766"/>
      <c r="C37" s="738"/>
      <c r="D37" s="729"/>
      <c r="E37" s="753"/>
      <c r="F37" s="754"/>
      <c r="G37" s="730"/>
      <c r="H37" s="738"/>
      <c r="I37" s="738"/>
      <c r="J37" s="755"/>
      <c r="K37" s="730"/>
      <c r="L37" s="730"/>
      <c r="M37" s="730"/>
      <c r="N37" s="730"/>
      <c r="O37" s="730"/>
      <c r="P37" s="730"/>
      <c r="Q37" s="730"/>
      <c r="R37" s="755"/>
      <c r="S37" s="738"/>
      <c r="V37" s="3"/>
    </row>
    <row r="38" spans="1:22" s="4" customFormat="1" ht="14.5" x14ac:dyDescent="0.3">
      <c r="A38" s="5"/>
      <c r="B38" s="767"/>
      <c r="C38" s="738"/>
      <c r="D38" s="729"/>
      <c r="E38" s="753"/>
      <c r="F38" s="754"/>
      <c r="G38" s="730"/>
      <c r="H38" s="738"/>
      <c r="I38" s="738"/>
      <c r="J38" s="755"/>
      <c r="K38" s="730"/>
      <c r="L38" s="730"/>
      <c r="M38" s="730"/>
      <c r="N38" s="730"/>
      <c r="O38" s="730"/>
      <c r="P38" s="730"/>
      <c r="Q38" s="730"/>
      <c r="R38" s="755"/>
      <c r="S38" s="738"/>
      <c r="V38" s="3"/>
    </row>
    <row r="39" spans="1:22" s="4" customFormat="1" ht="14.5" x14ac:dyDescent="0.35">
      <c r="A39" s="5"/>
      <c r="B39" s="766"/>
      <c r="C39" s="738"/>
      <c r="D39" s="729"/>
      <c r="E39" s="753"/>
      <c r="F39" s="754"/>
      <c r="G39" s="730"/>
      <c r="H39" s="738"/>
      <c r="I39" s="738"/>
      <c r="J39" s="755"/>
      <c r="K39" s="730"/>
      <c r="L39" s="730"/>
      <c r="M39" s="730"/>
      <c r="N39" s="730"/>
      <c r="O39" s="730"/>
      <c r="P39" s="730"/>
      <c r="Q39" s="730"/>
      <c r="R39" s="755"/>
      <c r="S39" s="738"/>
      <c r="V39" s="3"/>
    </row>
    <row r="40" spans="1:22" s="4" customFormat="1" ht="14.5" customHeight="1" x14ac:dyDescent="0.5">
      <c r="A40" s="5"/>
      <c r="B40" s="737"/>
      <c r="C40" s="733"/>
      <c r="D40" s="118"/>
      <c r="E40" s="118"/>
      <c r="F40" s="118"/>
      <c r="G40" s="118"/>
      <c r="H40" s="118"/>
      <c r="I40" s="118"/>
      <c r="J40" s="118"/>
      <c r="K40" s="118"/>
      <c r="L40" s="118"/>
      <c r="M40" s="118"/>
      <c r="N40" s="118"/>
      <c r="O40" s="118"/>
      <c r="P40" s="118"/>
      <c r="Q40" s="118"/>
      <c r="R40" s="118"/>
      <c r="S40" s="738"/>
      <c r="V40" s="3"/>
    </row>
    <row r="41" spans="1:22" s="4" customFormat="1" ht="14.5" customHeight="1" x14ac:dyDescent="0.5">
      <c r="A41" s="5"/>
      <c r="B41" s="737"/>
      <c r="C41" s="733"/>
      <c r="D41" s="118"/>
      <c r="E41" s="118"/>
      <c r="F41" s="118"/>
      <c r="G41" s="118"/>
      <c r="H41" s="118"/>
      <c r="I41" s="118"/>
      <c r="J41" s="118"/>
      <c r="K41" s="118"/>
      <c r="L41" s="118"/>
      <c r="M41" s="118"/>
      <c r="N41" s="118"/>
      <c r="O41" s="118"/>
      <c r="P41" s="118"/>
      <c r="Q41" s="118"/>
      <c r="R41" s="118"/>
      <c r="S41" s="738"/>
      <c r="V41" s="3"/>
    </row>
    <row r="42" spans="1:22" s="4" customFormat="1" ht="14.5" x14ac:dyDescent="0.35">
      <c r="A42" s="5"/>
      <c r="B42" s="739"/>
      <c r="C42" s="740"/>
      <c r="D42" s="739"/>
      <c r="E42" s="739"/>
      <c r="F42" s="739"/>
      <c r="G42" s="739"/>
      <c r="H42" s="740"/>
      <c r="I42" s="739"/>
      <c r="J42" s="739"/>
      <c r="K42" s="739"/>
      <c r="L42" s="739"/>
      <c r="M42" s="739"/>
      <c r="N42" s="739"/>
      <c r="O42" s="739"/>
      <c r="P42" s="739"/>
      <c r="Q42" s="739"/>
      <c r="R42" s="739"/>
      <c r="S42" s="738"/>
      <c r="V42" s="3"/>
    </row>
    <row r="43" spans="1:22" s="4" customFormat="1" ht="14.5" x14ac:dyDescent="0.35">
      <c r="A43" s="5"/>
      <c r="B43" s="741"/>
      <c r="C43" s="742"/>
      <c r="D43" s="742"/>
      <c r="E43" s="742"/>
      <c r="F43" s="742"/>
      <c r="G43" s="742"/>
      <c r="H43" s="741"/>
      <c r="I43" s="742"/>
      <c r="J43" s="742"/>
      <c r="K43" s="742"/>
      <c r="L43" s="742"/>
      <c r="M43" s="742"/>
      <c r="N43" s="742"/>
      <c r="O43" s="742"/>
      <c r="P43" s="742"/>
      <c r="Q43" s="741"/>
      <c r="R43" s="742"/>
      <c r="S43" s="738"/>
      <c r="V43" s="3"/>
    </row>
    <row r="44" spans="1:22" s="4" customFormat="1" ht="14.5" x14ac:dyDescent="0.35">
      <c r="A44" s="5"/>
      <c r="B44" s="743"/>
      <c r="C44" s="744"/>
      <c r="D44" s="744"/>
      <c r="E44" s="745"/>
      <c r="F44" s="745"/>
      <c r="G44" s="745"/>
      <c r="H44" s="745"/>
      <c r="I44" s="746"/>
      <c r="J44" s="746"/>
      <c r="K44" s="745"/>
      <c r="L44" s="743"/>
      <c r="M44" s="747"/>
      <c r="N44" s="743"/>
      <c r="O44" s="743"/>
      <c r="P44" s="748"/>
      <c r="Q44" s="749"/>
      <c r="R44" s="750"/>
      <c r="S44" s="738"/>
      <c r="V44" s="3"/>
    </row>
    <row r="45" spans="1:22" s="4" customFormat="1" ht="14.5" x14ac:dyDescent="0.35">
      <c r="A45" s="5"/>
      <c r="B45" s="743"/>
      <c r="C45" s="744"/>
      <c r="D45" s="744"/>
      <c r="E45" s="745"/>
      <c r="F45" s="745"/>
      <c r="G45" s="745"/>
      <c r="H45" s="745"/>
      <c r="I45" s="746"/>
      <c r="J45" s="746"/>
      <c r="K45" s="745"/>
      <c r="L45" s="743"/>
      <c r="M45" s="751"/>
      <c r="N45" s="751"/>
      <c r="O45" s="751"/>
      <c r="P45" s="748"/>
      <c r="Q45" s="749"/>
      <c r="R45" s="750"/>
      <c r="S45" s="738"/>
      <c r="V45" s="3"/>
    </row>
    <row r="46" spans="1:22" s="4" customFormat="1" ht="14.5" x14ac:dyDescent="0.35">
      <c r="A46" s="5"/>
      <c r="B46" s="743"/>
      <c r="C46" s="744"/>
      <c r="D46" s="744"/>
      <c r="E46" s="745"/>
      <c r="F46" s="745"/>
      <c r="G46" s="745"/>
      <c r="H46" s="745"/>
      <c r="I46" s="746"/>
      <c r="J46" s="746"/>
      <c r="K46" s="745"/>
      <c r="L46" s="743"/>
      <c r="M46" s="751"/>
      <c r="N46" s="751"/>
      <c r="O46" s="751"/>
      <c r="P46" s="748"/>
      <c r="Q46" s="749"/>
      <c r="R46" s="750"/>
      <c r="S46" s="738"/>
      <c r="V46" s="3"/>
    </row>
    <row r="47" spans="1:22" s="4" customFormat="1" ht="14.5" x14ac:dyDescent="0.35">
      <c r="A47" s="5"/>
      <c r="B47" s="739"/>
      <c r="C47" s="739"/>
      <c r="D47" s="739"/>
      <c r="E47" s="739"/>
      <c r="F47" s="739"/>
      <c r="G47" s="739"/>
      <c r="H47" s="739"/>
      <c r="I47" s="739"/>
      <c r="J47" s="739"/>
      <c r="K47" s="739"/>
      <c r="L47" s="739"/>
      <c r="M47" s="739"/>
      <c r="N47" s="739"/>
      <c r="O47" s="739"/>
      <c r="P47" s="739"/>
      <c r="Q47" s="739"/>
      <c r="R47" s="752"/>
      <c r="S47" s="738"/>
      <c r="V47" s="3"/>
    </row>
    <row r="48" spans="1:22" s="4" customFormat="1" ht="14.5" x14ac:dyDescent="0.35">
      <c r="A48" s="5"/>
      <c r="B48" s="739"/>
      <c r="C48" s="739"/>
      <c r="D48" s="739"/>
      <c r="E48" s="739"/>
      <c r="F48" s="739"/>
      <c r="G48" s="739"/>
      <c r="H48" s="739"/>
      <c r="I48" s="739"/>
      <c r="J48" s="739"/>
      <c r="K48" s="739"/>
      <c r="L48" s="739"/>
      <c r="M48" s="739"/>
      <c r="N48" s="739"/>
      <c r="O48" s="739"/>
      <c r="P48" s="739"/>
      <c r="Q48" s="739"/>
      <c r="R48" s="739"/>
      <c r="S48" s="738"/>
      <c r="V48" s="3"/>
    </row>
    <row r="49" spans="1:22" s="4" customFormat="1" ht="14.5" x14ac:dyDescent="0.35">
      <c r="A49" s="5"/>
      <c r="B49" s="740"/>
      <c r="C49" s="739"/>
      <c r="D49" s="729"/>
      <c r="E49" s="753"/>
      <c r="F49" s="754"/>
      <c r="G49" s="730"/>
      <c r="H49" s="738"/>
      <c r="I49" s="738"/>
      <c r="J49" s="755"/>
      <c r="K49" s="730"/>
      <c r="L49" s="730"/>
      <c r="M49" s="730"/>
      <c r="N49" s="730"/>
      <c r="O49" s="739"/>
      <c r="P49" s="739"/>
      <c r="Q49" s="739"/>
      <c r="R49" s="739"/>
      <c r="S49" s="738"/>
      <c r="V49" s="3"/>
    </row>
    <row r="50" spans="1:22" s="4" customFormat="1" ht="14.5" x14ac:dyDescent="0.35">
      <c r="A50" s="5"/>
      <c r="B50" s="741"/>
      <c r="C50" s="741"/>
      <c r="D50" s="756"/>
      <c r="E50" s="754"/>
      <c r="F50" s="730"/>
      <c r="G50" s="730"/>
      <c r="H50" s="730"/>
      <c r="I50" s="730"/>
      <c r="J50" s="738"/>
      <c r="K50" s="730"/>
      <c r="L50" s="738"/>
      <c r="M50" s="730"/>
      <c r="N50" s="742"/>
      <c r="O50" s="742"/>
      <c r="P50" s="742"/>
      <c r="Q50" s="741"/>
      <c r="R50" s="741"/>
      <c r="S50" s="738"/>
      <c r="V50" s="3"/>
    </row>
    <row r="51" spans="1:22" s="4" customFormat="1" ht="14.5" x14ac:dyDescent="0.35">
      <c r="A51" s="5"/>
      <c r="B51" s="743"/>
      <c r="C51" s="757"/>
      <c r="D51" s="758"/>
      <c r="E51" s="759"/>
      <c r="F51" s="760"/>
      <c r="G51" s="761"/>
      <c r="H51" s="761"/>
      <c r="I51" s="761"/>
      <c r="J51" s="761"/>
      <c r="K51" s="761"/>
      <c r="L51" s="760"/>
      <c r="M51" s="760"/>
      <c r="N51" s="762"/>
      <c r="O51" s="763"/>
      <c r="P51" s="743"/>
      <c r="Q51" s="750"/>
      <c r="R51" s="750"/>
      <c r="S51" s="738"/>
      <c r="V51" s="3"/>
    </row>
    <row r="52" spans="1:22" s="4" customFormat="1" ht="14.5" x14ac:dyDescent="0.35">
      <c r="A52" s="5"/>
      <c r="B52" s="764"/>
      <c r="C52" s="739"/>
      <c r="D52" s="739"/>
      <c r="E52" s="739"/>
      <c r="F52" s="739"/>
      <c r="G52" s="739"/>
      <c r="H52" s="739"/>
      <c r="I52" s="739"/>
      <c r="J52" s="739"/>
      <c r="K52" s="739"/>
      <c r="L52" s="739"/>
      <c r="M52" s="739"/>
      <c r="N52" s="739"/>
      <c r="O52" s="739"/>
      <c r="P52" s="739"/>
      <c r="Q52" s="739"/>
      <c r="R52" s="739"/>
      <c r="S52" s="738"/>
      <c r="V52" s="3"/>
    </row>
    <row r="53" spans="1:22" s="4" customFormat="1" ht="14.5" x14ac:dyDescent="0.35">
      <c r="A53" s="5"/>
      <c r="B53" s="743"/>
      <c r="C53" s="738"/>
      <c r="D53" s="729"/>
      <c r="E53" s="753"/>
      <c r="F53" s="754"/>
      <c r="G53" s="730"/>
      <c r="H53" s="738"/>
      <c r="I53" s="738"/>
      <c r="J53" s="755"/>
      <c r="K53" s="730"/>
      <c r="L53" s="730"/>
      <c r="M53" s="730"/>
      <c r="N53" s="730"/>
      <c r="O53" s="730"/>
      <c r="P53" s="730"/>
      <c r="Q53" s="730"/>
      <c r="R53" s="755"/>
      <c r="S53" s="738"/>
      <c r="V53" s="3"/>
    </row>
    <row r="54" spans="1:22" s="4" customFormat="1" ht="14.5" x14ac:dyDescent="0.35">
      <c r="A54" s="5"/>
      <c r="B54" s="743"/>
      <c r="C54" s="738"/>
      <c r="D54" s="729"/>
      <c r="E54" s="753"/>
      <c r="F54" s="754"/>
      <c r="G54" s="730"/>
      <c r="H54" s="738"/>
      <c r="I54" s="738"/>
      <c r="J54" s="755"/>
      <c r="K54" s="730"/>
      <c r="L54" s="730"/>
      <c r="M54" s="730"/>
      <c r="N54" s="730"/>
      <c r="O54" s="730"/>
      <c r="P54" s="730"/>
      <c r="Q54" s="730"/>
      <c r="R54" s="755"/>
      <c r="S54" s="738"/>
      <c r="V54" s="3"/>
    </row>
    <row r="55" spans="1:22" s="4" customFormat="1" ht="14.5" x14ac:dyDescent="0.3">
      <c r="A55" s="5"/>
      <c r="B55" s="765"/>
      <c r="C55" s="738"/>
      <c r="D55" s="729"/>
      <c r="E55" s="753"/>
      <c r="F55" s="754"/>
      <c r="G55" s="730"/>
      <c r="H55" s="738"/>
      <c r="I55" s="738"/>
      <c r="J55" s="755"/>
      <c r="K55" s="730"/>
      <c r="L55" s="730"/>
      <c r="M55" s="730"/>
      <c r="N55" s="730"/>
      <c r="O55" s="730"/>
      <c r="P55" s="730"/>
      <c r="Q55" s="730"/>
      <c r="R55" s="755"/>
      <c r="S55" s="738"/>
      <c r="V55" s="3"/>
    </row>
    <row r="56" spans="1:22" s="4" customFormat="1" ht="14.5" x14ac:dyDescent="0.35">
      <c r="A56" s="5"/>
      <c r="B56" s="766"/>
      <c r="C56" s="738"/>
      <c r="D56" s="729"/>
      <c r="E56" s="753"/>
      <c r="F56" s="754"/>
      <c r="G56" s="730"/>
      <c r="H56" s="738"/>
      <c r="I56" s="738"/>
      <c r="J56" s="755"/>
      <c r="K56" s="730"/>
      <c r="L56" s="730"/>
      <c r="M56" s="730"/>
      <c r="N56" s="730"/>
      <c r="O56" s="730"/>
      <c r="P56" s="730"/>
      <c r="Q56" s="730"/>
      <c r="R56" s="755"/>
      <c r="S56" s="738"/>
      <c r="V56" s="3"/>
    </row>
    <row r="57" spans="1:22" s="4" customFormat="1" ht="14.5" x14ac:dyDescent="0.3">
      <c r="A57" s="5"/>
      <c r="B57" s="767"/>
      <c r="C57" s="738"/>
      <c r="D57" s="729"/>
      <c r="E57" s="753"/>
      <c r="F57" s="754"/>
      <c r="G57" s="730"/>
      <c r="H57" s="738"/>
      <c r="I57" s="738"/>
      <c r="J57" s="755"/>
      <c r="K57" s="730"/>
      <c r="L57" s="730"/>
      <c r="M57" s="730"/>
      <c r="N57" s="730"/>
      <c r="O57" s="730"/>
      <c r="P57" s="730"/>
      <c r="Q57" s="730"/>
      <c r="R57" s="755"/>
      <c r="S57" s="738"/>
      <c r="V57" s="3"/>
    </row>
    <row r="58" spans="1:22" s="4" customFormat="1" ht="14.5" x14ac:dyDescent="0.35">
      <c r="A58" s="5"/>
      <c r="B58" s="766"/>
      <c r="C58" s="738"/>
      <c r="D58" s="729"/>
      <c r="E58" s="753"/>
      <c r="F58" s="754"/>
      <c r="G58" s="730"/>
      <c r="H58" s="738"/>
      <c r="I58" s="738"/>
      <c r="J58" s="755"/>
      <c r="K58" s="730"/>
      <c r="L58" s="730"/>
      <c r="M58" s="730"/>
      <c r="N58" s="730"/>
      <c r="O58" s="730"/>
      <c r="P58" s="730"/>
      <c r="Q58" s="730"/>
      <c r="R58" s="755"/>
      <c r="S58" s="738"/>
      <c r="V58" s="3"/>
    </row>
    <row r="59" spans="1:22" s="4" customFormat="1" ht="14.5" customHeight="1" x14ac:dyDescent="0.5">
      <c r="A59" s="5"/>
      <c r="B59" s="737"/>
      <c r="C59" s="733"/>
      <c r="D59" s="118"/>
      <c r="E59" s="118"/>
      <c r="F59" s="118"/>
      <c r="G59" s="118"/>
      <c r="H59" s="118"/>
      <c r="I59" s="118"/>
      <c r="J59" s="118"/>
      <c r="K59" s="118"/>
      <c r="L59" s="118"/>
      <c r="M59" s="118"/>
      <c r="N59" s="118"/>
      <c r="O59" s="118"/>
      <c r="P59" s="118"/>
      <c r="Q59" s="118"/>
      <c r="R59" s="118"/>
      <c r="S59" s="738"/>
      <c r="V59" s="3"/>
    </row>
    <row r="60" spans="1:22" s="4" customFormat="1" ht="14.5" customHeight="1" x14ac:dyDescent="0.5">
      <c r="A60" s="5"/>
      <c r="B60" s="737"/>
      <c r="C60" s="733"/>
      <c r="D60" s="118"/>
      <c r="E60" s="118"/>
      <c r="F60" s="118"/>
      <c r="G60" s="118"/>
      <c r="H60" s="118"/>
      <c r="I60" s="118"/>
      <c r="J60" s="118"/>
      <c r="K60" s="118"/>
      <c r="L60" s="118"/>
      <c r="M60" s="118"/>
      <c r="N60" s="118"/>
      <c r="O60" s="118"/>
      <c r="P60" s="118"/>
      <c r="Q60" s="118"/>
      <c r="R60" s="118"/>
      <c r="S60" s="738"/>
      <c r="V60" s="3"/>
    </row>
    <row r="61" spans="1:22" s="4" customFormat="1" ht="14.5" x14ac:dyDescent="0.35">
      <c r="A61" s="5"/>
      <c r="B61" s="739"/>
      <c r="C61" s="740"/>
      <c r="D61" s="739"/>
      <c r="E61" s="739"/>
      <c r="F61" s="739"/>
      <c r="G61" s="739"/>
      <c r="H61" s="740"/>
      <c r="I61" s="739"/>
      <c r="J61" s="739"/>
      <c r="K61" s="739"/>
      <c r="L61" s="739"/>
      <c r="M61" s="739"/>
      <c r="N61" s="739"/>
      <c r="O61" s="739"/>
      <c r="P61" s="739"/>
      <c r="Q61" s="739"/>
      <c r="R61" s="739"/>
      <c r="S61" s="738"/>
      <c r="V61" s="3"/>
    </row>
    <row r="62" spans="1:22" s="4" customFormat="1" ht="14.5" x14ac:dyDescent="0.35">
      <c r="A62" s="5"/>
      <c r="B62" s="741"/>
      <c r="C62" s="742"/>
      <c r="D62" s="742"/>
      <c r="E62" s="742"/>
      <c r="F62" s="742"/>
      <c r="G62" s="742"/>
      <c r="H62" s="741"/>
      <c r="I62" s="742"/>
      <c r="J62" s="742"/>
      <c r="K62" s="742"/>
      <c r="L62" s="742"/>
      <c r="M62" s="742"/>
      <c r="N62" s="742"/>
      <c r="O62" s="742"/>
      <c r="P62" s="742"/>
      <c r="Q62" s="741"/>
      <c r="R62" s="742"/>
      <c r="S62" s="738"/>
      <c r="V62" s="3"/>
    </row>
    <row r="63" spans="1:22" s="4" customFormat="1" ht="14.5" x14ac:dyDescent="0.35">
      <c r="A63" s="5"/>
      <c r="B63" s="743"/>
      <c r="C63" s="744"/>
      <c r="D63" s="744"/>
      <c r="E63" s="745"/>
      <c r="F63" s="745"/>
      <c r="G63" s="745"/>
      <c r="H63" s="745"/>
      <c r="I63" s="746"/>
      <c r="J63" s="746"/>
      <c r="K63" s="745"/>
      <c r="L63" s="743"/>
      <c r="M63" s="747"/>
      <c r="N63" s="743"/>
      <c r="O63" s="743"/>
      <c r="P63" s="748"/>
      <c r="Q63" s="749"/>
      <c r="R63" s="750"/>
      <c r="S63" s="738"/>
      <c r="V63" s="3"/>
    </row>
    <row r="64" spans="1:22" s="4" customFormat="1" ht="14.5" x14ac:dyDescent="0.35">
      <c r="A64" s="5"/>
      <c r="B64" s="743"/>
      <c r="C64" s="744"/>
      <c r="D64" s="744"/>
      <c r="E64" s="745"/>
      <c r="F64" s="745"/>
      <c r="G64" s="745"/>
      <c r="H64" s="745"/>
      <c r="I64" s="746"/>
      <c r="J64" s="746"/>
      <c r="K64" s="745"/>
      <c r="L64" s="743"/>
      <c r="M64" s="751"/>
      <c r="N64" s="751"/>
      <c r="O64" s="751"/>
      <c r="P64" s="748"/>
      <c r="Q64" s="749"/>
      <c r="R64" s="750"/>
      <c r="S64" s="738"/>
      <c r="V64" s="3"/>
    </row>
    <row r="65" spans="1:22" s="4" customFormat="1" ht="14.5" x14ac:dyDescent="0.35">
      <c r="A65" s="5"/>
      <c r="B65" s="743"/>
      <c r="C65" s="744"/>
      <c r="D65" s="744"/>
      <c r="E65" s="745"/>
      <c r="F65" s="745"/>
      <c r="G65" s="745"/>
      <c r="H65" s="745"/>
      <c r="I65" s="746"/>
      <c r="J65" s="746"/>
      <c r="K65" s="745"/>
      <c r="L65" s="743"/>
      <c r="M65" s="751"/>
      <c r="N65" s="751"/>
      <c r="O65" s="751"/>
      <c r="P65" s="748"/>
      <c r="Q65" s="749"/>
      <c r="R65" s="750"/>
      <c r="S65" s="738"/>
      <c r="V65" s="3"/>
    </row>
    <row r="66" spans="1:22" s="4" customFormat="1" ht="14.5" x14ac:dyDescent="0.35">
      <c r="A66" s="5"/>
      <c r="B66" s="739"/>
      <c r="C66" s="739"/>
      <c r="D66" s="739"/>
      <c r="E66" s="739"/>
      <c r="F66" s="739"/>
      <c r="G66" s="739"/>
      <c r="H66" s="739"/>
      <c r="I66" s="739"/>
      <c r="J66" s="739"/>
      <c r="K66" s="739"/>
      <c r="L66" s="739"/>
      <c r="M66" s="739"/>
      <c r="N66" s="739"/>
      <c r="O66" s="739"/>
      <c r="P66" s="739"/>
      <c r="Q66" s="739"/>
      <c r="R66" s="752"/>
      <c r="S66" s="738"/>
      <c r="V66" s="3"/>
    </row>
    <row r="67" spans="1:22" s="4" customFormat="1" ht="14.5" x14ac:dyDescent="0.35">
      <c r="A67" s="5"/>
      <c r="B67" s="739"/>
      <c r="C67" s="739"/>
      <c r="D67" s="739"/>
      <c r="E67" s="739"/>
      <c r="F67" s="739"/>
      <c r="G67" s="739"/>
      <c r="H67" s="739"/>
      <c r="I67" s="739"/>
      <c r="J67" s="739"/>
      <c r="K67" s="739"/>
      <c r="L67" s="739"/>
      <c r="M67" s="739"/>
      <c r="N67" s="739"/>
      <c r="O67" s="739"/>
      <c r="P67" s="739"/>
      <c r="Q67" s="739"/>
      <c r="R67" s="739"/>
      <c r="S67" s="738"/>
      <c r="V67" s="3"/>
    </row>
    <row r="68" spans="1:22" s="4" customFormat="1" ht="14.5" x14ac:dyDescent="0.35">
      <c r="A68" s="5"/>
      <c r="B68" s="740"/>
      <c r="C68" s="739"/>
      <c r="D68" s="729"/>
      <c r="E68" s="753"/>
      <c r="F68" s="754"/>
      <c r="G68" s="730"/>
      <c r="H68" s="738"/>
      <c r="I68" s="738"/>
      <c r="J68" s="755"/>
      <c r="K68" s="730"/>
      <c r="L68" s="730"/>
      <c r="M68" s="730"/>
      <c r="N68" s="730"/>
      <c r="O68" s="739"/>
      <c r="P68" s="739"/>
      <c r="Q68" s="739"/>
      <c r="R68" s="739"/>
      <c r="S68" s="738"/>
      <c r="V68" s="3"/>
    </row>
    <row r="69" spans="1:22" s="4" customFormat="1" ht="14.5" x14ac:dyDescent="0.35">
      <c r="A69" s="5"/>
      <c r="B69" s="741"/>
      <c r="C69" s="741"/>
      <c r="D69" s="756"/>
      <c r="E69" s="754"/>
      <c r="F69" s="730"/>
      <c r="G69" s="730"/>
      <c r="H69" s="730"/>
      <c r="I69" s="730"/>
      <c r="J69" s="738"/>
      <c r="K69" s="730"/>
      <c r="L69" s="738"/>
      <c r="M69" s="730"/>
      <c r="N69" s="742"/>
      <c r="O69" s="742"/>
      <c r="P69" s="742"/>
      <c r="Q69" s="741"/>
      <c r="R69" s="741"/>
      <c r="S69" s="738"/>
      <c r="V69" s="3"/>
    </row>
    <row r="70" spans="1:22" s="4" customFormat="1" ht="14.5" x14ac:dyDescent="0.35">
      <c r="A70" s="5"/>
      <c r="B70" s="743"/>
      <c r="C70" s="757"/>
      <c r="D70" s="758"/>
      <c r="E70" s="759"/>
      <c r="F70" s="760"/>
      <c r="G70" s="761"/>
      <c r="H70" s="761"/>
      <c r="I70" s="761"/>
      <c r="J70" s="761"/>
      <c r="K70" s="761"/>
      <c r="L70" s="760"/>
      <c r="M70" s="760"/>
      <c r="N70" s="762"/>
      <c r="O70" s="763"/>
      <c r="P70" s="743"/>
      <c r="Q70" s="750"/>
      <c r="R70" s="750"/>
      <c r="S70" s="738"/>
      <c r="V70" s="3"/>
    </row>
    <row r="71" spans="1:22" s="4" customFormat="1" ht="14.5" x14ac:dyDescent="0.35">
      <c r="A71" s="5"/>
      <c r="B71" s="764"/>
      <c r="C71" s="739"/>
      <c r="D71" s="739"/>
      <c r="E71" s="739"/>
      <c r="F71" s="739"/>
      <c r="G71" s="739"/>
      <c r="H71" s="739"/>
      <c r="I71" s="739"/>
      <c r="J71" s="739"/>
      <c r="K71" s="739"/>
      <c r="L71" s="739"/>
      <c r="M71" s="739"/>
      <c r="N71" s="739"/>
      <c r="O71" s="739"/>
      <c r="P71" s="739"/>
      <c r="Q71" s="739"/>
      <c r="R71" s="739"/>
      <c r="S71" s="738"/>
      <c r="V71" s="3"/>
    </row>
    <row r="72" spans="1:22" s="4" customFormat="1" ht="14.5" x14ac:dyDescent="0.35">
      <c r="A72" s="5"/>
      <c r="B72" s="743"/>
      <c r="C72" s="738"/>
      <c r="D72" s="729"/>
      <c r="E72" s="753"/>
      <c r="F72" s="754"/>
      <c r="G72" s="730"/>
      <c r="H72" s="738"/>
      <c r="I72" s="738"/>
      <c r="J72" s="755"/>
      <c r="K72" s="730"/>
      <c r="L72" s="730"/>
      <c r="M72" s="730"/>
      <c r="N72" s="730"/>
      <c r="O72" s="730"/>
      <c r="P72" s="730"/>
      <c r="Q72" s="730"/>
      <c r="R72" s="755"/>
      <c r="S72" s="738"/>
      <c r="V72" s="3"/>
    </row>
    <row r="73" spans="1:22" s="4" customFormat="1" ht="14.5" x14ac:dyDescent="0.35">
      <c r="A73" s="5"/>
      <c r="B73" s="743"/>
      <c r="C73" s="738"/>
      <c r="D73" s="729"/>
      <c r="E73" s="753"/>
      <c r="F73" s="754"/>
      <c r="G73" s="730"/>
      <c r="H73" s="738"/>
      <c r="I73" s="738"/>
      <c r="J73" s="755"/>
      <c r="K73" s="730"/>
      <c r="L73" s="730"/>
      <c r="M73" s="730"/>
      <c r="N73" s="730"/>
      <c r="O73" s="730"/>
      <c r="P73" s="730"/>
      <c r="Q73" s="730"/>
      <c r="R73" s="755"/>
      <c r="S73" s="738"/>
      <c r="V73" s="3"/>
    </row>
    <row r="74" spans="1:22" s="4" customFormat="1" ht="14.5" x14ac:dyDescent="0.3">
      <c r="A74" s="5"/>
      <c r="B74" s="765"/>
      <c r="C74" s="738"/>
      <c r="D74" s="729"/>
      <c r="E74" s="753"/>
      <c r="F74" s="754"/>
      <c r="G74" s="730"/>
      <c r="H74" s="738"/>
      <c r="I74" s="738"/>
      <c r="J74" s="755"/>
      <c r="K74" s="730"/>
      <c r="L74" s="730"/>
      <c r="M74" s="730"/>
      <c r="N74" s="730"/>
      <c r="O74" s="730"/>
      <c r="P74" s="730"/>
      <c r="Q74" s="730"/>
      <c r="R74" s="755"/>
      <c r="S74" s="738"/>
      <c r="V74" s="3"/>
    </row>
    <row r="75" spans="1:22" s="4" customFormat="1" ht="14.5" x14ac:dyDescent="0.35">
      <c r="A75" s="5"/>
      <c r="B75" s="766"/>
      <c r="C75" s="738"/>
      <c r="D75" s="729"/>
      <c r="E75" s="753"/>
      <c r="F75" s="754"/>
      <c r="G75" s="730"/>
      <c r="H75" s="738"/>
      <c r="I75" s="738"/>
      <c r="J75" s="755"/>
      <c r="K75" s="730"/>
      <c r="L75" s="730"/>
      <c r="M75" s="730"/>
      <c r="N75" s="730"/>
      <c r="O75" s="730"/>
      <c r="P75" s="730"/>
      <c r="Q75" s="730"/>
      <c r="R75" s="755"/>
      <c r="S75" s="738"/>
      <c r="V75" s="3"/>
    </row>
    <row r="76" spans="1:22" s="4" customFormat="1" ht="14.5" x14ac:dyDescent="0.3">
      <c r="A76" s="5"/>
      <c r="B76" s="767"/>
      <c r="C76" s="738"/>
      <c r="D76" s="729"/>
      <c r="E76" s="753"/>
      <c r="F76" s="754"/>
      <c r="G76" s="730"/>
      <c r="H76" s="738"/>
      <c r="I76" s="738"/>
      <c r="J76" s="755"/>
      <c r="K76" s="730"/>
      <c r="L76" s="730"/>
      <c r="M76" s="730"/>
      <c r="N76" s="730"/>
      <c r="O76" s="730"/>
      <c r="P76" s="730"/>
      <c r="Q76" s="730"/>
      <c r="R76" s="755"/>
      <c r="S76" s="738"/>
      <c r="V76" s="3"/>
    </row>
    <row r="77" spans="1:22" s="4" customFormat="1" ht="14.5" x14ac:dyDescent="0.35">
      <c r="A77" s="5"/>
      <c r="B77" s="173"/>
      <c r="C77" s="5"/>
      <c r="D77" s="158"/>
      <c r="E77" s="101"/>
      <c r="F77" s="159"/>
      <c r="G77" s="160"/>
      <c r="H77" s="5"/>
      <c r="I77" s="5"/>
      <c r="J77" s="161"/>
      <c r="K77" s="160"/>
      <c r="L77" s="160"/>
      <c r="M77" s="160"/>
      <c r="N77" s="160"/>
      <c r="O77" s="160"/>
      <c r="P77" s="160"/>
      <c r="Q77" s="160"/>
      <c r="R77" s="161"/>
      <c r="S77" s="5"/>
      <c r="V77" s="3"/>
    </row>
    <row r="78" spans="1:22" s="4" customFormat="1" ht="14.5" x14ac:dyDescent="0.35">
      <c r="A78" s="5"/>
      <c r="B78" s="390" t="s">
        <v>654</v>
      </c>
      <c r="C78" s="158"/>
      <c r="D78" s="158"/>
      <c r="E78" s="101"/>
      <c r="F78" s="159"/>
      <c r="G78" s="160"/>
      <c r="H78" s="5"/>
      <c r="I78" s="5"/>
      <c r="J78" s="161"/>
      <c r="K78" s="160"/>
      <c r="L78" s="160"/>
      <c r="M78" s="160"/>
      <c r="N78" s="160"/>
      <c r="O78" s="160"/>
      <c r="P78" s="160"/>
      <c r="Q78" s="160"/>
      <c r="R78" s="161"/>
      <c r="S78" s="5"/>
      <c r="V78" s="3"/>
    </row>
    <row r="79" spans="1:22" s="4" customFormat="1" ht="14.5" x14ac:dyDescent="0.35">
      <c r="A79" s="5"/>
      <c r="B79" s="213" t="s">
        <v>649</v>
      </c>
      <c r="C79" s="215" t="s">
        <v>650</v>
      </c>
      <c r="D79" s="217" t="s">
        <v>651</v>
      </c>
      <c r="E79" s="386"/>
      <c r="F79" s="387"/>
      <c r="G79" s="388"/>
      <c r="H79" s="389"/>
      <c r="I79" s="388"/>
      <c r="J79" s="389"/>
      <c r="K79" s="388"/>
      <c r="L79" s="389"/>
      <c r="M79" s="388"/>
      <c r="N79" s="391" t="s">
        <v>653</v>
      </c>
      <c r="O79" s="160"/>
      <c r="P79" s="578" t="s">
        <v>655</v>
      </c>
      <c r="Q79" s="578" t="s">
        <v>664</v>
      </c>
      <c r="R79" s="161"/>
      <c r="S79" s="5"/>
      <c r="V79" s="3"/>
    </row>
    <row r="80" spans="1:22" s="4" customFormat="1" ht="14.5" x14ac:dyDescent="0.35">
      <c r="A80" s="5"/>
      <c r="B80" s="504" t="s">
        <v>656</v>
      </c>
      <c r="C80" s="511"/>
      <c r="D80" s="505"/>
      <c r="E80" s="512"/>
      <c r="F80" s="506"/>
      <c r="G80" s="507"/>
      <c r="H80" s="508"/>
      <c r="I80" s="508"/>
      <c r="J80" s="508"/>
      <c r="K80" s="508"/>
      <c r="L80" s="507"/>
      <c r="M80" s="509"/>
      <c r="N80" s="510"/>
      <c r="O80" s="160"/>
      <c r="P80" s="407" t="s">
        <v>657</v>
      </c>
      <c r="Q80" s="407" t="s">
        <v>665</v>
      </c>
      <c r="R80" s="161"/>
      <c r="S80" s="5"/>
      <c r="V80" s="3"/>
    </row>
    <row r="81" spans="1:22" s="4" customFormat="1" ht="14.5" x14ac:dyDescent="0.35">
      <c r="A81" s="5"/>
      <c r="B81" s="504" t="s">
        <v>658</v>
      </c>
      <c r="C81" s="511"/>
      <c r="D81" s="505"/>
      <c r="E81" s="512"/>
      <c r="F81" s="506"/>
      <c r="G81" s="507"/>
      <c r="H81" s="508"/>
      <c r="I81" s="508"/>
      <c r="J81" s="508"/>
      <c r="K81" s="508"/>
      <c r="L81" s="507"/>
      <c r="M81" s="509"/>
      <c r="N81" s="510"/>
      <c r="O81" s="160"/>
      <c r="P81" s="407" t="s">
        <v>659</v>
      </c>
      <c r="Q81" s="407" t="s">
        <v>667</v>
      </c>
      <c r="R81" s="161"/>
      <c r="S81" s="5"/>
      <c r="V81" s="3"/>
    </row>
    <row r="82" spans="1:22" s="4" customFormat="1" ht="14.5" x14ac:dyDescent="0.35">
      <c r="A82" s="5"/>
      <c r="B82" s="518" t="s">
        <v>2136</v>
      </c>
      <c r="C82" s="5"/>
      <c r="D82" s="158"/>
      <c r="E82" s="101"/>
      <c r="F82" s="159"/>
      <c r="G82" s="160"/>
      <c r="H82" s="5"/>
      <c r="I82" s="5"/>
      <c r="J82" s="161"/>
      <c r="K82" s="160"/>
      <c r="L82" s="160"/>
      <c r="M82" s="160"/>
      <c r="N82" s="160"/>
      <c r="O82" s="160"/>
      <c r="P82" s="407" t="s">
        <v>660</v>
      </c>
      <c r="Q82" s="407" t="s">
        <v>668</v>
      </c>
      <c r="R82" s="161"/>
      <c r="S82" s="5"/>
      <c r="V82" s="3"/>
    </row>
    <row r="83" spans="1:22" s="4" customFormat="1" ht="14.5" x14ac:dyDescent="0.35">
      <c r="A83" s="5"/>
      <c r="B83" s="173"/>
      <c r="C83" s="5"/>
      <c r="D83" s="158"/>
      <c r="E83" s="101"/>
      <c r="F83" s="159"/>
      <c r="G83" s="160"/>
      <c r="H83" s="5"/>
      <c r="I83" s="5"/>
      <c r="J83" s="161"/>
      <c r="K83" s="160"/>
      <c r="L83" s="160"/>
      <c r="M83" s="160"/>
      <c r="N83" s="160"/>
      <c r="O83" s="160"/>
      <c r="P83" s="407" t="s">
        <v>661</v>
      </c>
      <c r="Q83" s="407" t="s">
        <v>669</v>
      </c>
      <c r="R83" s="161"/>
      <c r="S83" s="5"/>
      <c r="V83" s="3"/>
    </row>
    <row r="84" spans="1:22" s="4" customFormat="1" ht="14.5" x14ac:dyDescent="0.35">
      <c r="A84" s="5"/>
      <c r="B84" s="173"/>
      <c r="C84" s="5"/>
      <c r="D84" s="158"/>
      <c r="E84" s="101"/>
      <c r="F84" s="159"/>
      <c r="G84" s="160"/>
      <c r="H84" s="5"/>
      <c r="I84" s="5"/>
      <c r="J84" s="161"/>
      <c r="K84" s="160"/>
      <c r="L84" s="160"/>
      <c r="M84" s="160"/>
      <c r="N84" s="160"/>
      <c r="O84" s="160"/>
      <c r="P84" s="554" t="s">
        <v>662</v>
      </c>
      <c r="Q84" s="554" t="s">
        <v>670</v>
      </c>
      <c r="R84" s="161"/>
      <c r="S84" s="5"/>
      <c r="V84" s="3"/>
    </row>
    <row r="85" spans="1:22" s="4" customFormat="1" ht="14.5" x14ac:dyDescent="0.35">
      <c r="A85" s="5"/>
      <c r="B85" s="390" t="s">
        <v>663</v>
      </c>
      <c r="C85" s="158"/>
      <c r="D85" s="158"/>
      <c r="E85" s="101"/>
      <c r="F85" s="159"/>
      <c r="G85" s="160"/>
      <c r="H85" s="5"/>
      <c r="I85" s="5"/>
      <c r="J85" s="161"/>
      <c r="K85" s="160"/>
      <c r="L85" s="160"/>
      <c r="M85" s="160"/>
      <c r="N85" s="160"/>
      <c r="O85" s="160"/>
      <c r="P85" s="160"/>
      <c r="Q85" s="160"/>
      <c r="R85" s="161"/>
      <c r="S85" s="5"/>
      <c r="V85" s="3"/>
    </row>
    <row r="86" spans="1:22" s="4" customFormat="1" ht="14.5" x14ac:dyDescent="0.35">
      <c r="A86" s="5"/>
      <c r="B86" s="213" t="s">
        <v>649</v>
      </c>
      <c r="C86" s="215" t="s">
        <v>650</v>
      </c>
      <c r="D86" s="217" t="s">
        <v>651</v>
      </c>
      <c r="E86" s="386"/>
      <c r="F86" s="387"/>
      <c r="G86" s="388"/>
      <c r="H86" s="389"/>
      <c r="I86" s="388"/>
      <c r="J86" s="389"/>
      <c r="K86" s="388"/>
      <c r="L86" s="389"/>
      <c r="M86" s="388"/>
      <c r="N86" s="391" t="s">
        <v>653</v>
      </c>
      <c r="O86" s="160"/>
      <c r="P86" s="160"/>
      <c r="Q86" s="160"/>
      <c r="R86" s="161"/>
      <c r="S86" s="5"/>
      <c r="V86" s="3"/>
    </row>
    <row r="87" spans="1:22" s="4" customFormat="1" ht="14.5" x14ac:dyDescent="0.35">
      <c r="A87" s="5"/>
      <c r="B87" s="504" t="s">
        <v>666</v>
      </c>
      <c r="C87" s="511"/>
      <c r="D87" s="505"/>
      <c r="E87" s="512"/>
      <c r="F87" s="506"/>
      <c r="G87" s="507"/>
      <c r="H87" s="508"/>
      <c r="I87" s="508"/>
      <c r="J87" s="508"/>
      <c r="K87" s="508"/>
      <c r="L87" s="507"/>
      <c r="M87" s="509"/>
      <c r="N87" s="510"/>
      <c r="O87" s="160"/>
      <c r="P87" s="160"/>
      <c r="Q87" s="160"/>
      <c r="R87" s="161"/>
      <c r="S87" s="5"/>
      <c r="V87" s="3"/>
    </row>
    <row r="88" spans="1:22" s="4" customFormat="1" ht="14.5" x14ac:dyDescent="0.3">
      <c r="A88" s="5"/>
      <c r="B88" s="518" t="s">
        <v>2136</v>
      </c>
      <c r="C88" s="5"/>
      <c r="D88" s="158"/>
      <c r="E88" s="101"/>
      <c r="F88" s="159"/>
      <c r="G88" s="160"/>
      <c r="H88" s="5"/>
      <c r="I88" s="5"/>
      <c r="J88" s="161"/>
      <c r="K88" s="160"/>
      <c r="L88" s="160"/>
      <c r="M88" s="160"/>
      <c r="N88" s="160"/>
      <c r="O88" s="160"/>
      <c r="P88" s="160"/>
      <c r="Q88" s="160"/>
      <c r="R88" s="161"/>
      <c r="S88" s="5"/>
      <c r="V88" s="3"/>
    </row>
    <row r="89" spans="1:22" s="4" customFormat="1" ht="14.5" x14ac:dyDescent="0.35">
      <c r="A89" s="5"/>
      <c r="B89" s="173"/>
      <c r="C89" s="5"/>
      <c r="D89" s="158"/>
      <c r="E89" s="101"/>
      <c r="F89" s="159"/>
      <c r="G89" s="160"/>
      <c r="H89" s="5"/>
      <c r="I89" s="5"/>
      <c r="J89" s="161"/>
      <c r="K89" s="160"/>
      <c r="L89" s="160"/>
      <c r="M89" s="160"/>
      <c r="N89" s="160"/>
      <c r="O89" s="160"/>
      <c r="P89" s="160"/>
      <c r="Q89" s="160"/>
      <c r="R89" s="161"/>
      <c r="S89" s="5"/>
      <c r="V89" s="3"/>
    </row>
    <row r="90" spans="1:22" s="4" customFormat="1" ht="14.5" x14ac:dyDescent="0.35">
      <c r="A90" s="5"/>
      <c r="B90" s="173"/>
      <c r="C90" s="5"/>
      <c r="D90" s="158"/>
      <c r="E90" s="101"/>
      <c r="F90" s="159"/>
      <c r="G90" s="160"/>
      <c r="H90" s="5"/>
      <c r="I90" s="5"/>
      <c r="J90" s="161"/>
      <c r="K90" s="160"/>
      <c r="L90" s="160"/>
      <c r="M90" s="160"/>
      <c r="N90" s="160"/>
      <c r="O90" s="160"/>
      <c r="P90" s="160"/>
      <c r="Q90" s="160"/>
      <c r="R90" s="161"/>
      <c r="S90" s="5"/>
      <c r="V90" s="3"/>
    </row>
    <row r="91" spans="1:22" s="4" customFormat="1" ht="14.5" x14ac:dyDescent="0.35">
      <c r="A91" s="5"/>
      <c r="B91" s="390" t="s">
        <v>671</v>
      </c>
      <c r="C91" s="158"/>
      <c r="D91" s="158"/>
      <c r="E91" s="101"/>
      <c r="F91" s="159"/>
      <c r="G91" s="160"/>
      <c r="H91" s="5"/>
      <c r="I91" s="5"/>
      <c r="J91" s="161"/>
      <c r="K91" s="160"/>
      <c r="L91" s="160"/>
      <c r="M91" s="160"/>
      <c r="N91" s="160"/>
      <c r="O91" s="160"/>
      <c r="P91" s="160"/>
      <c r="Q91" s="160"/>
      <c r="R91" s="161"/>
      <c r="S91" s="5"/>
      <c r="V91" s="3"/>
    </row>
    <row r="92" spans="1:22" s="4" customFormat="1" ht="14.5" x14ac:dyDescent="0.35">
      <c r="A92" s="5"/>
      <c r="B92" s="213" t="s">
        <v>649</v>
      </c>
      <c r="C92" s="215" t="s">
        <v>650</v>
      </c>
      <c r="D92" s="217" t="s">
        <v>651</v>
      </c>
      <c r="E92" s="386"/>
      <c r="F92" s="387"/>
      <c r="G92" s="388"/>
      <c r="H92" s="389"/>
      <c r="I92" s="388"/>
      <c r="J92" s="389"/>
      <c r="K92" s="388"/>
      <c r="L92" s="389"/>
      <c r="M92" s="388"/>
      <c r="N92" s="391" t="s">
        <v>653</v>
      </c>
      <c r="O92" s="160"/>
      <c r="P92" s="160"/>
      <c r="Q92" s="160"/>
      <c r="R92" s="161"/>
      <c r="S92" s="5"/>
      <c r="V92" s="3"/>
    </row>
    <row r="93" spans="1:22" s="4" customFormat="1" ht="14.5" x14ac:dyDescent="0.35">
      <c r="A93" s="5"/>
      <c r="B93" s="504" t="s">
        <v>666</v>
      </c>
      <c r="C93" s="511"/>
      <c r="D93" s="505"/>
      <c r="E93" s="512"/>
      <c r="F93" s="506"/>
      <c r="G93" s="507"/>
      <c r="H93" s="508"/>
      <c r="I93" s="508"/>
      <c r="J93" s="508"/>
      <c r="K93" s="508"/>
      <c r="L93" s="507"/>
      <c r="M93" s="509"/>
      <c r="N93" s="510"/>
      <c r="O93" s="160"/>
      <c r="P93" s="160"/>
      <c r="Q93" s="160"/>
      <c r="R93" s="161"/>
      <c r="S93" s="5"/>
      <c r="V93" s="3"/>
    </row>
    <row r="94" spans="1:22" s="4" customFormat="1" ht="14.5" x14ac:dyDescent="0.3">
      <c r="A94" s="5"/>
      <c r="B94" s="518" t="s">
        <v>2136</v>
      </c>
      <c r="C94" s="5"/>
      <c r="D94" s="158"/>
      <c r="E94" s="101"/>
      <c r="F94" s="159"/>
      <c r="G94" s="160"/>
      <c r="H94" s="5"/>
      <c r="I94" s="5"/>
      <c r="J94" s="161"/>
      <c r="K94" s="160"/>
      <c r="L94" s="160"/>
      <c r="M94" s="160"/>
      <c r="N94" s="160"/>
      <c r="O94" s="160"/>
      <c r="P94" s="160"/>
      <c r="Q94" s="160"/>
      <c r="R94" s="161"/>
      <c r="S94" s="5"/>
      <c r="V94" s="3"/>
    </row>
    <row r="95" spans="1:22" s="4" customFormat="1" ht="14.5" x14ac:dyDescent="0.35">
      <c r="A95" s="5"/>
      <c r="B95" s="173"/>
      <c r="C95" s="5"/>
      <c r="D95" s="158"/>
      <c r="E95" s="101"/>
      <c r="F95" s="159"/>
      <c r="G95" s="160"/>
      <c r="H95" s="5"/>
      <c r="I95" s="5"/>
      <c r="J95" s="161"/>
      <c r="K95" s="160"/>
      <c r="L95" s="160"/>
      <c r="M95" s="160"/>
      <c r="N95" s="160"/>
      <c r="O95" s="160"/>
      <c r="P95" s="160"/>
      <c r="Q95" s="160"/>
      <c r="R95" s="161"/>
      <c r="S95" s="5"/>
      <c r="V95" s="3"/>
    </row>
  </sheetData>
  <mergeCells count="1">
    <mergeCell ref="B18:E18"/>
  </mergeCells>
  <hyperlinks>
    <hyperlink ref="B82" r:id="rId1" xr:uid="{463FD3C7-48FA-4D08-9E9E-684E4700E853}"/>
    <hyperlink ref="B88" r:id="rId2" xr:uid="{7DE2E400-FB0C-4B75-9745-1FF3D9D0A940}"/>
    <hyperlink ref="B94" r:id="rId3" xr:uid="{0D958A1B-077F-49BF-8131-3F6DCED0DA45}"/>
  </hyperlinks>
  <pageMargins left="0.70866141732283472" right="0.70866141732283472" top="0.74803149606299213" bottom="0.74803149606299213" header="0.31496062992125984" footer="0.31496062992125984"/>
  <pageSetup paperSize="9" scale="35"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2"/>
  <sheetViews>
    <sheetView showGridLines="0" zoomScale="80" zoomScaleNormal="80" zoomScaleSheetLayoutView="80" workbookViewId="0"/>
  </sheetViews>
  <sheetFormatPr defaultColWidth="8.81640625" defaultRowHeight="14.5" x14ac:dyDescent="0.35"/>
  <cols>
    <col min="1" max="1" width="3.54296875" customWidth="1"/>
    <col min="2" max="2" width="62.453125" style="1" customWidth="1"/>
    <col min="3" max="3" width="11.54296875" style="1" customWidth="1"/>
    <col min="4" max="8" width="11.54296875" customWidth="1"/>
    <col min="9" max="9" width="44.453125" customWidth="1"/>
    <col min="10" max="10" width="11.54296875" customWidth="1"/>
    <col min="11" max="11" width="1.453125" customWidth="1"/>
  </cols>
  <sheetData>
    <row r="1" spans="2:10" ht="30" customHeight="1" x14ac:dyDescent="0.35">
      <c r="B1" s="440" t="str">
        <f>'Resource impact'!B1</f>
        <v>Digital platforms to support cardiac rehabilitation: early value assessment</v>
      </c>
      <c r="C1" s="131"/>
      <c r="D1" s="128"/>
      <c r="E1" s="128"/>
      <c r="F1" s="128"/>
      <c r="G1" s="128"/>
      <c r="H1" s="128"/>
      <c r="I1" s="128"/>
      <c r="J1" s="128"/>
    </row>
    <row r="2" spans="2:10" ht="30" customHeight="1" x14ac:dyDescent="0.35">
      <c r="B2" s="327" t="s">
        <v>520</v>
      </c>
      <c r="C2" s="128"/>
      <c r="E2" s="114" t="s">
        <v>556</v>
      </c>
      <c r="F2" s="114" t="s">
        <v>556</v>
      </c>
      <c r="G2" s="114" t="s">
        <v>556</v>
      </c>
      <c r="H2" s="114" t="s">
        <v>556</v>
      </c>
      <c r="I2" s="114" t="s">
        <v>556</v>
      </c>
      <c r="J2" s="128"/>
    </row>
    <row r="3" spans="2:10" x14ac:dyDescent="0.35">
      <c r="B3" s="117" t="s">
        <v>556</v>
      </c>
      <c r="C3" s="117"/>
      <c r="D3" s="120" t="s">
        <v>556</v>
      </c>
      <c r="E3" s="120" t="s">
        <v>556</v>
      </c>
      <c r="F3" s="120" t="s">
        <v>556</v>
      </c>
      <c r="G3" s="120" t="s">
        <v>556</v>
      </c>
      <c r="H3" s="120" t="s">
        <v>556</v>
      </c>
      <c r="I3" s="120" t="s">
        <v>556</v>
      </c>
      <c r="J3" s="128"/>
    </row>
    <row r="4" spans="2:10" ht="43.5" x14ac:dyDescent="0.35">
      <c r="B4" s="224" t="s">
        <v>672</v>
      </c>
      <c r="C4" s="209" t="s">
        <v>642</v>
      </c>
      <c r="D4" s="236" t="s">
        <v>551</v>
      </c>
      <c r="E4" s="236" t="s">
        <v>552</v>
      </c>
      <c r="F4" s="237" t="s">
        <v>673</v>
      </c>
      <c r="G4" s="237" t="s">
        <v>674</v>
      </c>
      <c r="H4" s="236" t="s">
        <v>675</v>
      </c>
      <c r="J4" s="128"/>
    </row>
    <row r="5" spans="2:10" s="135" customFormat="1" x14ac:dyDescent="0.35">
      <c r="B5" s="153" t="s">
        <v>676</v>
      </c>
      <c r="C5" s="115">
        <f>'Resource impact'!E36</f>
        <v>126605.00117543283</v>
      </c>
      <c r="D5" s="115">
        <f>'Resource impact'!G36</f>
        <v>0</v>
      </c>
      <c r="E5" s="115" t="e">
        <f>'Resource impact'!#REF!</f>
        <v>#REF!</v>
      </c>
      <c r="F5" s="115">
        <f>'Resource impact'!H36</f>
        <v>0</v>
      </c>
      <c r="G5" s="115">
        <f>'Resource impact'!I36</f>
        <v>0</v>
      </c>
      <c r="H5" s="115">
        <f>'Resource impact'!J36</f>
        <v>0</v>
      </c>
      <c r="I5"/>
      <c r="J5" s="128"/>
    </row>
    <row r="6" spans="2:10" x14ac:dyDescent="0.35">
      <c r="B6" s="226" t="s">
        <v>677</v>
      </c>
      <c r="C6" s="437">
        <f>'Resource impact'!D48</f>
        <v>0.28000000000000003</v>
      </c>
      <c r="D6" s="437">
        <f>'Resource impact'!E48</f>
        <v>0.28000000000000003</v>
      </c>
      <c r="E6" s="437" t="e">
        <f>'Resource impact'!#REF!</f>
        <v>#REF!</v>
      </c>
      <c r="F6" s="437" t="e">
        <f>'Resource impact'!#REF!</f>
        <v>#REF!</v>
      </c>
      <c r="G6" s="437" t="e">
        <f>'Resource impact'!#REF!</f>
        <v>#REF!</v>
      </c>
      <c r="H6" s="437" t="e">
        <f>'Resource impact'!#REF!</f>
        <v>#REF!</v>
      </c>
      <c r="J6" s="128"/>
    </row>
    <row r="7" spans="2:10" x14ac:dyDescent="0.35">
      <c r="B7" s="153" t="s">
        <v>678</v>
      </c>
      <c r="C7" s="115">
        <f>'Financial impact (cash)'!D13</f>
        <v>35449.400329121199</v>
      </c>
      <c r="D7" s="115">
        <f>'Financial impact (cash)'!E13</f>
        <v>35449.400329121199</v>
      </c>
      <c r="E7" s="115">
        <f>'Financial impact (cash)'!F13</f>
        <v>0</v>
      </c>
      <c r="F7" s="115">
        <f>'Financial impact (cash)'!G13</f>
        <v>0</v>
      </c>
      <c r="G7" s="115">
        <f>'Financial impact (cash)'!H13</f>
        <v>0</v>
      </c>
      <c r="H7" s="115">
        <f>'Financial impact (cash)'!I13</f>
        <v>0</v>
      </c>
      <c r="J7" s="120"/>
    </row>
    <row r="8" spans="2:10" ht="14.5" customHeight="1" x14ac:dyDescent="0.35">
      <c r="B8" s="212"/>
      <c r="C8" s="212"/>
      <c r="D8" s="120"/>
      <c r="E8" s="120"/>
      <c r="F8" s="120"/>
      <c r="G8" s="120"/>
      <c r="H8" s="120"/>
      <c r="J8" s="120"/>
    </row>
    <row r="9" spans="2:10" ht="43.5" x14ac:dyDescent="0.35">
      <c r="B9" s="231" t="s">
        <v>679</v>
      </c>
      <c r="C9" s="209" t="s">
        <v>642</v>
      </c>
      <c r="D9" s="236" t="s">
        <v>551</v>
      </c>
      <c r="E9" s="236" t="s">
        <v>552</v>
      </c>
      <c r="F9" s="237" t="s">
        <v>673</v>
      </c>
      <c r="G9" s="237" t="s">
        <v>674</v>
      </c>
      <c r="H9" s="236" t="s">
        <v>675</v>
      </c>
      <c r="J9" s="120"/>
    </row>
    <row r="10" spans="2:10" x14ac:dyDescent="0.35">
      <c r="B10" s="302" t="s">
        <v>559</v>
      </c>
      <c r="C10" s="115">
        <f>'Resource impact'!D48*C$5</f>
        <v>35449.400329121199</v>
      </c>
      <c r="D10" s="115">
        <f>'Resource impact'!E48*D$5</f>
        <v>0</v>
      </c>
      <c r="E10" s="115" t="e">
        <f>'Resource impact'!#REF!*E$5</f>
        <v>#REF!</v>
      </c>
      <c r="F10" s="115" t="e">
        <f>'Resource impact'!#REF!*F$5</f>
        <v>#REF!</v>
      </c>
      <c r="G10" s="115" t="e">
        <f>'Resource impact'!#REF!*G$5</f>
        <v>#REF!</v>
      </c>
      <c r="H10" s="115" t="e">
        <f>'Resource impact'!#REF!*H$5</f>
        <v>#REF!</v>
      </c>
      <c r="J10" s="120"/>
    </row>
    <row r="11" spans="2:10" x14ac:dyDescent="0.35">
      <c r="B11" s="302" t="s">
        <v>560</v>
      </c>
      <c r="C11" s="115">
        <f>'Resource impact'!D50*C$5</f>
        <v>0</v>
      </c>
      <c r="D11" s="115">
        <f>'Resource impact'!E50*D$5</f>
        <v>0</v>
      </c>
      <c r="E11" s="115" t="e">
        <f>'Resource impact'!#REF!*E$5</f>
        <v>#REF!</v>
      </c>
      <c r="F11" s="115" t="e">
        <f>'Resource impact'!#REF!*F$5</f>
        <v>#REF!</v>
      </c>
      <c r="G11" s="115" t="e">
        <f>'Resource impact'!#REF!*G$5</f>
        <v>#REF!</v>
      </c>
      <c r="H11" s="115" t="e">
        <f>'Resource impact'!#REF!*H$5</f>
        <v>#REF!</v>
      </c>
      <c r="J11" s="120"/>
    </row>
    <row r="12" spans="2:10" x14ac:dyDescent="0.35">
      <c r="B12" s="302" t="s">
        <v>561</v>
      </c>
      <c r="C12" s="115" t="e">
        <f>'Resource impact'!#REF!*C$5</f>
        <v>#REF!</v>
      </c>
      <c r="D12" s="115" t="e">
        <f>'Resource impact'!#REF!*D$5</f>
        <v>#REF!</v>
      </c>
      <c r="E12" s="115" t="e">
        <f>'Resource impact'!#REF!*E$5</f>
        <v>#REF!</v>
      </c>
      <c r="F12" s="115" t="e">
        <f>'Resource impact'!#REF!*F$5</f>
        <v>#REF!</v>
      </c>
      <c r="G12" s="115" t="e">
        <f>'Resource impact'!#REF!*G$5</f>
        <v>#REF!</v>
      </c>
      <c r="H12" s="115" t="e">
        <f>'Resource impact'!#REF!*H$5</f>
        <v>#REF!</v>
      </c>
      <c r="J12" s="120"/>
    </row>
    <row r="13" spans="2:10" x14ac:dyDescent="0.35">
      <c r="B13" s="302" t="s">
        <v>2109</v>
      </c>
      <c r="C13" s="115" t="e">
        <f>'Resource impact'!#REF!*C$5</f>
        <v>#REF!</v>
      </c>
      <c r="D13" s="115" t="e">
        <f>'Resource impact'!#REF!*D$5</f>
        <v>#REF!</v>
      </c>
      <c r="E13" s="115" t="e">
        <f>'Resource impact'!#REF!*E$5</f>
        <v>#REF!</v>
      </c>
      <c r="F13" s="115" t="e">
        <f>'Resource impact'!#REF!*F$5</f>
        <v>#REF!</v>
      </c>
      <c r="G13" s="115" t="e">
        <f>'Resource impact'!#REF!*G$5</f>
        <v>#REF!</v>
      </c>
      <c r="H13" s="115" t="e">
        <f>'Resource impact'!#REF!*H$5</f>
        <v>#REF!</v>
      </c>
      <c r="J13" s="120"/>
    </row>
    <row r="14" spans="2:10" x14ac:dyDescent="0.35">
      <c r="B14" s="302" t="s">
        <v>2110</v>
      </c>
      <c r="C14" s="115" t="e">
        <f>'Resource impact'!#REF!*C$5</f>
        <v>#REF!</v>
      </c>
      <c r="D14" s="115" t="e">
        <f>'Resource impact'!#REF!*D$5</f>
        <v>#REF!</v>
      </c>
      <c r="E14" s="115" t="e">
        <f>'Resource impact'!#REF!*E$5</f>
        <v>#REF!</v>
      </c>
      <c r="F14" s="115" t="e">
        <f>'Resource impact'!#REF!*F$5</f>
        <v>#REF!</v>
      </c>
      <c r="G14" s="115" t="e">
        <f>'Resource impact'!#REF!*G$5</f>
        <v>#REF!</v>
      </c>
      <c r="H14" s="115" t="e">
        <f>'Resource impact'!#REF!*H$5</f>
        <v>#REF!</v>
      </c>
      <c r="J14" s="120"/>
    </row>
    <row r="15" spans="2:10" x14ac:dyDescent="0.35">
      <c r="B15" s="302" t="s">
        <v>2132</v>
      </c>
      <c r="C15" s="115" t="e">
        <f>'Resource impact'!#REF!*C$5</f>
        <v>#REF!</v>
      </c>
      <c r="D15" s="115" t="e">
        <f>'Resource impact'!#REF!*D$5</f>
        <v>#REF!</v>
      </c>
      <c r="E15" s="115" t="e">
        <f>'Resource impact'!#REF!*E$5</f>
        <v>#REF!</v>
      </c>
      <c r="F15" s="115" t="e">
        <f>'Resource impact'!#REF!*F$5</f>
        <v>#REF!</v>
      </c>
      <c r="G15" s="115" t="e">
        <f>'Resource impact'!#REF!*G$5</f>
        <v>#REF!</v>
      </c>
      <c r="H15" s="115" t="e">
        <f>'Resource impact'!#REF!*H$5</f>
        <v>#REF!</v>
      </c>
      <c r="J15" s="120"/>
    </row>
    <row r="16" spans="2:10" x14ac:dyDescent="0.35">
      <c r="B16" s="302" t="s">
        <v>2133</v>
      </c>
      <c r="C16" s="115" t="e">
        <f>'Resource impact'!#REF!*C$5</f>
        <v>#REF!</v>
      </c>
      <c r="D16" s="115" t="e">
        <f>'Resource impact'!#REF!*D$5</f>
        <v>#REF!</v>
      </c>
      <c r="E16" s="115" t="e">
        <f>'Resource impact'!#REF!*E$5</f>
        <v>#REF!</v>
      </c>
      <c r="F16" s="115" t="e">
        <f>'Resource impact'!#REF!*F$5</f>
        <v>#REF!</v>
      </c>
      <c r="G16" s="115" t="e">
        <f>'Resource impact'!#REF!*G$5</f>
        <v>#REF!</v>
      </c>
      <c r="H16" s="115" t="e">
        <f>'Resource impact'!#REF!*H$5</f>
        <v>#REF!</v>
      </c>
      <c r="J16" s="120"/>
    </row>
    <row r="17" spans="1:10" x14ac:dyDescent="0.35">
      <c r="B17" s="660"/>
      <c r="C17" s="162" t="e">
        <f>SUM(C10:C16)</f>
        <v>#REF!</v>
      </c>
      <c r="D17" s="162" t="e">
        <f t="shared" ref="D17:H17" si="0">SUM(D10:D16)</f>
        <v>#REF!</v>
      </c>
      <c r="E17" s="162" t="e">
        <f t="shared" si="0"/>
        <v>#REF!</v>
      </c>
      <c r="F17" s="162" t="e">
        <f t="shared" si="0"/>
        <v>#REF!</v>
      </c>
      <c r="G17" s="162" t="e">
        <f t="shared" si="0"/>
        <v>#REF!</v>
      </c>
      <c r="H17" s="162" t="e">
        <f t="shared" si="0"/>
        <v>#REF!</v>
      </c>
      <c r="J17" s="120"/>
    </row>
    <row r="18" spans="1:10" ht="15" thickBot="1" x14ac:dyDescent="0.4">
      <c r="B18" s="422"/>
      <c r="C18" s="422"/>
      <c r="D18" s="423"/>
      <c r="E18" s="423"/>
      <c r="F18" s="423"/>
      <c r="G18" s="423"/>
      <c r="H18" s="423"/>
      <c r="I18" s="424"/>
      <c r="J18" s="120"/>
    </row>
    <row r="19" spans="1:10" x14ac:dyDescent="0.35">
      <c r="B19" s="233"/>
      <c r="C19" s="233"/>
      <c r="D19" s="295"/>
      <c r="E19" s="295"/>
      <c r="F19" s="295"/>
      <c r="G19" s="295"/>
      <c r="H19" s="295"/>
      <c r="I19" s="120"/>
      <c r="J19" s="120"/>
    </row>
    <row r="20" spans="1:10" ht="43.5" x14ac:dyDescent="0.35">
      <c r="B20" s="227" t="s">
        <v>680</v>
      </c>
      <c r="C20" s="209" t="s">
        <v>642</v>
      </c>
      <c r="D20" s="236" t="s">
        <v>551</v>
      </c>
      <c r="E20" s="236" t="s">
        <v>552</v>
      </c>
      <c r="F20" s="237" t="s">
        <v>673</v>
      </c>
      <c r="G20" s="237" t="s">
        <v>674</v>
      </c>
      <c r="H20" s="236" t="s">
        <v>675</v>
      </c>
      <c r="I20" s="120"/>
      <c r="J20" s="120"/>
    </row>
    <row r="21" spans="1:10" x14ac:dyDescent="0.35">
      <c r="B21" s="258" t="s">
        <v>681</v>
      </c>
      <c r="C21" s="521" t="s">
        <v>682</v>
      </c>
      <c r="D21" s="521" t="s">
        <v>682</v>
      </c>
      <c r="E21" s="521" t="s">
        <v>682</v>
      </c>
      <c r="F21" s="521" t="s">
        <v>682</v>
      </c>
      <c r="G21" s="521" t="s">
        <v>682</v>
      </c>
      <c r="H21" s="521" t="s">
        <v>682</v>
      </c>
      <c r="I21" s="120"/>
      <c r="J21" s="120"/>
    </row>
    <row r="22" spans="1:10" x14ac:dyDescent="0.35">
      <c r="B22" s="232" t="s">
        <v>683</v>
      </c>
      <c r="C22" s="219" t="e">
        <f>'Financial impact (cash)'!D30</f>
        <v>#REF!</v>
      </c>
      <c r="D22" s="219" t="e">
        <f>'Financial impact (cash)'!E30</f>
        <v>#REF!</v>
      </c>
      <c r="E22" s="219" t="e">
        <f>'Financial impact (cash)'!F30</f>
        <v>#REF!</v>
      </c>
      <c r="F22" s="219" t="e">
        <f>'Financial impact (cash)'!G30</f>
        <v>#REF!</v>
      </c>
      <c r="G22" s="219" t="e">
        <f>'Financial impact (cash)'!H30</f>
        <v>#REF!</v>
      </c>
      <c r="H22" s="219" t="e">
        <f>'Financial impact (cash)'!I30</f>
        <v>#REF!</v>
      </c>
      <c r="I22" s="120"/>
      <c r="J22" s="120"/>
    </row>
    <row r="23" spans="1:10" x14ac:dyDescent="0.35">
      <c r="C23" s="647"/>
      <c r="D23" s="174" t="e">
        <f>D22-$C$22</f>
        <v>#REF!</v>
      </c>
      <c r="E23" s="174" t="e">
        <f>E22-$C$22</f>
        <v>#REF!</v>
      </c>
      <c r="F23" s="174" t="e">
        <f>F22-$C$22</f>
        <v>#REF!</v>
      </c>
      <c r="G23" s="174" t="e">
        <f>G22-$C$22</f>
        <v>#REF!</v>
      </c>
      <c r="H23" s="174" t="e">
        <f>H22-$C$22</f>
        <v>#REF!</v>
      </c>
      <c r="I23" s="392" t="s">
        <v>684</v>
      </c>
      <c r="J23" s="120"/>
    </row>
    <row r="24" spans="1:10" x14ac:dyDescent="0.35">
      <c r="C24" s="79"/>
      <c r="D24" s="174" t="e">
        <f>D22-C22</f>
        <v>#REF!</v>
      </c>
      <c r="E24" s="174" t="e">
        <f>E22-D22</f>
        <v>#REF!</v>
      </c>
      <c r="F24" s="174" t="e">
        <f>F22-E22</f>
        <v>#REF!</v>
      </c>
      <c r="G24" s="174" t="e">
        <f>G22-F22</f>
        <v>#REF!</v>
      </c>
      <c r="H24" s="174" t="e">
        <f>H22-G22</f>
        <v>#REF!</v>
      </c>
      <c r="I24" s="392" t="s">
        <v>685</v>
      </c>
      <c r="J24" s="120"/>
    </row>
    <row r="25" spans="1:10" x14ac:dyDescent="0.35">
      <c r="B25" s="233"/>
      <c r="C25" s="233"/>
      <c r="D25" s="351"/>
      <c r="E25" s="351"/>
      <c r="F25" s="351"/>
      <c r="G25" s="351"/>
      <c r="H25" s="351"/>
      <c r="J25" s="120"/>
    </row>
    <row r="26" spans="1:10" x14ac:dyDescent="0.35">
      <c r="B26" t="s">
        <v>686</v>
      </c>
      <c r="C26" s="233"/>
      <c r="D26" s="351"/>
      <c r="E26" s="351"/>
      <c r="F26" s="351"/>
      <c r="G26" s="351"/>
      <c r="H26" s="351"/>
      <c r="J26" s="120"/>
    </row>
    <row r="27" spans="1:10" x14ac:dyDescent="0.35">
      <c r="B27" s="497" t="s">
        <v>15</v>
      </c>
      <c r="C27" s="233"/>
      <c r="D27" s="351"/>
      <c r="E27" s="351"/>
      <c r="F27" s="351"/>
      <c r="G27" s="351"/>
      <c r="H27" s="351"/>
      <c r="J27" s="120"/>
    </row>
    <row r="28" spans="1:10" x14ac:dyDescent="0.35">
      <c r="B28" s="233"/>
      <c r="C28" s="233"/>
      <c r="D28" s="351"/>
      <c r="E28" s="351"/>
      <c r="F28" s="351"/>
      <c r="G28" s="351"/>
      <c r="H28" s="351"/>
      <c r="J28" s="120"/>
    </row>
    <row r="29" spans="1:10" ht="43.5" x14ac:dyDescent="0.35">
      <c r="A29" s="351"/>
      <c r="B29" s="227" t="s">
        <v>2139</v>
      </c>
      <c r="C29" s="209" t="s">
        <v>642</v>
      </c>
      <c r="D29" s="236" t="s">
        <v>551</v>
      </c>
      <c r="E29" s="236" t="s">
        <v>552</v>
      </c>
      <c r="F29" s="237" t="s">
        <v>673</v>
      </c>
      <c r="G29" s="237" t="s">
        <v>674</v>
      </c>
      <c r="H29" s="236" t="s">
        <v>675</v>
      </c>
      <c r="J29" s="120"/>
    </row>
    <row r="30" spans="1:10" x14ac:dyDescent="0.35">
      <c r="A30" s="351"/>
      <c r="B30" s="227"/>
      <c r="C30" s="521" t="s">
        <v>682</v>
      </c>
      <c r="D30" s="521" t="s">
        <v>682</v>
      </c>
      <c r="E30" s="521" t="s">
        <v>682</v>
      </c>
      <c r="F30" s="521" t="s">
        <v>682</v>
      </c>
      <c r="G30" s="521" t="s">
        <v>682</v>
      </c>
      <c r="H30" s="521" t="s">
        <v>682</v>
      </c>
      <c r="J30" s="120"/>
    </row>
    <row r="31" spans="1:10" x14ac:dyDescent="0.35">
      <c r="A31" s="351"/>
      <c r="B31" s="232" t="s">
        <v>2140</v>
      </c>
      <c r="C31" s="219" t="e">
        <f>IF($B$27="national prices",'Capacity (national prices)'!L28,IF($B$27="local prices",'Capacity (local prices)'!L28,0))</f>
        <v>#REF!</v>
      </c>
      <c r="D31" s="219" t="e">
        <f>IF($B$27="national prices",'Capacity (national prices)'!M28,IF($B$27="local prices",'Capacity (local prices)'!M28,0))</f>
        <v>#REF!</v>
      </c>
      <c r="E31" s="219" t="e">
        <f>IF($B$27="national prices",'Capacity (national prices)'!N28,IF($B$27="local prices",'Capacity (local prices)'!N28,0))</f>
        <v>#REF!</v>
      </c>
      <c r="F31" s="219" t="e">
        <f>IF($B$27="national prices",'Capacity (national prices)'!O28,IF($B$27="local prices",'Capacity (local prices)'!O28,0))</f>
        <v>#REF!</v>
      </c>
      <c r="G31" s="219" t="e">
        <f>IF($B$27="national prices",'Capacity (national prices)'!P28,IF($B$27="local prices",'Capacity (local prices)'!P28,0))</f>
        <v>#REF!</v>
      </c>
      <c r="H31" s="219" t="e">
        <f>IF($B$27="national prices",'Capacity (national prices)'!Q28,IF($B$27="local prices",'Capacity (local prices)'!Q28,0))</f>
        <v>#REF!</v>
      </c>
      <c r="J31" s="120"/>
    </row>
    <row r="32" spans="1:10" x14ac:dyDescent="0.35">
      <c r="A32" s="351"/>
      <c r="B32" s="709" t="s">
        <v>2141</v>
      </c>
      <c r="C32" s="708" t="e">
        <f>Events!C47</f>
        <v>#REF!</v>
      </c>
      <c r="D32" s="708" t="e">
        <f>Events!D47</f>
        <v>#REF!</v>
      </c>
      <c r="E32" s="708" t="e">
        <f>Events!E47</f>
        <v>#REF!</v>
      </c>
      <c r="F32" s="708" t="e">
        <f>Events!F47</f>
        <v>#REF!</v>
      </c>
      <c r="G32" s="708" t="e">
        <f>Events!G47</f>
        <v>#REF!</v>
      </c>
      <c r="H32" s="708" t="e">
        <f>Events!H47</f>
        <v>#REF!</v>
      </c>
      <c r="J32" s="120"/>
    </row>
    <row r="33" spans="1:10" x14ac:dyDescent="0.35">
      <c r="A33" s="351"/>
      <c r="C33" s="647"/>
      <c r="D33" s="174" t="e">
        <f>D31+D32-$C$31-$C$32</f>
        <v>#REF!</v>
      </c>
      <c r="E33" s="174" t="e">
        <f t="shared" ref="E33:H33" si="1">E31+E32-$C$31-$C$32</f>
        <v>#REF!</v>
      </c>
      <c r="F33" s="174" t="e">
        <f t="shared" si="1"/>
        <v>#REF!</v>
      </c>
      <c r="G33" s="174" t="e">
        <f t="shared" si="1"/>
        <v>#REF!</v>
      </c>
      <c r="H33" s="174" t="e">
        <f t="shared" si="1"/>
        <v>#REF!</v>
      </c>
      <c r="I33" s="392" t="s">
        <v>684</v>
      </c>
      <c r="J33" s="120"/>
    </row>
    <row r="34" spans="1:10" x14ac:dyDescent="0.35">
      <c r="A34" s="351"/>
      <c r="C34" s="79"/>
      <c r="D34" s="174" t="e">
        <f>D31+D32-C31-C32</f>
        <v>#REF!</v>
      </c>
      <c r="E34" s="174" t="e">
        <f t="shared" ref="E34:H34" si="2">E31+E32-D31-D32</f>
        <v>#REF!</v>
      </c>
      <c r="F34" s="174" t="e">
        <f t="shared" si="2"/>
        <v>#REF!</v>
      </c>
      <c r="G34" s="174" t="e">
        <f t="shared" si="2"/>
        <v>#REF!</v>
      </c>
      <c r="H34" s="174" t="e">
        <f t="shared" si="2"/>
        <v>#REF!</v>
      </c>
      <c r="I34" s="392" t="s">
        <v>685</v>
      </c>
      <c r="J34" s="120"/>
    </row>
    <row r="35" spans="1:10" x14ac:dyDescent="0.35">
      <c r="A35" s="351"/>
      <c r="B35" s="351"/>
      <c r="C35" s="351"/>
      <c r="D35" s="351"/>
      <c r="E35" s="351"/>
      <c r="F35" s="351"/>
      <c r="G35" s="351"/>
      <c r="H35" s="351"/>
      <c r="J35" s="120"/>
    </row>
    <row r="36" spans="1:10" ht="43.5" x14ac:dyDescent="0.35">
      <c r="A36" s="351"/>
      <c r="B36" s="227" t="s">
        <v>687</v>
      </c>
      <c r="C36" s="209" t="s">
        <v>642</v>
      </c>
      <c r="D36" s="236" t="s">
        <v>551</v>
      </c>
      <c r="E36" s="236" t="s">
        <v>552</v>
      </c>
      <c r="F36" s="237" t="s">
        <v>673</v>
      </c>
      <c r="G36" s="237" t="s">
        <v>674</v>
      </c>
      <c r="H36" s="236" t="s">
        <v>675</v>
      </c>
      <c r="J36" s="120"/>
    </row>
    <row r="37" spans="1:10" x14ac:dyDescent="0.35">
      <c r="B37" s="227"/>
      <c r="C37" s="521" t="s">
        <v>682</v>
      </c>
      <c r="D37" s="521" t="s">
        <v>682</v>
      </c>
      <c r="E37" s="521" t="s">
        <v>682</v>
      </c>
      <c r="F37" s="521" t="s">
        <v>682</v>
      </c>
      <c r="G37" s="521" t="s">
        <v>682</v>
      </c>
      <c r="H37" s="521" t="s">
        <v>682</v>
      </c>
      <c r="I37" s="120"/>
      <c r="J37" s="120"/>
    </row>
    <row r="38" spans="1:10" x14ac:dyDescent="0.35">
      <c r="B38" s="710" t="s">
        <v>2142</v>
      </c>
      <c r="C38" s="431" t="e">
        <f>C22+C31+C32</f>
        <v>#REF!</v>
      </c>
      <c r="D38" s="431" t="e">
        <f t="shared" ref="D38:H38" si="3">D22+D31+D32</f>
        <v>#REF!</v>
      </c>
      <c r="E38" s="431" t="e">
        <f t="shared" si="3"/>
        <v>#REF!</v>
      </c>
      <c r="F38" s="431" t="e">
        <f t="shared" si="3"/>
        <v>#REF!</v>
      </c>
      <c r="G38" s="431" t="e">
        <f t="shared" si="3"/>
        <v>#REF!</v>
      </c>
      <c r="H38" s="431" t="e">
        <f t="shared" si="3"/>
        <v>#REF!</v>
      </c>
      <c r="I38" s="120"/>
      <c r="J38" s="120"/>
    </row>
    <row r="39" spans="1:10" x14ac:dyDescent="0.35">
      <c r="B39" s="418"/>
      <c r="C39" s="419"/>
      <c r="D39" s="420" t="e">
        <f>D38-$C$38</f>
        <v>#REF!</v>
      </c>
      <c r="E39" s="420" t="e">
        <f t="shared" ref="E39:H39" si="4">E38-$C$38</f>
        <v>#REF!</v>
      </c>
      <c r="F39" s="420" t="e">
        <f t="shared" si="4"/>
        <v>#REF!</v>
      </c>
      <c r="G39" s="420" t="e">
        <f t="shared" si="4"/>
        <v>#REF!</v>
      </c>
      <c r="H39" s="420" t="e">
        <f t="shared" si="4"/>
        <v>#REF!</v>
      </c>
      <c r="I39" s="392" t="s">
        <v>684</v>
      </c>
      <c r="J39" s="120"/>
    </row>
    <row r="40" spans="1:10" x14ac:dyDescent="0.35">
      <c r="B40" s="418"/>
      <c r="C40" s="419"/>
      <c r="D40" s="421" t="e">
        <f>D38-C38</f>
        <v>#REF!</v>
      </c>
      <c r="E40" s="421" t="e">
        <f>E38-D38</f>
        <v>#REF!</v>
      </c>
      <c r="F40" s="421" t="e">
        <f>F38-E38</f>
        <v>#REF!</v>
      </c>
      <c r="G40" s="421" t="e">
        <f>G38-F38</f>
        <v>#REF!</v>
      </c>
      <c r="H40" s="421" t="e">
        <f>H38-G38</f>
        <v>#REF!</v>
      </c>
      <c r="I40" s="392" t="s">
        <v>685</v>
      </c>
      <c r="J40" s="120"/>
    </row>
    <row r="41" spans="1:10" ht="15" thickBot="1" x14ac:dyDescent="0.4">
      <c r="B41" s="422"/>
      <c r="C41" s="422"/>
      <c r="D41" s="423"/>
      <c r="E41" s="423"/>
      <c r="F41" s="423"/>
      <c r="G41" s="423"/>
      <c r="H41" s="423"/>
      <c r="I41" s="424"/>
      <c r="J41" s="120"/>
    </row>
    <row r="42" spans="1:10" x14ac:dyDescent="0.35">
      <c r="B42" s="233"/>
      <c r="C42" s="233"/>
      <c r="D42" s="295"/>
      <c r="E42" s="295"/>
      <c r="F42" s="295"/>
      <c r="G42" s="295"/>
      <c r="H42" s="295"/>
      <c r="I42" s="120"/>
      <c r="J42" s="120"/>
    </row>
    <row r="43" spans="1:10" ht="43.5" x14ac:dyDescent="0.35">
      <c r="B43" s="227" t="s">
        <v>688</v>
      </c>
      <c r="C43" s="411"/>
      <c r="D43" s="236" t="s">
        <v>551</v>
      </c>
      <c r="E43" s="236" t="s">
        <v>552</v>
      </c>
      <c r="F43" s="237" t="s">
        <v>673</v>
      </c>
      <c r="G43" s="237" t="s">
        <v>674</v>
      </c>
      <c r="H43" s="236" t="s">
        <v>675</v>
      </c>
      <c r="I43" s="120"/>
      <c r="J43" s="120"/>
    </row>
    <row r="44" spans="1:10" x14ac:dyDescent="0.35">
      <c r="B44" s="414"/>
      <c r="C44" s="412"/>
      <c r="D44" s="413"/>
      <c r="E44" s="413"/>
      <c r="F44" s="413"/>
      <c r="G44" s="413"/>
      <c r="H44" s="413"/>
      <c r="I44" s="120"/>
      <c r="J44" s="120"/>
    </row>
    <row r="45" spans="1:10" x14ac:dyDescent="0.35">
      <c r="B45" s="227" t="s">
        <v>689</v>
      </c>
      <c r="C45" s="225"/>
      <c r="D45" s="221"/>
      <c r="E45" s="221"/>
      <c r="F45" s="221"/>
      <c r="G45" s="221"/>
      <c r="H45" s="222"/>
      <c r="I45" s="120"/>
      <c r="J45" s="120"/>
    </row>
    <row r="46" spans="1:10" x14ac:dyDescent="0.35">
      <c r="B46" s="495" t="str">
        <f>'Capacity (local prices)'!B10</f>
        <v>First attendances</v>
      </c>
      <c r="C46" s="494"/>
      <c r="D46" s="496" t="e">
        <f>'Capacity (local prices)'!E10-'Capacity (local prices)'!$D10</f>
        <v>#REF!</v>
      </c>
      <c r="E46" s="496" t="e">
        <f>'Capacity (local prices)'!F10-'Capacity (local prices)'!$D10</f>
        <v>#REF!</v>
      </c>
      <c r="F46" s="496" t="e">
        <f>'Capacity (local prices)'!G10-'Capacity (local prices)'!$D10</f>
        <v>#REF!</v>
      </c>
      <c r="G46" s="496" t="e">
        <f>'Capacity (local prices)'!H10-'Capacity (local prices)'!$D10</f>
        <v>#REF!</v>
      </c>
      <c r="H46" s="496" t="e">
        <f>'Capacity (local prices)'!I10-'Capacity (local prices)'!$D10</f>
        <v>#REF!</v>
      </c>
      <c r="I46" s="120"/>
      <c r="J46" s="120"/>
    </row>
    <row r="47" spans="1:10" x14ac:dyDescent="0.35">
      <c r="B47" s="495" t="str">
        <f>'Capacity (local prices)'!B11</f>
        <v>First attendances - hours</v>
      </c>
      <c r="C47" s="494"/>
      <c r="D47" s="496" t="e">
        <f>'Capacity (local prices)'!E11-'Capacity (local prices)'!$D11</f>
        <v>#REF!</v>
      </c>
      <c r="E47" s="496" t="e">
        <f>'Capacity (local prices)'!F11-'Capacity (local prices)'!$D11</f>
        <v>#REF!</v>
      </c>
      <c r="F47" s="496" t="e">
        <f>'Capacity (local prices)'!G11-'Capacity (local prices)'!$D11</f>
        <v>#REF!</v>
      </c>
      <c r="G47" s="496" t="e">
        <f>'Capacity (local prices)'!H11-'Capacity (local prices)'!$D11</f>
        <v>#REF!</v>
      </c>
      <c r="H47" s="496" t="e">
        <f>'Capacity (local prices)'!I11-'Capacity (local prices)'!$D11</f>
        <v>#REF!</v>
      </c>
      <c r="I47" s="120"/>
      <c r="J47" s="120"/>
    </row>
    <row r="48" spans="1:10" x14ac:dyDescent="0.35">
      <c r="B48" s="495" t="str">
        <f>'Capacity (local prices)'!B12</f>
        <v>Follow up attendances</v>
      </c>
      <c r="C48" s="230"/>
      <c r="D48" s="496" t="e">
        <f>'Capacity (local prices)'!E12-'Capacity (local prices)'!$D12</f>
        <v>#REF!</v>
      </c>
      <c r="E48" s="496" t="e">
        <f>'Capacity (local prices)'!F12-'Capacity (local prices)'!$D12</f>
        <v>#REF!</v>
      </c>
      <c r="F48" s="496" t="e">
        <f>'Capacity (local prices)'!G12-'Capacity (local prices)'!$D12</f>
        <v>#REF!</v>
      </c>
      <c r="G48" s="496" t="e">
        <f>'Capacity (local prices)'!H12-'Capacity (local prices)'!$D12</f>
        <v>#REF!</v>
      </c>
      <c r="H48" s="496" t="e">
        <f>'Capacity (local prices)'!I12-'Capacity (local prices)'!$D12</f>
        <v>#REF!</v>
      </c>
      <c r="I48" s="120"/>
      <c r="J48" s="120"/>
    </row>
    <row r="49" spans="2:10" x14ac:dyDescent="0.35">
      <c r="B49" s="495" t="str">
        <f>'Capacity (local prices)'!B13</f>
        <v>Follow up attendances - hours</v>
      </c>
      <c r="C49" s="230"/>
      <c r="D49" s="496" t="e">
        <f>'Capacity (local prices)'!E13-'Capacity (local prices)'!$D13</f>
        <v>#REF!</v>
      </c>
      <c r="E49" s="496" t="e">
        <f>'Capacity (local prices)'!F13-'Capacity (local prices)'!$D13</f>
        <v>#REF!</v>
      </c>
      <c r="F49" s="496" t="e">
        <f>'Capacity (local prices)'!G13-'Capacity (local prices)'!$D13</f>
        <v>#REF!</v>
      </c>
      <c r="G49" s="496" t="e">
        <f>'Capacity (local prices)'!H13-'Capacity (local prices)'!$D13</f>
        <v>#REF!</v>
      </c>
      <c r="H49" s="496" t="e">
        <f>'Capacity (local prices)'!I13-'Capacity (local prices)'!$D13</f>
        <v>#REF!</v>
      </c>
      <c r="I49" s="120"/>
      <c r="J49" s="120"/>
    </row>
    <row r="50" spans="2:10" x14ac:dyDescent="0.35">
      <c r="B50" s="495" t="str">
        <f>'Capacity (local prices)'!B14</f>
        <v>Number of administrations</v>
      </c>
      <c r="C50" s="230"/>
      <c r="D50" s="496" t="e">
        <f>'Capacity (local prices)'!E14-'Capacity (local prices)'!$D14</f>
        <v>#REF!</v>
      </c>
      <c r="E50" s="496" t="e">
        <f>'Capacity (local prices)'!F14-'Capacity (local prices)'!$D14</f>
        <v>#REF!</v>
      </c>
      <c r="F50" s="496" t="e">
        <f>'Capacity (local prices)'!G14-'Capacity (local prices)'!$D14</f>
        <v>#REF!</v>
      </c>
      <c r="G50" s="496" t="e">
        <f>'Capacity (local prices)'!H14-'Capacity (local prices)'!$D14</f>
        <v>#REF!</v>
      </c>
      <c r="H50" s="496" t="e">
        <f>'Capacity (local prices)'!I14-'Capacity (local prices)'!$D14</f>
        <v>#REF!</v>
      </c>
      <c r="I50" s="120"/>
      <c r="J50" s="120"/>
    </row>
    <row r="51" spans="2:10" x14ac:dyDescent="0.35">
      <c r="I51" s="120"/>
      <c r="J51" s="120"/>
    </row>
    <row r="52" spans="2:10" x14ac:dyDescent="0.35">
      <c r="B52" s="227" t="s">
        <v>690</v>
      </c>
      <c r="C52" s="228"/>
      <c r="D52" s="221"/>
      <c r="E52" s="221"/>
      <c r="F52" s="221"/>
      <c r="G52" s="221"/>
      <c r="H52" s="222"/>
      <c r="I52" s="120"/>
      <c r="J52" s="120"/>
    </row>
    <row r="53" spans="2:10" x14ac:dyDescent="0.35">
      <c r="B53" s="229" t="e">
        <f>'Capacity (local prices)'!#REF!</f>
        <v>#REF!</v>
      </c>
      <c r="C53" s="230"/>
      <c r="D53" s="496" t="e">
        <f>'Capacity (local prices)'!#REF!-'Capacity (local prices)'!#REF!</f>
        <v>#REF!</v>
      </c>
      <c r="E53" s="496" t="e">
        <f>'Capacity (local prices)'!#REF!-'Capacity (local prices)'!#REF!</f>
        <v>#REF!</v>
      </c>
      <c r="F53" s="496" t="e">
        <f>'Capacity (local prices)'!#REF!-'Capacity (local prices)'!#REF!</f>
        <v>#REF!</v>
      </c>
      <c r="G53" s="496" t="e">
        <f>'Capacity (local prices)'!#REF!-'Capacity (local prices)'!#REF!</f>
        <v>#REF!</v>
      </c>
      <c r="H53" s="496" t="e">
        <f>'Capacity (local prices)'!#REF!-'Capacity (local prices)'!#REF!</f>
        <v>#REF!</v>
      </c>
      <c r="I53" s="120"/>
      <c r="J53" s="120"/>
    </row>
    <row r="54" spans="2:10" x14ac:dyDescent="0.35">
      <c r="B54" s="229" t="str">
        <f>'Capacity (local prices)'!B15</f>
        <v>Nursing - administration hours - hours</v>
      </c>
      <c r="C54" s="230"/>
      <c r="D54" s="496" t="e">
        <f>'Capacity (local prices)'!E15-'Capacity (local prices)'!$D15</f>
        <v>#REF!</v>
      </c>
      <c r="E54" s="496" t="e">
        <f>'Capacity (local prices)'!F15-'Capacity (local prices)'!$D15</f>
        <v>#REF!</v>
      </c>
      <c r="F54" s="496" t="e">
        <f>'Capacity (local prices)'!G15-'Capacity (local prices)'!$D15</f>
        <v>#REF!</v>
      </c>
      <c r="G54" s="496" t="e">
        <f>'Capacity (local prices)'!H15-'Capacity (local prices)'!$D15</f>
        <v>#REF!</v>
      </c>
      <c r="H54" s="496" t="e">
        <f>'Capacity (local prices)'!I15-'Capacity (local prices)'!$D15</f>
        <v>#REF!</v>
      </c>
      <c r="I54" s="120"/>
      <c r="J54" s="120"/>
    </row>
    <row r="55" spans="2:10" x14ac:dyDescent="0.35">
      <c r="B55" s="229" t="e">
        <f>'Capacity (local prices)'!#REF!</f>
        <v>#REF!</v>
      </c>
      <c r="C55" s="230"/>
      <c r="D55" s="496" t="e">
        <f>'Capacity (local prices)'!#REF!-'Capacity (local prices)'!#REF!</f>
        <v>#REF!</v>
      </c>
      <c r="E55" s="496" t="e">
        <f>'Capacity (local prices)'!#REF!-'Capacity (local prices)'!#REF!</f>
        <v>#REF!</v>
      </c>
      <c r="F55" s="496" t="e">
        <f>'Capacity (local prices)'!#REF!-'Capacity (local prices)'!#REF!</f>
        <v>#REF!</v>
      </c>
      <c r="G55" s="496" t="e">
        <f>'Capacity (local prices)'!#REF!-'Capacity (local prices)'!#REF!</f>
        <v>#REF!</v>
      </c>
      <c r="H55" s="496" t="e">
        <f>'Capacity (local prices)'!#REF!-'Capacity (local prices)'!#REF!</f>
        <v>#REF!</v>
      </c>
      <c r="I55" s="120"/>
      <c r="J55" s="120"/>
    </row>
    <row r="56" spans="2:10" x14ac:dyDescent="0.35">
      <c r="B56" s="229" t="str">
        <f>'Capacity (local prices)'!B16</f>
        <v>Nursing patient preparation time - hours</v>
      </c>
      <c r="C56" s="230"/>
      <c r="D56" s="496" t="e">
        <f>'Capacity (local prices)'!E16-'Capacity (local prices)'!$D16</f>
        <v>#REF!</v>
      </c>
      <c r="E56" s="496" t="e">
        <f>'Capacity (local prices)'!F16-'Capacity (local prices)'!$D16</f>
        <v>#REF!</v>
      </c>
      <c r="F56" s="496" t="e">
        <f>'Capacity (local prices)'!G16-'Capacity (local prices)'!$D16</f>
        <v>#REF!</v>
      </c>
      <c r="G56" s="496" t="e">
        <f>'Capacity (local prices)'!H16-'Capacity (local prices)'!$D16</f>
        <v>#REF!</v>
      </c>
      <c r="H56" s="496" t="e">
        <f>'Capacity (local prices)'!I16-'Capacity (local prices)'!$D16</f>
        <v>#REF!</v>
      </c>
      <c r="I56" s="120"/>
      <c r="J56" s="120"/>
    </row>
    <row r="57" spans="2:10" x14ac:dyDescent="0.35">
      <c r="B57" s="229" t="e">
        <f>'Capacity (local prices)'!#REF!</f>
        <v>#REF!</v>
      </c>
      <c r="C57" s="230"/>
      <c r="D57" s="496" t="e">
        <f>'Capacity (local prices)'!#REF!-'Capacity (local prices)'!#REF!</f>
        <v>#REF!</v>
      </c>
      <c r="E57" s="496" t="e">
        <f>'Capacity (local prices)'!#REF!-'Capacity (local prices)'!#REF!</f>
        <v>#REF!</v>
      </c>
      <c r="F57" s="496" t="e">
        <f>'Capacity (local prices)'!#REF!-'Capacity (local prices)'!#REF!</f>
        <v>#REF!</v>
      </c>
      <c r="G57" s="496" t="e">
        <f>'Capacity (local prices)'!#REF!-'Capacity (local prices)'!#REF!</f>
        <v>#REF!</v>
      </c>
      <c r="H57" s="496" t="e">
        <f>'Capacity (local prices)'!#REF!-'Capacity (local prices)'!#REF!</f>
        <v>#REF!</v>
      </c>
      <c r="I57" s="120"/>
      <c r="J57" s="120"/>
    </row>
    <row r="58" spans="2:10" x14ac:dyDescent="0.35">
      <c r="B58" s="229" t="str">
        <f>'Capacity (local prices)'!B17</f>
        <v>Post administration nursing time - hours</v>
      </c>
      <c r="C58" s="230"/>
      <c r="D58" s="496" t="e">
        <f>'Capacity (local prices)'!E17-'Capacity (local prices)'!$D17</f>
        <v>#REF!</v>
      </c>
      <c r="E58" s="496" t="e">
        <f>'Capacity (local prices)'!F17-'Capacity (local prices)'!$D17</f>
        <v>#REF!</v>
      </c>
      <c r="F58" s="496" t="e">
        <f>'Capacity (local prices)'!G17-'Capacity (local prices)'!$D17</f>
        <v>#REF!</v>
      </c>
      <c r="G58" s="496" t="e">
        <f>'Capacity (local prices)'!H17-'Capacity (local prices)'!$D17</f>
        <v>#REF!</v>
      </c>
      <c r="H58" s="496" t="e">
        <f>'Capacity (local prices)'!I17-'Capacity (local prices)'!$D17</f>
        <v>#REF!</v>
      </c>
      <c r="I58" s="120"/>
      <c r="J58" s="120"/>
    </row>
    <row r="59" spans="2:10" x14ac:dyDescent="0.35">
      <c r="I59" s="120"/>
      <c r="J59" s="120"/>
    </row>
    <row r="60" spans="2:10" x14ac:dyDescent="0.35">
      <c r="B60" s="227" t="s">
        <v>691</v>
      </c>
      <c r="C60" s="228"/>
      <c r="D60" s="221"/>
      <c r="E60" s="221"/>
      <c r="F60" s="221"/>
      <c r="G60" s="221"/>
      <c r="H60" s="222"/>
      <c r="I60" s="120"/>
      <c r="J60" s="120"/>
    </row>
    <row r="61" spans="2:10" x14ac:dyDescent="0.35">
      <c r="B61" s="229" t="str">
        <f>'Capacity (local prices)'!B18</f>
        <v>Pharmacy support</v>
      </c>
      <c r="C61" s="234"/>
      <c r="D61" s="496" t="e">
        <f>'Capacity (local prices)'!E18-'Capacity (local prices)'!$D18</f>
        <v>#REF!</v>
      </c>
      <c r="E61" s="496" t="e">
        <f>'Capacity (local prices)'!F18-'Capacity (local prices)'!$D18</f>
        <v>#REF!</v>
      </c>
      <c r="F61" s="496" t="e">
        <f>'Capacity (local prices)'!G18-'Capacity (local prices)'!$D18</f>
        <v>#REF!</v>
      </c>
      <c r="G61" s="496" t="e">
        <f>'Capacity (local prices)'!H18-'Capacity (local prices)'!$D18</f>
        <v>#REF!</v>
      </c>
      <c r="H61" s="496" t="e">
        <f>'Capacity (local prices)'!I18-'Capacity (local prices)'!$D18</f>
        <v>#REF!</v>
      </c>
      <c r="I61" s="120"/>
      <c r="J61" s="120"/>
    </row>
    <row r="62" spans="2:10" x14ac:dyDescent="0.35">
      <c r="B62" s="229" t="str">
        <f>'Capacity (local prices)'!B19</f>
        <v>Pharmacy support - hours</v>
      </c>
      <c r="C62" s="234"/>
      <c r="D62" s="496" t="e">
        <f>'Capacity (local prices)'!E19-'Capacity (local prices)'!$D19</f>
        <v>#REF!</v>
      </c>
      <c r="E62" s="496" t="e">
        <f>'Capacity (local prices)'!F19-'Capacity (local prices)'!$D19</f>
        <v>#REF!</v>
      </c>
      <c r="F62" s="496" t="e">
        <f>'Capacity (local prices)'!G19-'Capacity (local prices)'!$D19</f>
        <v>#REF!</v>
      </c>
      <c r="G62" s="496" t="e">
        <f>'Capacity (local prices)'!H19-'Capacity (local prices)'!$D19</f>
        <v>#REF!</v>
      </c>
      <c r="H62" s="496" t="e">
        <f>'Capacity (local prices)'!I19-'Capacity (local prices)'!$D19</f>
        <v>#REF!</v>
      </c>
      <c r="I62" s="120"/>
      <c r="J62" s="120"/>
    </row>
    <row r="63" spans="2:10" x14ac:dyDescent="0.35">
      <c r="I63" s="120"/>
      <c r="J63" s="120"/>
    </row>
    <row r="64" spans="2:10" x14ac:dyDescent="0.35">
      <c r="B64" s="227" t="s">
        <v>692</v>
      </c>
      <c r="C64" s="228"/>
      <c r="D64" s="221"/>
      <c r="E64" s="221"/>
      <c r="F64" s="221"/>
      <c r="G64" s="221"/>
      <c r="H64" s="222"/>
      <c r="I64" s="120"/>
      <c r="J64" s="120"/>
    </row>
    <row r="65" spans="2:14" x14ac:dyDescent="0.35">
      <c r="B65" s="229" t="str">
        <f>'Capacity (local prices)'!B20</f>
        <v>Appointments with supporting specialty x</v>
      </c>
      <c r="C65" s="234"/>
      <c r="D65" s="496" t="e">
        <f>'Capacity (local prices)'!E20-'Capacity (local prices)'!$D20</f>
        <v>#REF!</v>
      </c>
      <c r="E65" s="496" t="e">
        <f>'Capacity (local prices)'!F20-'Capacity (local prices)'!$D20</f>
        <v>#REF!</v>
      </c>
      <c r="F65" s="496" t="e">
        <f>'Capacity (local prices)'!G20-'Capacity (local prices)'!$D20</f>
        <v>#REF!</v>
      </c>
      <c r="G65" s="496" t="e">
        <f>'Capacity (local prices)'!H20-'Capacity (local prices)'!$D20</f>
        <v>#REF!</v>
      </c>
      <c r="H65" s="496" t="e">
        <f>'Capacity (local prices)'!I20-'Capacity (local prices)'!$D20</f>
        <v>#REF!</v>
      </c>
      <c r="I65" s="120"/>
      <c r="J65" s="120"/>
    </row>
    <row r="66" spans="2:14" x14ac:dyDescent="0.35">
      <c r="B66" s="229" t="str">
        <f>'Capacity (local prices)'!B21</f>
        <v>Appointments with supporting specialty x - hours</v>
      </c>
      <c r="C66" s="234"/>
      <c r="D66" s="496" t="e">
        <f>'Capacity (local prices)'!E21-'Capacity (local prices)'!$D21</f>
        <v>#REF!</v>
      </c>
      <c r="E66" s="496" t="e">
        <f>'Capacity (local prices)'!F21-'Capacity (local prices)'!$D21</f>
        <v>#REF!</v>
      </c>
      <c r="F66" s="496" t="e">
        <f>'Capacity (local prices)'!G21-'Capacity (local prices)'!$D21</f>
        <v>#REF!</v>
      </c>
      <c r="G66" s="496" t="e">
        <f>'Capacity (local prices)'!H21-'Capacity (local prices)'!$D21</f>
        <v>#REF!</v>
      </c>
      <c r="H66" s="496" t="e">
        <f>'Capacity (local prices)'!I21-'Capacity (local prices)'!$D21</f>
        <v>#REF!</v>
      </c>
      <c r="I66" s="120"/>
      <c r="J66" s="120"/>
    </row>
    <row r="67" spans="2:14" x14ac:dyDescent="0.35">
      <c r="I67" s="120"/>
      <c r="J67" s="120"/>
    </row>
    <row r="68" spans="2:14" x14ac:dyDescent="0.35">
      <c r="B68" s="227" t="s">
        <v>693</v>
      </c>
      <c r="C68" s="228"/>
      <c r="D68" s="221"/>
      <c r="E68" s="221"/>
      <c r="F68" s="221"/>
      <c r="G68" s="221"/>
      <c r="H68" s="222"/>
      <c r="I68" s="120"/>
      <c r="J68" s="120"/>
    </row>
    <row r="69" spans="2:14" x14ac:dyDescent="0.35">
      <c r="B69" s="229" t="str">
        <f>'Capacity (local prices)'!B22</f>
        <v>Imaging scans</v>
      </c>
      <c r="C69" s="230"/>
      <c r="D69" s="496" t="e">
        <f>'Capacity (local prices)'!E22-'Capacity (local prices)'!$D22</f>
        <v>#REF!</v>
      </c>
      <c r="E69" s="496" t="e">
        <f>'Capacity (local prices)'!F22-'Capacity (local prices)'!$D22</f>
        <v>#REF!</v>
      </c>
      <c r="F69" s="496" t="e">
        <f>'Capacity (local prices)'!G22-'Capacity (local prices)'!$D22</f>
        <v>#REF!</v>
      </c>
      <c r="G69" s="496" t="e">
        <f>'Capacity (local prices)'!H22-'Capacity (local prices)'!$D22</f>
        <v>#REF!</v>
      </c>
      <c r="H69" s="496" t="e">
        <f>'Capacity (local prices)'!I22-'Capacity (local prices)'!$D22</f>
        <v>#REF!</v>
      </c>
      <c r="I69" s="120"/>
      <c r="J69" s="120"/>
    </row>
    <row r="70" spans="2:14" x14ac:dyDescent="0.35">
      <c r="B70" s="229" t="str">
        <f>'Capacity (local prices)'!B23</f>
        <v>Imaging scans - hours</v>
      </c>
      <c r="C70" s="230"/>
      <c r="D70" s="496" t="e">
        <f>'Capacity (local prices)'!E23-'Capacity (local prices)'!$D23</f>
        <v>#REF!</v>
      </c>
      <c r="E70" s="496" t="e">
        <f>'Capacity (local prices)'!F23-'Capacity (local prices)'!$D23</f>
        <v>#REF!</v>
      </c>
      <c r="F70" s="496" t="e">
        <f>'Capacity (local prices)'!G23-'Capacity (local prices)'!$D23</f>
        <v>#REF!</v>
      </c>
      <c r="G70" s="496" t="e">
        <f>'Capacity (local prices)'!H23-'Capacity (local prices)'!$D23</f>
        <v>#REF!</v>
      </c>
      <c r="H70" s="496" t="e">
        <f>'Capacity (local prices)'!I23-'Capacity (local prices)'!$D23</f>
        <v>#REF!</v>
      </c>
      <c r="I70" s="120"/>
      <c r="J70" s="120"/>
    </row>
    <row r="71" spans="2:14" x14ac:dyDescent="0.35">
      <c r="B71" s="229" t="str">
        <f>'Capacity (local prices)'!B24</f>
        <v>Pathology tests</v>
      </c>
      <c r="C71" s="230"/>
      <c r="D71" s="496" t="e">
        <f>'Capacity (local prices)'!E24-'Capacity (local prices)'!$D24</f>
        <v>#REF!</v>
      </c>
      <c r="E71" s="496" t="e">
        <f>'Capacity (local prices)'!F24-'Capacity (local prices)'!$D24</f>
        <v>#REF!</v>
      </c>
      <c r="F71" s="496" t="e">
        <f>'Capacity (local prices)'!G24-'Capacity (local prices)'!$D24</f>
        <v>#REF!</v>
      </c>
      <c r="G71" s="496" t="e">
        <f>'Capacity (local prices)'!H24-'Capacity (local prices)'!$D24</f>
        <v>#REF!</v>
      </c>
      <c r="H71" s="496" t="e">
        <f>'Capacity (local prices)'!I24-'Capacity (local prices)'!$D24</f>
        <v>#REF!</v>
      </c>
      <c r="I71" s="120"/>
      <c r="J71" s="120"/>
    </row>
    <row r="72" spans="2:14" x14ac:dyDescent="0.35">
      <c r="B72" s="229" t="str">
        <f>'Capacity (local prices)'!B25</f>
        <v>Pathology tests - hours</v>
      </c>
      <c r="C72" s="230"/>
      <c r="D72" s="496" t="e">
        <f>'Capacity (local prices)'!E25-'Capacity (local prices)'!$D25</f>
        <v>#REF!</v>
      </c>
      <c r="E72" s="496" t="e">
        <f>'Capacity (local prices)'!F25-'Capacity (local prices)'!$D25</f>
        <v>#REF!</v>
      </c>
      <c r="F72" s="496" t="e">
        <f>'Capacity (local prices)'!G25-'Capacity (local prices)'!$D25</f>
        <v>#REF!</v>
      </c>
      <c r="G72" s="496" t="e">
        <f>'Capacity (local prices)'!H25-'Capacity (local prices)'!$D25</f>
        <v>#REF!</v>
      </c>
      <c r="H72" s="496" t="e">
        <f>'Capacity (local prices)'!I25-'Capacity (local prices)'!$D25</f>
        <v>#REF!</v>
      </c>
      <c r="I72" s="120"/>
      <c r="J72" s="120"/>
    </row>
    <row r="73" spans="2:14" x14ac:dyDescent="0.35">
      <c r="B73" s="229" t="str">
        <f>'Capacity (local prices)'!B26</f>
        <v>Genomic tests</v>
      </c>
      <c r="C73" s="230"/>
      <c r="D73" s="496" t="e">
        <f>'Capacity (local prices)'!E26-'Capacity (local prices)'!$D26</f>
        <v>#REF!</v>
      </c>
      <c r="E73" s="496" t="e">
        <f>'Capacity (local prices)'!F26-'Capacity (local prices)'!$D26</f>
        <v>#REF!</v>
      </c>
      <c r="F73" s="496" t="e">
        <f>'Capacity (local prices)'!G26-'Capacity (local prices)'!$D26</f>
        <v>#REF!</v>
      </c>
      <c r="G73" s="496" t="e">
        <f>'Capacity (local prices)'!H26-'Capacity (local prices)'!$D26</f>
        <v>#REF!</v>
      </c>
      <c r="H73" s="496" t="e">
        <f>'Capacity (local prices)'!I26-'Capacity (local prices)'!$D26</f>
        <v>#REF!</v>
      </c>
      <c r="I73" s="120"/>
      <c r="J73" s="120"/>
    </row>
    <row r="74" spans="2:14" x14ac:dyDescent="0.35">
      <c r="B74" s="229" t="str">
        <f>'Capacity (local prices)'!B27</f>
        <v>Genomic tests - hours</v>
      </c>
      <c r="C74" s="230"/>
      <c r="D74" s="496" t="e">
        <f>'Capacity (local prices)'!E27-'Capacity (local prices)'!$D27</f>
        <v>#REF!</v>
      </c>
      <c r="E74" s="496" t="e">
        <f>'Capacity (local prices)'!F27-'Capacity (local prices)'!$D27</f>
        <v>#REF!</v>
      </c>
      <c r="F74" s="496" t="e">
        <f>'Capacity (local prices)'!G27-'Capacity (local prices)'!$D27</f>
        <v>#REF!</v>
      </c>
      <c r="G74" s="496" t="e">
        <f>'Capacity (local prices)'!H27-'Capacity (local prices)'!$D27</f>
        <v>#REF!</v>
      </c>
      <c r="H74" s="496" t="e">
        <f>'Capacity (local prices)'!I27-'Capacity (local prices)'!$D27</f>
        <v>#REF!</v>
      </c>
      <c r="I74" s="120"/>
      <c r="J74" s="120"/>
    </row>
    <row r="75" spans="2:14" x14ac:dyDescent="0.35">
      <c r="I75" s="120"/>
      <c r="J75" s="120"/>
    </row>
    <row r="76" spans="2:14" x14ac:dyDescent="0.35">
      <c r="B76" s="227" t="s">
        <v>694</v>
      </c>
      <c r="C76" s="225"/>
      <c r="D76" s="221"/>
      <c r="E76" s="221"/>
      <c r="F76" s="221"/>
      <c r="G76" s="221"/>
      <c r="H76" s="222"/>
      <c r="I76" s="120"/>
      <c r="J76" s="120"/>
    </row>
    <row r="77" spans="2:14" x14ac:dyDescent="0.35">
      <c r="B77" s="229" t="s">
        <v>2145</v>
      </c>
      <c r="C77" s="230"/>
      <c r="D77" s="496" t="e">
        <f>Events!J33</f>
        <v>#REF!</v>
      </c>
      <c r="E77" s="496" t="e">
        <f>Events!K33</f>
        <v>#REF!</v>
      </c>
      <c r="F77" s="496" t="e">
        <f>Events!L33</f>
        <v>#REF!</v>
      </c>
      <c r="G77" s="496" t="e">
        <f>Events!M33</f>
        <v>#REF!</v>
      </c>
      <c r="H77" s="496" t="e">
        <f>Events!N33</f>
        <v>#REF!</v>
      </c>
      <c r="I77" s="120"/>
      <c r="J77" s="120"/>
    </row>
    <row r="78" spans="2:14" x14ac:dyDescent="0.35">
      <c r="B78" s="233"/>
      <c r="C78" s="233"/>
      <c r="D78" s="220"/>
      <c r="E78" s="220"/>
      <c r="F78" s="220"/>
      <c r="G78" s="220"/>
      <c r="H78" s="220"/>
      <c r="I78" s="120"/>
      <c r="J78" s="120"/>
    </row>
    <row r="80" spans="2:14" x14ac:dyDescent="0.35">
      <c r="D80" s="871"/>
      <c r="E80" s="872"/>
      <c r="F80" s="872"/>
      <c r="G80" s="872"/>
      <c r="H80" s="872"/>
      <c r="I80" s="872"/>
      <c r="J80" s="872"/>
      <c r="K80" s="872"/>
      <c r="L80" s="872"/>
      <c r="M80" s="872"/>
      <c r="N80" s="872"/>
    </row>
    <row r="81" spans="4:14" x14ac:dyDescent="0.35">
      <c r="D81" s="872"/>
      <c r="E81" s="872"/>
      <c r="F81" s="872"/>
      <c r="G81" s="872"/>
      <c r="H81" s="872"/>
      <c r="I81" s="872"/>
      <c r="J81" s="872"/>
      <c r="K81" s="872"/>
      <c r="L81" s="872"/>
      <c r="M81" s="872"/>
      <c r="N81" s="872"/>
    </row>
    <row r="82" spans="4:14" x14ac:dyDescent="0.35">
      <c r="D82" s="871"/>
      <c r="E82" s="872"/>
      <c r="F82" s="872"/>
      <c r="G82" s="872"/>
      <c r="H82" s="872"/>
      <c r="I82" s="872"/>
      <c r="J82" s="872"/>
      <c r="K82" s="872"/>
      <c r="L82" s="872"/>
      <c r="M82" s="872"/>
      <c r="N82" s="872"/>
    </row>
  </sheetData>
  <mergeCells count="2">
    <mergeCell ref="D80:N81"/>
    <mergeCell ref="D82:N8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7"/>
  <sheetViews>
    <sheetView showGridLines="0" zoomScale="80" zoomScaleNormal="80" zoomScaleSheetLayoutView="80" workbookViewId="0">
      <selection activeCell="I23" sqref="I23"/>
    </sheetView>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40" t="str">
        <f>'Resource impact'!B1</f>
        <v>Digital platforms to support cardiac rehabilitation: early value assessment</v>
      </c>
      <c r="C1" s="114"/>
      <c r="D1" s="114"/>
      <c r="E1" s="114"/>
      <c r="F1" s="114"/>
      <c r="G1" s="114"/>
      <c r="H1" s="114"/>
      <c r="I1" s="114"/>
      <c r="J1" s="114"/>
      <c r="K1" s="114"/>
      <c r="L1" s="114"/>
      <c r="M1" s="114"/>
      <c r="N1" s="114"/>
      <c r="O1" s="114"/>
      <c r="P1" s="114"/>
      <c r="Q1" s="114"/>
      <c r="R1" s="114"/>
      <c r="S1" s="114"/>
      <c r="T1" s="114"/>
    </row>
    <row r="2" spans="2:34" ht="38.15" customHeight="1" x14ac:dyDescent="0.35">
      <c r="B2" s="324" t="s">
        <v>695</v>
      </c>
      <c r="C2" s="114" t="s">
        <v>556</v>
      </c>
      <c r="D2" s="114" t="s">
        <v>556</v>
      </c>
      <c r="E2" s="114" t="s">
        <v>556</v>
      </c>
      <c r="F2" s="114" t="s">
        <v>556</v>
      </c>
      <c r="G2" s="114" t="s">
        <v>556</v>
      </c>
      <c r="H2" s="114"/>
      <c r="I2" s="114" t="s">
        <v>556</v>
      </c>
      <c r="J2" s="114" t="s">
        <v>556</v>
      </c>
      <c r="K2" s="120"/>
      <c r="L2" s="114"/>
      <c r="M2" s="114"/>
      <c r="N2" s="114"/>
      <c r="O2" s="114"/>
      <c r="P2" s="114"/>
      <c r="Q2" s="114"/>
      <c r="R2" s="114"/>
      <c r="S2" s="114"/>
      <c r="T2" s="114"/>
    </row>
    <row r="3" spans="2:34" x14ac:dyDescent="0.35">
      <c r="B3" s="117" t="s">
        <v>556</v>
      </c>
      <c r="C3" s="120" t="s">
        <v>556</v>
      </c>
      <c r="D3" s="120" t="s">
        <v>556</v>
      </c>
      <c r="E3" s="120" t="s">
        <v>556</v>
      </c>
      <c r="F3" s="120" t="s">
        <v>556</v>
      </c>
      <c r="G3" s="120" t="s">
        <v>556</v>
      </c>
      <c r="H3" s="120" t="s">
        <v>556</v>
      </c>
      <c r="I3" s="120" t="s">
        <v>556</v>
      </c>
      <c r="J3" s="120" t="s">
        <v>556</v>
      </c>
      <c r="K3" s="120"/>
      <c r="L3" s="120"/>
      <c r="M3" s="120"/>
      <c r="N3" s="120"/>
      <c r="O3" s="120"/>
      <c r="P3" s="120"/>
      <c r="Q3" s="120"/>
      <c r="R3" s="120"/>
      <c r="S3" s="120"/>
      <c r="T3" s="120"/>
    </row>
    <row r="4" spans="2:34" s="211" customFormat="1" x14ac:dyDescent="0.35">
      <c r="B4" s="214" t="s">
        <v>696</v>
      </c>
      <c r="F4" s="120"/>
      <c r="G4" s="120"/>
      <c r="H4" s="120"/>
      <c r="I4" s="120"/>
      <c r="J4" s="120" t="s">
        <v>556</v>
      </c>
      <c r="K4" s="120"/>
      <c r="L4" s="120"/>
      <c r="M4" s="120"/>
      <c r="N4" s="120"/>
      <c r="O4" s="120"/>
      <c r="P4" s="120"/>
      <c r="Q4" s="120"/>
      <c r="R4" s="120"/>
      <c r="S4" s="120"/>
      <c r="T4" s="120"/>
    </row>
    <row r="5" spans="2:34" s="211" customFormat="1" x14ac:dyDescent="0.35">
      <c r="B5" s="214" t="s">
        <v>697</v>
      </c>
      <c r="F5" s="120"/>
      <c r="G5" s="120"/>
      <c r="H5" s="120"/>
      <c r="I5" s="120"/>
      <c r="J5" s="120"/>
      <c r="K5" s="120"/>
      <c r="L5" s="120"/>
      <c r="M5" s="120"/>
      <c r="N5" s="120"/>
      <c r="O5" s="120"/>
      <c r="P5" s="120"/>
      <c r="Q5" s="120"/>
      <c r="R5" s="120"/>
      <c r="S5" s="120"/>
      <c r="T5" s="120"/>
    </row>
    <row r="6" spans="2:34" s="211" customFormat="1" x14ac:dyDescent="0.35">
      <c r="B6" s="214"/>
      <c r="C6" s="120" t="s">
        <v>556</v>
      </c>
      <c r="D6" s="120" t="s">
        <v>556</v>
      </c>
      <c r="E6" s="120"/>
      <c r="F6" s="120"/>
      <c r="G6" s="120"/>
      <c r="H6" s="120"/>
      <c r="I6" s="120" t="s">
        <v>556</v>
      </c>
      <c r="J6" s="120" t="s">
        <v>556</v>
      </c>
      <c r="K6" s="120"/>
      <c r="L6" s="120"/>
      <c r="M6" s="120"/>
      <c r="N6" s="120"/>
      <c r="O6" s="120"/>
      <c r="P6" s="120"/>
      <c r="Q6" s="120"/>
      <c r="R6" s="120"/>
      <c r="S6" s="120"/>
      <c r="T6" s="120"/>
    </row>
    <row r="7" spans="2:34" s="211" customFormat="1" ht="43.5" x14ac:dyDescent="0.35">
      <c r="B7" s="224" t="s">
        <v>676</v>
      </c>
      <c r="C7" s="235"/>
      <c r="D7" s="661" t="s">
        <v>698</v>
      </c>
      <c r="E7" s="236" t="s">
        <v>551</v>
      </c>
      <c r="F7" s="236" t="s">
        <v>552</v>
      </c>
      <c r="G7" s="237" t="s">
        <v>673</v>
      </c>
      <c r="H7" s="237" t="s">
        <v>674</v>
      </c>
      <c r="I7" s="236" t="s">
        <v>675</v>
      </c>
      <c r="K7" s="120"/>
      <c r="L7" s="120"/>
      <c r="N7" s="120"/>
      <c r="O7" s="120"/>
      <c r="P7" s="120"/>
      <c r="Q7" s="120"/>
      <c r="R7" s="120"/>
      <c r="S7" s="120"/>
      <c r="T7" s="120"/>
    </row>
    <row r="8" spans="2:34" s="135" customFormat="1" x14ac:dyDescent="0.35">
      <c r="B8" s="198" t="s">
        <v>676</v>
      </c>
      <c r="C8" s="163"/>
      <c r="D8" s="162">
        <f>'Resource impact'!E36</f>
        <v>126605.00117543283</v>
      </c>
      <c r="E8" s="162">
        <f>'Resource impact'!G36</f>
        <v>0</v>
      </c>
      <c r="F8" s="162" t="e">
        <f>'Resource impact'!#REF!</f>
        <v>#REF!</v>
      </c>
      <c r="G8" s="162">
        <f>'Resource impact'!H36</f>
        <v>0</v>
      </c>
      <c r="H8" s="162">
        <f>'Resource impact'!I36</f>
        <v>0</v>
      </c>
      <c r="I8" s="162">
        <f>'Resource impact'!J36</f>
        <v>0</v>
      </c>
      <c r="K8" s="120"/>
      <c r="L8" s="120"/>
    </row>
    <row r="9" spans="2:34" s="211" customFormat="1" x14ac:dyDescent="0.35">
      <c r="B9" s="212" t="s">
        <v>556</v>
      </c>
      <c r="C9" s="120" t="s">
        <v>556</v>
      </c>
      <c r="D9" s="120" t="s">
        <v>556</v>
      </c>
      <c r="E9" s="120" t="s">
        <v>556</v>
      </c>
      <c r="F9" s="120" t="s">
        <v>556</v>
      </c>
      <c r="G9" s="120" t="s">
        <v>556</v>
      </c>
      <c r="H9" s="120"/>
      <c r="I9" s="120"/>
      <c r="K9" s="120"/>
      <c r="L9" s="120"/>
      <c r="N9" s="120"/>
      <c r="O9" s="120"/>
      <c r="P9" s="120"/>
      <c r="Q9" s="120"/>
      <c r="R9" s="120"/>
      <c r="S9" s="120"/>
      <c r="T9" s="120"/>
      <c r="AD9" s="238"/>
      <c r="AE9" s="238"/>
      <c r="AF9" s="238"/>
      <c r="AG9" s="238"/>
      <c r="AH9" s="238"/>
    </row>
    <row r="10" spans="2:34" s="211" customFormat="1" x14ac:dyDescent="0.35">
      <c r="B10" s="298" t="s">
        <v>681</v>
      </c>
      <c r="C10" s="299"/>
      <c r="D10" s="300"/>
      <c r="E10" s="300"/>
      <c r="F10" s="300"/>
      <c r="G10" s="300"/>
      <c r="H10" s="300"/>
      <c r="I10" s="301"/>
      <c r="K10" s="120"/>
      <c r="L10" s="120"/>
      <c r="N10" s="120"/>
      <c r="O10" s="120"/>
      <c r="P10" s="120"/>
      <c r="Q10" s="120"/>
      <c r="R10" s="120"/>
      <c r="S10" s="120"/>
      <c r="T10" s="120"/>
    </row>
    <row r="11" spans="2:34" s="211" customFormat="1" x14ac:dyDescent="0.35">
      <c r="B11" s="212"/>
      <c r="C11" s="120"/>
      <c r="D11" s="120"/>
      <c r="E11" s="120"/>
      <c r="F11" s="120"/>
      <c r="G11" s="120"/>
      <c r="H11" s="120"/>
      <c r="I11" s="120"/>
      <c r="N11" s="120"/>
      <c r="O11" s="120"/>
      <c r="P11" s="120"/>
      <c r="Q11" s="120"/>
      <c r="R11" s="120"/>
      <c r="S11" s="120"/>
      <c r="T11" s="120"/>
      <c r="AD11" s="238"/>
      <c r="AE11" s="238"/>
      <c r="AF11" s="238"/>
      <c r="AG11" s="238"/>
      <c r="AH11" s="238"/>
    </row>
    <row r="12" spans="2:34" s="211" customFormat="1" x14ac:dyDescent="0.35">
      <c r="B12" s="244" t="s">
        <v>699</v>
      </c>
      <c r="C12" s="239"/>
      <c r="D12" s="164"/>
      <c r="E12" s="164"/>
      <c r="F12" s="164"/>
      <c r="G12" s="164"/>
      <c r="H12" s="164"/>
      <c r="I12" s="165"/>
      <c r="N12" s="120"/>
      <c r="O12" s="120"/>
      <c r="P12" s="120"/>
      <c r="Q12" s="120"/>
      <c r="R12" s="120"/>
      <c r="S12" s="120"/>
      <c r="T12" s="120"/>
    </row>
    <row r="13" spans="2:34" s="211" customFormat="1" x14ac:dyDescent="0.35">
      <c r="B13" s="304" t="s">
        <v>700</v>
      </c>
      <c r="C13" s="662"/>
      <c r="D13" s="240">
        <f>'Resource impact'!J48</f>
        <v>35449.400329121199</v>
      </c>
      <c r="E13" s="240">
        <f>'Resource impact'!K48</f>
        <v>35449.400329121199</v>
      </c>
      <c r="F13" s="240">
        <f>'Resource impact'!M48</f>
        <v>0</v>
      </c>
      <c r="G13" s="240">
        <f>'Resource impact'!N48</f>
        <v>0</v>
      </c>
      <c r="H13" s="240">
        <f>'Resource impact'!O48</f>
        <v>0</v>
      </c>
      <c r="I13" s="240">
        <f>'Resource impact'!P48</f>
        <v>0</v>
      </c>
      <c r="N13" s="120"/>
      <c r="O13" s="120"/>
      <c r="P13" s="120"/>
      <c r="Q13" s="120"/>
      <c r="R13" s="120"/>
      <c r="S13" s="120"/>
      <c r="T13" s="120"/>
      <c r="V13" s="238"/>
      <c r="W13" s="238"/>
      <c r="X13" s="238"/>
      <c r="Y13" s="238"/>
      <c r="Z13" s="238"/>
      <c r="AA13" s="238"/>
      <c r="AC13" s="238"/>
      <c r="AD13" s="238"/>
      <c r="AE13" s="238"/>
      <c r="AF13" s="238"/>
      <c r="AG13" s="238"/>
      <c r="AH13" s="238"/>
    </row>
    <row r="14" spans="2:34" s="211" customFormat="1" x14ac:dyDescent="0.35">
      <c r="B14" s="304" t="s">
        <v>701</v>
      </c>
      <c r="C14" s="662"/>
      <c r="D14" s="240">
        <f>'Resource impact'!J50</f>
        <v>0</v>
      </c>
      <c r="E14" s="240">
        <f>'Resource impact'!K50</f>
        <v>0</v>
      </c>
      <c r="F14" s="240">
        <f>'Resource impact'!M50</f>
        <v>0</v>
      </c>
      <c r="G14" s="240">
        <f>'Resource impact'!N50</f>
        <v>0</v>
      </c>
      <c r="H14" s="240">
        <f>'Resource impact'!O50</f>
        <v>0</v>
      </c>
      <c r="I14" s="240">
        <f>'Resource impact'!P50</f>
        <v>0</v>
      </c>
      <c r="N14" s="120"/>
      <c r="O14" s="120"/>
      <c r="P14" s="120"/>
      <c r="Q14" s="120"/>
      <c r="R14" s="120"/>
      <c r="S14" s="120"/>
      <c r="T14" s="120"/>
      <c r="V14" s="238"/>
      <c r="W14" s="238"/>
      <c r="X14" s="238"/>
      <c r="Y14" s="238"/>
      <c r="Z14" s="238"/>
      <c r="AA14" s="238"/>
      <c r="AC14" s="238"/>
      <c r="AD14" s="238"/>
      <c r="AE14" s="238"/>
      <c r="AF14" s="238"/>
      <c r="AG14" s="238"/>
      <c r="AH14" s="238"/>
    </row>
    <row r="15" spans="2:34" s="211" customFormat="1" x14ac:dyDescent="0.35">
      <c r="B15" s="304" t="s">
        <v>702</v>
      </c>
      <c r="C15" s="305"/>
      <c r="D15" s="240" t="e">
        <f>'Resource impact'!#REF!</f>
        <v>#REF!</v>
      </c>
      <c r="E15" s="240" t="e">
        <f>'Resource impact'!#REF!</f>
        <v>#REF!</v>
      </c>
      <c r="F15" s="240" t="e">
        <f>'Resource impact'!#REF!</f>
        <v>#REF!</v>
      </c>
      <c r="G15" s="240" t="e">
        <f>'Resource impact'!#REF!</f>
        <v>#REF!</v>
      </c>
      <c r="H15" s="240" t="e">
        <f>'Resource impact'!#REF!</f>
        <v>#REF!</v>
      </c>
      <c r="I15" s="240" t="e">
        <f>'Resource impact'!#REF!</f>
        <v>#REF!</v>
      </c>
      <c r="N15" s="120"/>
      <c r="O15" s="120"/>
      <c r="P15" s="120"/>
      <c r="Q15" s="120"/>
      <c r="R15" s="120"/>
      <c r="S15" s="120"/>
      <c r="T15" s="120"/>
      <c r="V15" s="238"/>
      <c r="W15" s="238"/>
      <c r="X15" s="238"/>
      <c r="Y15" s="238"/>
      <c r="Z15" s="238"/>
      <c r="AA15" s="238"/>
      <c r="AC15" s="238"/>
      <c r="AD15" s="238"/>
      <c r="AE15" s="238"/>
      <c r="AF15" s="238"/>
      <c r="AG15" s="238"/>
      <c r="AH15" s="238"/>
    </row>
    <row r="16" spans="2:34" s="211" customFormat="1" x14ac:dyDescent="0.35">
      <c r="B16" s="304" t="s">
        <v>2113</v>
      </c>
      <c r="C16" s="305"/>
      <c r="D16" s="240" t="e">
        <f>'Resource impact'!#REF!</f>
        <v>#REF!</v>
      </c>
      <c r="E16" s="240" t="e">
        <f>'Resource impact'!#REF!</f>
        <v>#REF!</v>
      </c>
      <c r="F16" s="240" t="e">
        <f>'Resource impact'!#REF!</f>
        <v>#REF!</v>
      </c>
      <c r="G16" s="240" t="e">
        <f>'Resource impact'!#REF!</f>
        <v>#REF!</v>
      </c>
      <c r="H16" s="240" t="e">
        <f>'Resource impact'!#REF!</f>
        <v>#REF!</v>
      </c>
      <c r="I16" s="240" t="e">
        <f>'Resource impact'!#REF!</f>
        <v>#REF!</v>
      </c>
      <c r="N16" s="120"/>
      <c r="O16" s="120"/>
      <c r="P16" s="120"/>
      <c r="Q16" s="120"/>
      <c r="R16" s="120"/>
      <c r="S16" s="120"/>
      <c r="T16" s="120"/>
      <c r="V16" s="238"/>
      <c r="W16" s="238"/>
      <c r="X16" s="238"/>
      <c r="Y16" s="238"/>
      <c r="Z16" s="238"/>
      <c r="AA16" s="238"/>
      <c r="AC16" s="238"/>
      <c r="AD16" s="238"/>
      <c r="AE16" s="238"/>
      <c r="AF16" s="238"/>
      <c r="AG16" s="238"/>
      <c r="AH16" s="238"/>
    </row>
    <row r="17" spans="2:34" s="211" customFormat="1" x14ac:dyDescent="0.35">
      <c r="B17" s="304" t="s">
        <v>2114</v>
      </c>
      <c r="C17" s="305"/>
      <c r="D17" s="240" t="e">
        <f>'Resource impact'!#REF!</f>
        <v>#REF!</v>
      </c>
      <c r="E17" s="240" t="e">
        <f>'Resource impact'!#REF!</f>
        <v>#REF!</v>
      </c>
      <c r="F17" s="240" t="e">
        <f>'Resource impact'!#REF!</f>
        <v>#REF!</v>
      </c>
      <c r="G17" s="240" t="e">
        <f>'Resource impact'!#REF!</f>
        <v>#REF!</v>
      </c>
      <c r="H17" s="240" t="e">
        <f>'Resource impact'!#REF!</f>
        <v>#REF!</v>
      </c>
      <c r="I17" s="240" t="e">
        <f>'Resource impact'!#REF!</f>
        <v>#REF!</v>
      </c>
      <c r="N17" s="120"/>
      <c r="O17" s="120"/>
      <c r="P17" s="120"/>
      <c r="Q17" s="120"/>
      <c r="R17" s="120"/>
      <c r="S17" s="120"/>
      <c r="T17" s="120"/>
      <c r="V17" s="238"/>
      <c r="W17" s="238"/>
      <c r="X17" s="238"/>
      <c r="Y17" s="238"/>
      <c r="Z17" s="238"/>
      <c r="AA17" s="238"/>
      <c r="AC17" s="238"/>
      <c r="AD17" s="238"/>
      <c r="AE17" s="238"/>
      <c r="AF17" s="238"/>
      <c r="AG17" s="238"/>
      <c r="AH17" s="238"/>
    </row>
    <row r="18" spans="2:34" s="211" customFormat="1" x14ac:dyDescent="0.35">
      <c r="B18" s="304" t="s">
        <v>2137</v>
      </c>
      <c r="C18" s="305"/>
      <c r="D18" s="240" t="e">
        <f>'Resource impact'!#REF!</f>
        <v>#REF!</v>
      </c>
      <c r="E18" s="240" t="e">
        <f>'Resource impact'!#REF!</f>
        <v>#REF!</v>
      </c>
      <c r="F18" s="240" t="e">
        <f>'Resource impact'!#REF!</f>
        <v>#REF!</v>
      </c>
      <c r="G18" s="240" t="e">
        <f>'Resource impact'!#REF!</f>
        <v>#REF!</v>
      </c>
      <c r="H18" s="240" t="e">
        <f>'Resource impact'!#REF!</f>
        <v>#REF!</v>
      </c>
      <c r="I18" s="240" t="e">
        <f>'Resource impact'!#REF!</f>
        <v>#REF!</v>
      </c>
      <c r="N18" s="120"/>
      <c r="O18" s="120"/>
      <c r="P18" s="120"/>
      <c r="Q18" s="120"/>
      <c r="R18" s="120"/>
      <c r="S18" s="120"/>
      <c r="T18" s="120"/>
      <c r="V18" s="238"/>
      <c r="W18" s="238"/>
      <c r="X18" s="238"/>
      <c r="Y18" s="238"/>
      <c r="Z18" s="238"/>
      <c r="AA18" s="238"/>
      <c r="AC18" s="238"/>
      <c r="AD18" s="238"/>
      <c r="AE18" s="238"/>
      <c r="AF18" s="238"/>
      <c r="AG18" s="238"/>
      <c r="AH18" s="238"/>
    </row>
    <row r="19" spans="2:34" s="211" customFormat="1" x14ac:dyDescent="0.35">
      <c r="B19" s="304" t="s">
        <v>2138</v>
      </c>
      <c r="C19" s="305"/>
      <c r="D19" s="240" t="e">
        <f>'Resource impact'!#REF!</f>
        <v>#REF!</v>
      </c>
      <c r="E19" s="240" t="e">
        <f>'Resource impact'!#REF!</f>
        <v>#REF!</v>
      </c>
      <c r="F19" s="240" t="e">
        <f>'Resource impact'!#REF!</f>
        <v>#REF!</v>
      </c>
      <c r="G19" s="240" t="e">
        <f>'Resource impact'!#REF!</f>
        <v>#REF!</v>
      </c>
      <c r="H19" s="240" t="e">
        <f>'Resource impact'!#REF!</f>
        <v>#REF!</v>
      </c>
      <c r="I19" s="240" t="e">
        <f>'Resource impact'!#REF!</f>
        <v>#REF!</v>
      </c>
      <c r="N19" s="120"/>
      <c r="O19" s="120"/>
      <c r="P19" s="120"/>
      <c r="Q19" s="120"/>
      <c r="R19" s="120"/>
      <c r="S19" s="120"/>
      <c r="T19" s="120"/>
      <c r="V19" s="238"/>
      <c r="W19" s="238"/>
      <c r="X19" s="238"/>
      <c r="Y19" s="238"/>
      <c r="Z19" s="238"/>
      <c r="AA19" s="238"/>
      <c r="AC19" s="238"/>
      <c r="AD19" s="238"/>
      <c r="AE19" s="238"/>
      <c r="AF19" s="238"/>
      <c r="AG19" s="238"/>
      <c r="AH19" s="238"/>
    </row>
    <row r="20" spans="2:34" s="211" customFormat="1" x14ac:dyDescent="0.35">
      <c r="B20" s="245"/>
      <c r="C20" s="166"/>
      <c r="D20" s="167" t="e">
        <f>SUM(D13:D19)</f>
        <v>#REF!</v>
      </c>
      <c r="E20" s="167" t="e">
        <f t="shared" ref="E20:I20" si="0">SUM(E13:E19)</f>
        <v>#REF!</v>
      </c>
      <c r="F20" s="167" t="e">
        <f t="shared" si="0"/>
        <v>#REF!</v>
      </c>
      <c r="G20" s="167" t="e">
        <f t="shared" si="0"/>
        <v>#REF!</v>
      </c>
      <c r="H20" s="167" t="e">
        <f t="shared" si="0"/>
        <v>#REF!</v>
      </c>
      <c r="I20" s="167" t="e">
        <f t="shared" si="0"/>
        <v>#REF!</v>
      </c>
      <c r="N20" s="120"/>
      <c r="O20" s="120"/>
      <c r="P20" s="120"/>
      <c r="Q20" s="120"/>
      <c r="R20" s="120"/>
      <c r="S20" s="120"/>
      <c r="T20" s="120"/>
      <c r="V20" s="238"/>
      <c r="W20" s="238"/>
      <c r="X20" s="238"/>
      <c r="Y20" s="238"/>
      <c r="Z20" s="238"/>
      <c r="AA20" s="238"/>
      <c r="AC20" s="238"/>
      <c r="AD20" s="238"/>
      <c r="AE20" s="238"/>
      <c r="AF20" s="238"/>
      <c r="AG20" s="238"/>
      <c r="AH20" s="238"/>
    </row>
    <row r="21" spans="2:34" s="211" customFormat="1" x14ac:dyDescent="0.35">
      <c r="B21" s="246"/>
      <c r="C21" s="120"/>
      <c r="D21" s="120"/>
      <c r="E21" s="120"/>
      <c r="F21" s="120"/>
      <c r="G21" s="120"/>
      <c r="H21" s="120"/>
      <c r="I21" s="120"/>
      <c r="N21" s="120"/>
      <c r="O21" s="120"/>
      <c r="P21" s="120"/>
      <c r="Q21" s="120"/>
      <c r="R21" s="120"/>
      <c r="S21" s="120"/>
      <c r="T21" s="120"/>
      <c r="AD21" s="238"/>
      <c r="AE21" s="238"/>
      <c r="AF21" s="238"/>
      <c r="AG21" s="238"/>
      <c r="AH21" s="238"/>
    </row>
    <row r="22" spans="2:34" s="211" customFormat="1" x14ac:dyDescent="0.35">
      <c r="B22" s="247" t="s">
        <v>703</v>
      </c>
      <c r="C22" s="241" t="s">
        <v>704</v>
      </c>
      <c r="D22" s="521" t="s">
        <v>682</v>
      </c>
      <c r="E22" s="521" t="s">
        <v>682</v>
      </c>
      <c r="F22" s="521" t="s">
        <v>682</v>
      </c>
      <c r="G22" s="521" t="s">
        <v>682</v>
      </c>
      <c r="H22" s="521" t="s">
        <v>682</v>
      </c>
      <c r="I22" s="521" t="s">
        <v>682</v>
      </c>
      <c r="N22" s="120"/>
      <c r="O22" s="120"/>
      <c r="P22" s="120"/>
      <c r="Q22" s="120"/>
      <c r="R22" s="120"/>
      <c r="S22" s="120"/>
      <c r="T22" s="120"/>
      <c r="AD22" s="238"/>
      <c r="AE22" s="238"/>
      <c r="AF22" s="238"/>
      <c r="AG22" s="238"/>
      <c r="AH22" s="238"/>
    </row>
    <row r="23" spans="2:34" s="211" customFormat="1" x14ac:dyDescent="0.35">
      <c r="B23" s="303" t="str">
        <f>B13</f>
        <v>Treatment option A &lt;name&gt;</v>
      </c>
      <c r="C23" s="242" t="e">
        <f>'Unit costs'!#REF!</f>
        <v>#REF!</v>
      </c>
      <c r="D23" s="242" t="e">
        <f t="shared" ref="D23:I25" si="1">D13*$C23/1000</f>
        <v>#REF!</v>
      </c>
      <c r="E23" s="242" t="e">
        <f t="shared" si="1"/>
        <v>#REF!</v>
      </c>
      <c r="F23" s="242" t="e">
        <f t="shared" si="1"/>
        <v>#REF!</v>
      </c>
      <c r="G23" s="242" t="e">
        <f t="shared" si="1"/>
        <v>#REF!</v>
      </c>
      <c r="H23" s="242" t="e">
        <f t="shared" si="1"/>
        <v>#REF!</v>
      </c>
      <c r="I23" s="242" t="e">
        <f t="shared" si="1"/>
        <v>#REF!</v>
      </c>
      <c r="N23" s="120"/>
      <c r="O23" s="120"/>
      <c r="P23" s="120"/>
      <c r="Q23" s="120"/>
      <c r="R23" s="120"/>
      <c r="S23" s="120"/>
      <c r="T23" s="120"/>
      <c r="AD23" s="238"/>
      <c r="AE23" s="238"/>
      <c r="AF23" s="238"/>
      <c r="AG23" s="238"/>
      <c r="AH23" s="238"/>
    </row>
    <row r="24" spans="2:34" s="211" customFormat="1" x14ac:dyDescent="0.35">
      <c r="B24" s="303" t="str">
        <f t="shared" ref="B24:B29" si="2">B14</f>
        <v>Treatment option B &lt;name&gt;</v>
      </c>
      <c r="C24" s="242" t="e">
        <f>'Unit costs'!#REF!</f>
        <v>#REF!</v>
      </c>
      <c r="D24" s="242" t="e">
        <f t="shared" si="1"/>
        <v>#REF!</v>
      </c>
      <c r="E24" s="242" t="e">
        <f t="shared" si="1"/>
        <v>#REF!</v>
      </c>
      <c r="F24" s="242" t="e">
        <f t="shared" si="1"/>
        <v>#REF!</v>
      </c>
      <c r="G24" s="242" t="e">
        <f t="shared" si="1"/>
        <v>#REF!</v>
      </c>
      <c r="H24" s="242" t="e">
        <f t="shared" si="1"/>
        <v>#REF!</v>
      </c>
      <c r="I24" s="242" t="e">
        <f t="shared" si="1"/>
        <v>#REF!</v>
      </c>
      <c r="N24" s="120"/>
      <c r="O24" s="120"/>
      <c r="P24" s="120"/>
      <c r="Q24" s="120"/>
      <c r="R24" s="120"/>
      <c r="S24" s="120"/>
      <c r="T24" s="120"/>
      <c r="AD24" s="238"/>
      <c r="AE24" s="238"/>
      <c r="AF24" s="238"/>
      <c r="AG24" s="238"/>
      <c r="AH24" s="238"/>
    </row>
    <row r="25" spans="2:34" s="211" customFormat="1" x14ac:dyDescent="0.35">
      <c r="B25" s="303" t="str">
        <f t="shared" si="2"/>
        <v>Treatment option C &lt;name&gt;</v>
      </c>
      <c r="C25" s="242" t="e">
        <f>'Unit costs'!#REF!</f>
        <v>#REF!</v>
      </c>
      <c r="D25" s="242" t="e">
        <f t="shared" si="1"/>
        <v>#REF!</v>
      </c>
      <c r="E25" s="242" t="e">
        <f t="shared" si="1"/>
        <v>#REF!</v>
      </c>
      <c r="F25" s="242" t="e">
        <f t="shared" si="1"/>
        <v>#REF!</v>
      </c>
      <c r="G25" s="242" t="e">
        <f t="shared" si="1"/>
        <v>#REF!</v>
      </c>
      <c r="H25" s="242" t="e">
        <f t="shared" si="1"/>
        <v>#REF!</v>
      </c>
      <c r="I25" s="242" t="e">
        <f t="shared" si="1"/>
        <v>#REF!</v>
      </c>
      <c r="N25" s="120"/>
      <c r="O25" s="120"/>
      <c r="P25" s="120"/>
      <c r="Q25" s="120"/>
      <c r="R25" s="120"/>
      <c r="S25" s="120"/>
      <c r="T25" s="120"/>
      <c r="AD25" s="238"/>
      <c r="AE25" s="238"/>
      <c r="AF25" s="238"/>
      <c r="AG25" s="238"/>
      <c r="AH25" s="238"/>
    </row>
    <row r="26" spans="2:34" s="211" customFormat="1" x14ac:dyDescent="0.35">
      <c r="B26" s="303" t="str">
        <f t="shared" si="2"/>
        <v>Treatment option D &lt;name&gt;</v>
      </c>
      <c r="C26" s="242">
        <f>'Unit costs'!R15</f>
        <v>0</v>
      </c>
      <c r="D26" s="242" t="e">
        <f>D16*$C26/1000</f>
        <v>#REF!</v>
      </c>
      <c r="E26" s="242" t="e">
        <f t="shared" ref="E26:I26" si="3">E16*$C26/1000</f>
        <v>#REF!</v>
      </c>
      <c r="F26" s="242" t="e">
        <f t="shared" si="3"/>
        <v>#REF!</v>
      </c>
      <c r="G26" s="242" t="e">
        <f t="shared" si="3"/>
        <v>#REF!</v>
      </c>
      <c r="H26" s="242" t="e">
        <f t="shared" si="3"/>
        <v>#REF!</v>
      </c>
      <c r="I26" s="242" t="e">
        <f t="shared" si="3"/>
        <v>#REF!</v>
      </c>
      <c r="N26" s="120"/>
      <c r="O26" s="120"/>
      <c r="P26" s="120"/>
      <c r="Q26" s="120"/>
      <c r="R26" s="120"/>
      <c r="S26" s="120"/>
      <c r="T26" s="120"/>
      <c r="AD26" s="238"/>
      <c r="AE26" s="238"/>
      <c r="AF26" s="238"/>
      <c r="AG26" s="238"/>
      <c r="AH26" s="238"/>
    </row>
    <row r="27" spans="2:34" s="211" customFormat="1" x14ac:dyDescent="0.35">
      <c r="B27" s="303" t="str">
        <f t="shared" si="2"/>
        <v>Treatment option E &lt;name&gt;</v>
      </c>
      <c r="C27" s="242">
        <f>'Unit costs'!R28</f>
        <v>0</v>
      </c>
      <c r="D27" s="242" t="e">
        <f t="shared" ref="D27:I29" si="4">D17*$C27/1000</f>
        <v>#REF!</v>
      </c>
      <c r="E27" s="242" t="e">
        <f t="shared" si="4"/>
        <v>#REF!</v>
      </c>
      <c r="F27" s="242" t="e">
        <f t="shared" si="4"/>
        <v>#REF!</v>
      </c>
      <c r="G27" s="242" t="e">
        <f t="shared" si="4"/>
        <v>#REF!</v>
      </c>
      <c r="H27" s="242" t="e">
        <f t="shared" si="4"/>
        <v>#REF!</v>
      </c>
      <c r="I27" s="242" t="e">
        <f t="shared" si="4"/>
        <v>#REF!</v>
      </c>
      <c r="N27" s="120"/>
      <c r="O27" s="120"/>
      <c r="P27" s="120"/>
      <c r="Q27" s="120"/>
      <c r="R27" s="120"/>
      <c r="S27" s="120"/>
      <c r="T27" s="120"/>
      <c r="AD27" s="238"/>
      <c r="AE27" s="238"/>
      <c r="AF27" s="238"/>
      <c r="AG27" s="238"/>
      <c r="AH27" s="238"/>
    </row>
    <row r="28" spans="2:34" s="211" customFormat="1" x14ac:dyDescent="0.35">
      <c r="B28" s="303" t="str">
        <f t="shared" si="2"/>
        <v>Treatment option F &lt;name&gt;</v>
      </c>
      <c r="C28" s="242">
        <f>'Unit costs'!R47</f>
        <v>0</v>
      </c>
      <c r="D28" s="242" t="e">
        <f t="shared" si="4"/>
        <v>#REF!</v>
      </c>
      <c r="E28" s="242" t="e">
        <f t="shared" si="4"/>
        <v>#REF!</v>
      </c>
      <c r="F28" s="242" t="e">
        <f t="shared" si="4"/>
        <v>#REF!</v>
      </c>
      <c r="G28" s="242" t="e">
        <f t="shared" si="4"/>
        <v>#REF!</v>
      </c>
      <c r="H28" s="242" t="e">
        <f t="shared" si="4"/>
        <v>#REF!</v>
      </c>
      <c r="I28" s="242" t="e">
        <f t="shared" si="4"/>
        <v>#REF!</v>
      </c>
      <c r="N28" s="120"/>
      <c r="O28" s="120"/>
      <c r="P28" s="120"/>
      <c r="Q28" s="120"/>
      <c r="R28" s="120"/>
      <c r="S28" s="120"/>
      <c r="T28" s="120"/>
      <c r="AD28" s="238"/>
      <c r="AE28" s="238"/>
      <c r="AF28" s="238"/>
      <c r="AG28" s="238"/>
      <c r="AH28" s="238"/>
    </row>
    <row r="29" spans="2:34" s="211" customFormat="1" x14ac:dyDescent="0.35">
      <c r="B29" s="303" t="str">
        <f t="shared" si="2"/>
        <v>Treatment option G &lt;name&gt;</v>
      </c>
      <c r="C29" s="242">
        <f>'Unit costs'!R66</f>
        <v>0</v>
      </c>
      <c r="D29" s="242" t="e">
        <f t="shared" si="4"/>
        <v>#REF!</v>
      </c>
      <c r="E29" s="242" t="e">
        <f t="shared" si="4"/>
        <v>#REF!</v>
      </c>
      <c r="F29" s="242" t="e">
        <f t="shared" si="4"/>
        <v>#REF!</v>
      </c>
      <c r="G29" s="242" t="e">
        <f t="shared" si="4"/>
        <v>#REF!</v>
      </c>
      <c r="H29" s="242" t="e">
        <f t="shared" si="4"/>
        <v>#REF!</v>
      </c>
      <c r="I29" s="242" t="e">
        <f t="shared" si="4"/>
        <v>#REF!</v>
      </c>
      <c r="N29" s="120"/>
      <c r="O29" s="120"/>
      <c r="P29" s="120"/>
      <c r="Q29" s="120"/>
      <c r="R29" s="120"/>
      <c r="S29" s="120"/>
      <c r="T29" s="120"/>
      <c r="AD29" s="238"/>
      <c r="AE29" s="238"/>
      <c r="AF29" s="238"/>
      <c r="AG29" s="238"/>
      <c r="AH29" s="238"/>
    </row>
    <row r="30" spans="2:34" s="211" customFormat="1" x14ac:dyDescent="0.35">
      <c r="B30" s="245" t="s">
        <v>705</v>
      </c>
      <c r="C30" s="515"/>
      <c r="D30" s="168" t="e">
        <f>SUM(D23:D29)</f>
        <v>#REF!</v>
      </c>
      <c r="E30" s="168" t="e">
        <f t="shared" ref="E30:I30" si="5">SUM(E23:E29)</f>
        <v>#REF!</v>
      </c>
      <c r="F30" s="168" t="e">
        <f t="shared" si="5"/>
        <v>#REF!</v>
      </c>
      <c r="G30" s="168" t="e">
        <f t="shared" si="5"/>
        <v>#REF!</v>
      </c>
      <c r="H30" s="168" t="e">
        <f t="shared" si="5"/>
        <v>#REF!</v>
      </c>
      <c r="I30" s="168" t="e">
        <f t="shared" si="5"/>
        <v>#REF!</v>
      </c>
      <c r="J30" s="309"/>
      <c r="N30" s="120"/>
      <c r="O30" s="120"/>
      <c r="P30" s="120"/>
      <c r="Q30" s="120"/>
      <c r="R30" s="120"/>
      <c r="S30" s="120"/>
      <c r="T30" s="120"/>
      <c r="AD30" s="238"/>
      <c r="AE30" s="238"/>
      <c r="AF30" s="238"/>
      <c r="AG30" s="238"/>
      <c r="AH30" s="238"/>
    </row>
    <row r="31" spans="2:34" s="211" customFormat="1" x14ac:dyDescent="0.35">
      <c r="B31" s="246"/>
      <c r="C31" s="120"/>
      <c r="D31" s="120"/>
      <c r="E31" s="120"/>
      <c r="F31" s="120"/>
      <c r="G31" s="120"/>
      <c r="H31" s="120"/>
      <c r="I31" s="120"/>
      <c r="N31" s="120"/>
      <c r="O31" s="120"/>
      <c r="P31" s="120"/>
      <c r="Q31" s="120"/>
      <c r="R31" s="120"/>
      <c r="S31" s="120"/>
      <c r="T31" s="120"/>
      <c r="AD31" s="238"/>
      <c r="AE31" s="238"/>
      <c r="AF31" s="238"/>
      <c r="AG31" s="238"/>
      <c r="AH31" s="238"/>
    </row>
    <row r="32" spans="2:34" s="211" customFormat="1" x14ac:dyDescent="0.35">
      <c r="B32" s="325"/>
      <c r="C32" s="243"/>
      <c r="D32" s="308" t="s">
        <v>684</v>
      </c>
      <c r="E32" s="168" t="e">
        <f>E30-$D$30</f>
        <v>#REF!</v>
      </c>
      <c r="F32" s="168" t="e">
        <f t="shared" ref="F32:I32" si="6">F30-$D$30</f>
        <v>#REF!</v>
      </c>
      <c r="G32" s="168" t="e">
        <f t="shared" si="6"/>
        <v>#REF!</v>
      </c>
      <c r="H32" s="168" t="e">
        <f t="shared" si="6"/>
        <v>#REF!</v>
      </c>
      <c r="I32" s="168" t="e">
        <f t="shared" si="6"/>
        <v>#REF!</v>
      </c>
      <c r="N32" s="120"/>
      <c r="O32" s="120"/>
      <c r="P32" s="120"/>
      <c r="Q32" s="120"/>
      <c r="R32" s="120"/>
      <c r="S32" s="120"/>
      <c r="T32" s="120"/>
      <c r="AD32" s="238"/>
      <c r="AE32" s="238"/>
      <c r="AF32" s="238"/>
      <c r="AG32" s="238"/>
      <c r="AH32" s="238"/>
    </row>
    <row r="33" spans="2:34" s="211" customFormat="1" x14ac:dyDescent="0.35">
      <c r="B33" s="325"/>
      <c r="C33" s="243"/>
      <c r="D33" s="249" t="s">
        <v>706</v>
      </c>
      <c r="E33" s="168" t="e">
        <f>E32</f>
        <v>#REF!</v>
      </c>
      <c r="F33" s="169" t="e">
        <f>F32-E32</f>
        <v>#REF!</v>
      </c>
      <c r="G33" s="169" t="e">
        <f t="shared" ref="G33:I33" si="7">G32-F32</f>
        <v>#REF!</v>
      </c>
      <c r="H33" s="169" t="e">
        <f t="shared" si="7"/>
        <v>#REF!</v>
      </c>
      <c r="I33" s="169" t="e">
        <f t="shared" si="7"/>
        <v>#REF!</v>
      </c>
      <c r="J33" s="120"/>
      <c r="K33" s="120"/>
      <c r="L33" s="120"/>
      <c r="M33" s="120"/>
      <c r="N33" s="120"/>
      <c r="O33" s="120"/>
      <c r="P33" s="120"/>
      <c r="Q33" s="120"/>
      <c r="R33" s="120"/>
      <c r="S33" s="120"/>
      <c r="T33" s="120"/>
      <c r="AD33" s="238"/>
      <c r="AE33" s="238"/>
      <c r="AF33" s="238"/>
      <c r="AG33" s="238"/>
      <c r="AH33" s="238"/>
    </row>
    <row r="35" spans="2:34" x14ac:dyDescent="0.35">
      <c r="J35" s="211"/>
      <c r="K35" s="211"/>
    </row>
    <row r="36" spans="2:34" x14ac:dyDescent="0.35">
      <c r="J36" s="211"/>
      <c r="K36" s="211"/>
    </row>
    <row r="37" spans="2:34" x14ac:dyDescent="0.35">
      <c r="J37" s="211"/>
      <c r="K37" s="211"/>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DBC821E-35FE-417C-B6D6-36F511E19D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schemas.microsoft.com/office/2006/documentManagement/types"/>
    <ds:schemaRef ds:uri="http://schemas.microsoft.com/office/2006/metadata/properties"/>
    <ds:schemaRef ds:uri="http://purl.org/dc/elements/1.1/"/>
    <ds:schemaRef ds:uri="http://purl.org/dc/terms/"/>
    <ds:schemaRef ds:uri="acaf4567-dc07-471f-892c-2bcb86ef35ae"/>
    <ds:schemaRef ds:uri="c1f338ac-e338-414f-952c-f74dcc6d59e1"/>
    <ds:schemaRef ds:uri="http://www.w3.org/XML/1998/namespace"/>
    <ds:schemaRef ds:uri="http://schemas.microsoft.com/office/infopath/2007/PartnerControls"/>
    <ds:schemaRef ds:uri="http://schemas.openxmlformats.org/package/2006/metadata/core-properties"/>
    <ds:schemaRef ds:uri="0eb656aa-4e79-4e95-9076-bc119a23e0c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Population selection</vt:lpstr>
      <vt:lpstr>Cover</vt:lpstr>
      <vt:lpstr>Contents</vt:lpstr>
      <vt:lpstr>Resource impact</vt:lpstr>
      <vt:lpstr>Capacity inputs</vt:lpstr>
      <vt:lpstr>Events</vt:lpstr>
      <vt:lpstr>Unit costs</vt:lpstr>
      <vt:lpstr>Summary</vt:lpstr>
      <vt:lpstr>Financial impact (cash)</vt:lpstr>
      <vt:lpstr>Capacity (local prices)</vt:lpstr>
      <vt:lpstr>Capacity (national prices)</vt:lpstr>
      <vt:lpstr>payscales</vt:lpstr>
      <vt:lpstr>Cover!_Hlk211860379</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'Population selection'!Print_Area</vt:lpstr>
      <vt:lpstr>'Resource impact'!Print_Area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HTE35 Digital platforms to support cardiac rehabilitation: early value assessment: resource impact template 04/12/2025</dc:title>
  <dc:subject/>
  <dc:creator/>
  <cp:keywords/>
  <dc:description/>
  <cp:lastModifiedBy/>
  <cp:revision/>
  <dcterms:created xsi:type="dcterms:W3CDTF">2022-07-27T12:38:28Z</dcterms:created>
  <dcterms:modified xsi:type="dcterms:W3CDTF">2025-12-03T16:47:51Z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