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4EA996D1-9B73-42EF-9402-E1695DE18C14}" xr6:coauthVersionLast="47" xr6:coauthVersionMax="47" xr10:uidLastSave="{00000000-0000-0000-0000-000000000000}"/>
  <bookViews>
    <workbookView xWindow="-108" yWindow="-108" windowWidth="23256" windowHeight="12456"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input'!$A$1:$L$107</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time'!$A$1:$W$121</definedName>
    <definedName name="_xlnm.Print_Area" localSheetId="5">'Resource impact template'!$A$1:$I$101</definedName>
    <definedName name="_xlnm.Print_Area" localSheetId="4">'Unit costs'!$A$1:$I$42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8" i="32" l="1"/>
  <c r="G168" i="32"/>
  <c r="F168" i="32" s="1"/>
  <c r="H168" i="32"/>
  <c r="I168" i="32"/>
  <c r="D168" i="32" s="1"/>
  <c r="J168" i="32"/>
  <c r="E168" i="32" s="1"/>
  <c r="K168" i="32"/>
  <c r="L168" i="32"/>
  <c r="C169" i="32"/>
  <c r="E169" i="32"/>
  <c r="G169" i="32"/>
  <c r="F169" i="32" s="1"/>
  <c r="H169" i="32"/>
  <c r="I169" i="32"/>
  <c r="D169" i="32" s="1"/>
  <c r="J169" i="32"/>
  <c r="K169" i="32"/>
  <c r="L169" i="32"/>
  <c r="C170" i="32"/>
  <c r="E170" i="32"/>
  <c r="F170" i="32"/>
  <c r="G170" i="32"/>
  <c r="H170" i="32"/>
  <c r="I170" i="32"/>
  <c r="D170" i="32" s="1"/>
  <c r="J170" i="32"/>
  <c r="K170" i="32"/>
  <c r="L170" i="32"/>
  <c r="C171" i="32"/>
  <c r="D171" i="32"/>
  <c r="E171" i="32"/>
  <c r="G171" i="32"/>
  <c r="F171" i="32" s="1"/>
  <c r="H171" i="32"/>
  <c r="I171" i="32"/>
  <c r="J171" i="32"/>
  <c r="K171" i="32"/>
  <c r="L171" i="32"/>
  <c r="C172" i="32"/>
  <c r="G172" i="32"/>
  <c r="F172" i="32" s="1"/>
  <c r="H172" i="32"/>
  <c r="I172" i="32"/>
  <c r="D172" i="32" s="1"/>
  <c r="J172" i="32"/>
  <c r="E172" i="32" s="1"/>
  <c r="K172" i="32"/>
  <c r="L172" i="32"/>
  <c r="C173" i="32"/>
  <c r="E173" i="32"/>
  <c r="G173" i="32"/>
  <c r="F173" i="32" s="1"/>
  <c r="H173" i="32"/>
  <c r="I173" i="32"/>
  <c r="D173" i="32" s="1"/>
  <c r="J173" i="32"/>
  <c r="K173" i="32"/>
  <c r="L173" i="32"/>
  <c r="C174" i="32"/>
  <c r="E174" i="32"/>
  <c r="F174" i="32"/>
  <c r="G174" i="32"/>
  <c r="H174" i="32"/>
  <c r="I174" i="32"/>
  <c r="D174" i="32" s="1"/>
  <c r="J174" i="32"/>
  <c r="K174" i="32"/>
  <c r="L174" i="32"/>
  <c r="C175" i="32"/>
  <c r="D175" i="32"/>
  <c r="E175" i="32"/>
  <c r="G175" i="32"/>
  <c r="F175" i="32" s="1"/>
  <c r="H175" i="32"/>
  <c r="I175" i="32"/>
  <c r="J175" i="32"/>
  <c r="K175" i="32"/>
  <c r="L175" i="32"/>
  <c r="C176" i="32"/>
  <c r="G176" i="32"/>
  <c r="F176" i="32" s="1"/>
  <c r="H176" i="32"/>
  <c r="I176" i="32"/>
  <c r="D176" i="32" s="1"/>
  <c r="J176" i="32"/>
  <c r="E176" i="32" s="1"/>
  <c r="K176" i="32"/>
  <c r="L176" i="32"/>
  <c r="C177" i="32"/>
  <c r="E177" i="32"/>
  <c r="G177" i="32"/>
  <c r="F177" i="32" s="1"/>
  <c r="H177" i="32"/>
  <c r="I177" i="32"/>
  <c r="D177" i="32" s="1"/>
  <c r="J177" i="32"/>
  <c r="K177" i="32"/>
  <c r="L177" i="32"/>
  <c r="C178" i="32"/>
  <c r="E178" i="32"/>
  <c r="F178" i="32"/>
  <c r="G178" i="32"/>
  <c r="H178" i="32"/>
  <c r="I178" i="32"/>
  <c r="D178" i="32" s="1"/>
  <c r="J178" i="32"/>
  <c r="K178" i="32"/>
  <c r="L178" i="32"/>
  <c r="C179" i="32"/>
  <c r="D179" i="32"/>
  <c r="E179" i="32"/>
  <c r="G179" i="32"/>
  <c r="F179" i="32" s="1"/>
  <c r="H179" i="32"/>
  <c r="I179" i="32"/>
  <c r="J179" i="32"/>
  <c r="K179" i="32"/>
  <c r="L179" i="32"/>
  <c r="C180" i="32"/>
  <c r="G180" i="32"/>
  <c r="F180" i="32" s="1"/>
  <c r="H180" i="32"/>
  <c r="I180" i="32"/>
  <c r="D180" i="32" s="1"/>
  <c r="J180" i="32"/>
  <c r="E180" i="32" s="1"/>
  <c r="K180" i="32"/>
  <c r="L180" i="32"/>
  <c r="C181" i="32"/>
  <c r="E181" i="32"/>
  <c r="G181" i="32"/>
  <c r="F181" i="32" s="1"/>
  <c r="H181" i="32"/>
  <c r="I181" i="32"/>
  <c r="D181" i="32" s="1"/>
  <c r="J181" i="32"/>
  <c r="K181" i="32"/>
  <c r="L181" i="32"/>
  <c r="C182" i="32"/>
  <c r="E182" i="32"/>
  <c r="F182" i="32"/>
  <c r="G182" i="32"/>
  <c r="H182" i="32"/>
  <c r="I182" i="32"/>
  <c r="D182" i="32" s="1"/>
  <c r="J182" i="32"/>
  <c r="K182" i="32"/>
  <c r="L182" i="32"/>
  <c r="C183" i="32"/>
  <c r="D183" i="32"/>
  <c r="E183" i="32"/>
  <c r="G183" i="32"/>
  <c r="F183" i="32" s="1"/>
  <c r="H183" i="32"/>
  <c r="I183" i="32"/>
  <c r="J183" i="32"/>
  <c r="K183" i="32"/>
  <c r="L183" i="32"/>
  <c r="C184" i="32"/>
  <c r="G184" i="32"/>
  <c r="F184" i="32" s="1"/>
  <c r="H184" i="32"/>
  <c r="I184" i="32"/>
  <c r="D184" i="32" s="1"/>
  <c r="J184" i="32"/>
  <c r="E184" i="32" s="1"/>
  <c r="K184" i="32"/>
  <c r="L184" i="32"/>
  <c r="C185" i="32"/>
  <c r="E185" i="32"/>
  <c r="G185" i="32"/>
  <c r="F185" i="32" s="1"/>
  <c r="H185" i="32"/>
  <c r="I185" i="32"/>
  <c r="D185" i="32" s="1"/>
  <c r="J185" i="32"/>
  <c r="K185" i="32"/>
  <c r="L185" i="32"/>
  <c r="C186" i="32"/>
  <c r="E186" i="32"/>
  <c r="F186" i="32"/>
  <c r="G186" i="32"/>
  <c r="H186" i="32"/>
  <c r="I186" i="32"/>
  <c r="D186" i="32" s="1"/>
  <c r="J186" i="32"/>
  <c r="K186" i="32"/>
  <c r="L186" i="32"/>
  <c r="C187" i="32"/>
  <c r="D187" i="32"/>
  <c r="E187" i="32"/>
  <c r="G187" i="32"/>
  <c r="F187" i="32" s="1"/>
  <c r="H187" i="32"/>
  <c r="I187" i="32"/>
  <c r="J187" i="32"/>
  <c r="K187" i="32"/>
  <c r="L187" i="32"/>
  <c r="C188" i="32"/>
  <c r="G188" i="32"/>
  <c r="F188" i="32" s="1"/>
  <c r="H188" i="32"/>
  <c r="I188" i="32"/>
  <c r="D188" i="32" s="1"/>
  <c r="J188" i="32"/>
  <c r="E188" i="32" s="1"/>
  <c r="K188" i="32"/>
  <c r="L188" i="32"/>
  <c r="C189" i="32"/>
  <c r="E189" i="32"/>
  <c r="G189" i="32"/>
  <c r="F189" i="32" s="1"/>
  <c r="H189" i="32"/>
  <c r="I189" i="32"/>
  <c r="D189" i="32" s="1"/>
  <c r="J189" i="32"/>
  <c r="K189" i="32"/>
  <c r="L189" i="32"/>
  <c r="C190" i="32"/>
  <c r="E190" i="32"/>
  <c r="F190" i="32"/>
  <c r="G190" i="32"/>
  <c r="H190" i="32"/>
  <c r="I190" i="32"/>
  <c r="D190" i="32" s="1"/>
  <c r="J190" i="32"/>
  <c r="K190" i="32"/>
  <c r="L190" i="32"/>
  <c r="C191" i="32"/>
  <c r="D191" i="32"/>
  <c r="E191" i="32"/>
  <c r="G191" i="32"/>
  <c r="F191" i="32" s="1"/>
  <c r="H191" i="32"/>
  <c r="I191" i="32"/>
  <c r="J191" i="32"/>
  <c r="K191" i="32"/>
  <c r="L191" i="32"/>
  <c r="N32" i="32"/>
  <c r="O32" i="32"/>
  <c r="P32" i="32"/>
  <c r="Q32" i="32"/>
  <c r="R32" i="32"/>
  <c r="S32" i="32"/>
  <c r="T32" i="32"/>
  <c r="G32" i="32" s="1"/>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I32" i="32" s="1"/>
  <c r="D32" i="32" s="1"/>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L32" i="32" s="1"/>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K33" i="32" s="1"/>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I33" i="32" s="1"/>
  <c r="D33" i="32" s="1"/>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L33" i="32" s="1"/>
  <c r="DH33" i="32"/>
  <c r="DI33" i="32"/>
  <c r="DJ33" i="32"/>
  <c r="DK33" i="32"/>
  <c r="DL33" i="32"/>
  <c r="DM33" i="32"/>
  <c r="DN33" i="32"/>
  <c r="DO33" i="32"/>
  <c r="DP33" i="32"/>
  <c r="DQ33" i="32"/>
  <c r="DR33" i="32"/>
  <c r="DS33" i="32"/>
  <c r="DT33" i="32"/>
  <c r="DU33" i="32"/>
  <c r="DV33" i="32"/>
  <c r="DW33" i="32"/>
  <c r="J33" i="32" s="1"/>
  <c r="E33" i="32" s="1"/>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G34" i="32" s="1"/>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I34" i="32" s="1"/>
  <c r="D34" i="32" s="1"/>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L34" i="32" s="1"/>
  <c r="DC34" i="32"/>
  <c r="DD34" i="32"/>
  <c r="DE34" i="32"/>
  <c r="DF34" i="32"/>
  <c r="DG34" i="32"/>
  <c r="DH34" i="32"/>
  <c r="DI34" i="32"/>
  <c r="DJ34" i="32"/>
  <c r="DK34" i="32"/>
  <c r="DL34" i="32"/>
  <c r="DM34" i="32"/>
  <c r="DN34" i="32"/>
  <c r="DO34" i="32"/>
  <c r="DP34" i="32"/>
  <c r="DQ34" i="32"/>
  <c r="DR34" i="32"/>
  <c r="J34" i="32" s="1"/>
  <c r="E34" i="32" s="1"/>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59" i="32"/>
  <c r="D16" i="42"/>
  <c r="E16" i="42"/>
  <c r="F16" i="42"/>
  <c r="G16" i="42"/>
  <c r="C16" i="42"/>
  <c r="I16" i="42"/>
  <c r="J16" i="42"/>
  <c r="K16" i="42"/>
  <c r="L16" i="42"/>
  <c r="H16" i="42"/>
  <c r="E5" i="21"/>
  <c r="F5" i="21"/>
  <c r="H5" i="21"/>
  <c r="B14" i="41"/>
  <c r="E6" i="21"/>
  <c r="F6" i="21"/>
  <c r="H6" i="21"/>
  <c r="B15" i="41"/>
  <c r="E7" i="21"/>
  <c r="F7" i="21"/>
  <c r="H7" i="21"/>
  <c r="B16" i="41"/>
  <c r="E8" i="21"/>
  <c r="F8" i="21"/>
  <c r="H8" i="21"/>
  <c r="B17" i="41"/>
  <c r="E9" i="21"/>
  <c r="F9" i="21"/>
  <c r="H9" i="21"/>
  <c r="B18" i="41"/>
  <c r="E10" i="21"/>
  <c r="F10" i="21"/>
  <c r="H10" i="21"/>
  <c r="B19" i="41"/>
  <c r="B36" i="42"/>
  <c r="B37" i="42"/>
  <c r="B38" i="42"/>
  <c r="B39" i="42"/>
  <c r="B40" i="42"/>
  <c r="B41" i="42"/>
  <c r="D21" i="40"/>
  <c r="B9" i="41"/>
  <c r="B8" i="41"/>
  <c r="B7" i="41"/>
  <c r="B6" i="41"/>
  <c r="B5" i="41"/>
  <c r="B4" i="41"/>
  <c r="C11" i="42"/>
  <c r="D11" i="42"/>
  <c r="E11" i="42"/>
  <c r="F11" i="42"/>
  <c r="G11" i="42"/>
  <c r="B87" i="41"/>
  <c r="B78" i="41"/>
  <c r="B69" i="41"/>
  <c r="B60" i="41"/>
  <c r="B51" i="41"/>
  <c r="H42" i="21"/>
  <c r="H41" i="21"/>
  <c r="H40" i="21"/>
  <c r="H39" i="21"/>
  <c r="H38" i="21"/>
  <c r="H37" i="21"/>
  <c r="B42" i="41"/>
  <c r="B47" i="41"/>
  <c r="B63" i="42"/>
  <c r="B56" i="41"/>
  <c r="B72" i="42"/>
  <c r="B74" i="41"/>
  <c r="B90" i="42"/>
  <c r="B92" i="41"/>
  <c r="B108" i="42"/>
  <c r="B65" i="41"/>
  <c r="B81" i="42"/>
  <c r="B83" i="41"/>
  <c r="B99" i="42"/>
  <c r="B91" i="41"/>
  <c r="B88" i="41"/>
  <c r="B90" i="41"/>
  <c r="B82" i="41"/>
  <c r="B79" i="41"/>
  <c r="B81" i="41"/>
  <c r="B73" i="41"/>
  <c r="B70" i="41"/>
  <c r="B72" i="41"/>
  <c r="B64" i="41"/>
  <c r="B61" i="41"/>
  <c r="B63" i="41"/>
  <c r="B46" i="41"/>
  <c r="B55" i="41"/>
  <c r="B43" i="41"/>
  <c r="B44" i="41"/>
  <c r="B45" i="41"/>
  <c r="B52" i="41"/>
  <c r="B54" i="41"/>
  <c r="B102" i="42"/>
  <c r="B103" i="42"/>
  <c r="B104" i="42"/>
  <c r="B100" i="42"/>
  <c r="B101" i="42"/>
  <c r="B84" i="42"/>
  <c r="B85" i="42"/>
  <c r="B86" i="42"/>
  <c r="B82" i="42"/>
  <c r="B83" i="42"/>
  <c r="B113" i="42"/>
  <c r="B109" i="42"/>
  <c r="B110" i="42"/>
  <c r="B111" i="42"/>
  <c r="B112" i="42"/>
  <c r="B95" i="42"/>
  <c r="B91" i="42"/>
  <c r="B92" i="42"/>
  <c r="B93" i="42"/>
  <c r="B94" i="42"/>
  <c r="B77" i="42"/>
  <c r="B73" i="42"/>
  <c r="B74" i="42"/>
  <c r="B75" i="42"/>
  <c r="B76" i="42"/>
  <c r="B68" i="42"/>
  <c r="B67" i="42"/>
  <c r="B66" i="42"/>
  <c r="B65" i="42"/>
  <c r="B64" i="42"/>
  <c r="B89" i="41"/>
  <c r="B80" i="41"/>
  <c r="B71" i="41"/>
  <c r="B62" i="41"/>
  <c r="B53" i="41"/>
  <c r="C10" i="42"/>
  <c r="C15" i="42"/>
  <c r="C14" i="42"/>
  <c r="C13" i="42"/>
  <c r="C12" i="42"/>
  <c r="I17" i="40"/>
  <c r="I21" i="40"/>
  <c r="I20" i="40"/>
  <c r="I19" i="40"/>
  <c r="I18" i="40"/>
  <c r="I16" i="40"/>
  <c r="D20" i="40"/>
  <c r="D19" i="40"/>
  <c r="D18" i="40"/>
  <c r="D17" i="40"/>
  <c r="D16" i="40"/>
  <c r="D15" i="42"/>
  <c r="E15" i="42"/>
  <c r="D14" i="42"/>
  <c r="E14" i="42"/>
  <c r="D13" i="42"/>
  <c r="E13" i="42"/>
  <c r="D12" i="42"/>
  <c r="E12" i="42"/>
  <c r="D10" i="42"/>
  <c r="E10" i="42"/>
  <c r="F10" i="42"/>
  <c r="G10" i="42"/>
  <c r="B24" i="41"/>
  <c r="B25" i="41"/>
  <c r="B26" i="41"/>
  <c r="B27" i="41"/>
  <c r="B28" i="41"/>
  <c r="B23" i="41"/>
  <c r="B45" i="42"/>
  <c r="H21" i="21"/>
  <c r="H22" i="21"/>
  <c r="H24" i="21"/>
  <c r="H23" i="21"/>
  <c r="H26" i="21"/>
  <c r="H25" i="21"/>
  <c r="B33" i="41"/>
  <c r="B55" i="42"/>
  <c r="B34" i="41"/>
  <c r="B56" i="42"/>
  <c r="B35" i="41"/>
  <c r="B57" i="42"/>
  <c r="B36" i="41"/>
  <c r="B58" i="42"/>
  <c r="B37" i="41"/>
  <c r="B59" i="42"/>
  <c r="H30" i="21"/>
  <c r="H32" i="21"/>
  <c r="H31" i="21"/>
  <c r="H34" i="21"/>
  <c r="H33" i="21"/>
  <c r="B49" i="42"/>
  <c r="B48" i="42"/>
  <c r="B50" i="42"/>
  <c r="B46" i="42"/>
  <c r="B47" i="42"/>
  <c r="F12" i="42"/>
  <c r="F14" i="42"/>
  <c r="F13" i="42"/>
  <c r="F15" i="42"/>
  <c r="G14" i="42"/>
  <c r="G12" i="42"/>
  <c r="G15" i="42"/>
  <c r="G13" i="42"/>
  <c r="I22" i="40"/>
  <c r="G22" i="40"/>
  <c r="D22" i="40"/>
  <c r="B22" i="40"/>
  <c r="J32" i="32"/>
  <c r="E32" i="32" s="1"/>
  <c r="B32" i="41"/>
  <c r="B54" i="42"/>
  <c r="H29" i="21"/>
  <c r="A1" i="42"/>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c r="K201" i="32"/>
  <c r="L201" i="32"/>
  <c r="G202" i="32"/>
  <c r="F202" i="32" s="1"/>
  <c r="H202" i="32"/>
  <c r="I202" i="32"/>
  <c r="D202" i="32" s="1"/>
  <c r="J202" i="32"/>
  <c r="E202" i="32" s="1"/>
  <c r="K202" i="32"/>
  <c r="L202" i="32"/>
  <c r="D203" i="32"/>
  <c r="G203" i="32"/>
  <c r="H203" i="32"/>
  <c r="I203" i="32"/>
  <c r="J203" i="32"/>
  <c r="E203" i="32" s="1"/>
  <c r="K203" i="32"/>
  <c r="L203" i="32"/>
  <c r="G204" i="32"/>
  <c r="H204" i="32"/>
  <c r="I204" i="32"/>
  <c r="D204" i="32" s="1"/>
  <c r="J204" i="32"/>
  <c r="E204" i="32" s="1"/>
  <c r="K204" i="32"/>
  <c r="L204" i="32"/>
  <c r="G205" i="32"/>
  <c r="F205" i="32" s="1"/>
  <c r="H205" i="32"/>
  <c r="I205" i="32"/>
  <c r="D205" i="32" s="1"/>
  <c r="J205" i="32"/>
  <c r="E205" i="32" s="1"/>
  <c r="K205" i="32"/>
  <c r="L205" i="32"/>
  <c r="C200" i="32"/>
  <c r="C201" i="32"/>
  <c r="C202" i="32"/>
  <c r="C203" i="32"/>
  <c r="F200" i="32"/>
  <c r="O13" i="32"/>
  <c r="O14" i="32"/>
  <c r="O15" i="32"/>
  <c r="O16" i="32"/>
  <c r="O17" i="32"/>
  <c r="O18" i="32"/>
  <c r="O19" i="32"/>
  <c r="O20" i="32"/>
  <c r="O21" i="32"/>
  <c r="O22" i="32"/>
  <c r="N14" i="32"/>
  <c r="N15" i="32"/>
  <c r="N16" i="32"/>
  <c r="N17" i="32"/>
  <c r="N18" i="32"/>
  <c r="N19" i="32"/>
  <c r="N20" i="32"/>
  <c r="N21" i="32"/>
  <c r="N22" i="32"/>
  <c r="N13" i="32"/>
  <c r="C14" i="32"/>
  <c r="B14" i="32"/>
  <c r="F14" i="32" s="1"/>
  <c r="P14" i="32"/>
  <c r="P13" i="32"/>
  <c r="B13" i="32"/>
  <c r="F13" i="32" s="1"/>
  <c r="I13" i="32" s="1"/>
  <c r="A1" i="21"/>
  <c r="A1" i="41"/>
  <c r="P22" i="32"/>
  <c r="P16" i="32"/>
  <c r="P17" i="32"/>
  <c r="P18" i="32"/>
  <c r="P19" i="32"/>
  <c r="P20" i="32"/>
  <c r="P21" i="32"/>
  <c r="L539" i="32"/>
  <c r="K539" i="32"/>
  <c r="J539" i="32"/>
  <c r="E539" i="32" s="1"/>
  <c r="I539" i="32"/>
  <c r="D539" i="32" s="1"/>
  <c r="H539" i="32"/>
  <c r="G539" i="32"/>
  <c r="C539" i="32"/>
  <c r="K165" i="32"/>
  <c r="G166" i="32"/>
  <c r="H166" i="32"/>
  <c r="I166" i="32"/>
  <c r="D166" i="32" s="1"/>
  <c r="J166" i="32"/>
  <c r="E166" i="32" s="1"/>
  <c r="K166" i="32"/>
  <c r="L166" i="32"/>
  <c r="G167" i="32"/>
  <c r="H167" i="32"/>
  <c r="I167" i="32"/>
  <c r="D167" i="32" s="1"/>
  <c r="J167" i="32"/>
  <c r="E167" i="32" s="1"/>
  <c r="K167" i="32"/>
  <c r="L167" i="32"/>
  <c r="G192" i="32"/>
  <c r="H192" i="32"/>
  <c r="I192" i="32"/>
  <c r="D192" i="32" s="1"/>
  <c r="J192" i="32"/>
  <c r="E192" i="32" s="1"/>
  <c r="K192" i="32"/>
  <c r="L192" i="32"/>
  <c r="G193" i="32"/>
  <c r="F193" i="32" s="1"/>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F196" i="32" s="1"/>
  <c r="I196" i="32"/>
  <c r="D196" i="32" s="1"/>
  <c r="J196" i="32"/>
  <c r="E196" i="32" s="1"/>
  <c r="K196" i="32"/>
  <c r="L196" i="32"/>
  <c r="G197" i="32"/>
  <c r="F197" i="32" s="1"/>
  <c r="H197" i="32"/>
  <c r="I197" i="32"/>
  <c r="D197" i="32" s="1"/>
  <c r="J197" i="32"/>
  <c r="E197" i="32" s="1"/>
  <c r="K197" i="32"/>
  <c r="L197" i="32"/>
  <c r="G198" i="32"/>
  <c r="F198" i="32" s="1"/>
  <c r="H198" i="32"/>
  <c r="I198" i="32"/>
  <c r="D198" i="32" s="1"/>
  <c r="J198" i="32"/>
  <c r="E198" i="32" s="1"/>
  <c r="K198" i="32"/>
  <c r="L198" i="32"/>
  <c r="G199" i="32"/>
  <c r="H199" i="32"/>
  <c r="I199" i="32"/>
  <c r="D199" i="32" s="1"/>
  <c r="J199" i="32"/>
  <c r="E199" i="32" s="1"/>
  <c r="K199" i="32"/>
  <c r="L199" i="32"/>
  <c r="L165" i="32"/>
  <c r="J165" i="32"/>
  <c r="I165" i="32"/>
  <c r="H165" i="32"/>
  <c r="C166" i="32"/>
  <c r="C167" i="32"/>
  <c r="C192" i="32"/>
  <c r="C193" i="32"/>
  <c r="C194" i="32"/>
  <c r="C195" i="32"/>
  <c r="C196" i="32"/>
  <c r="C197" i="32"/>
  <c r="C198" i="32"/>
  <c r="C199" i="32"/>
  <c r="C204" i="32"/>
  <c r="C205" i="32"/>
  <c r="C165" i="32"/>
  <c r="F166" i="32"/>
  <c r="G165" i="32"/>
  <c r="G556" i="32"/>
  <c r="H556" i="32"/>
  <c r="I556" i="32"/>
  <c r="D556" i="32" s="1"/>
  <c r="J556" i="32"/>
  <c r="E556" i="32" s="1"/>
  <c r="K556" i="32"/>
  <c r="L556" i="32"/>
  <c r="G546" i="32"/>
  <c r="F546" i="32" s="1"/>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L36"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F528" i="32" s="1"/>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G531" i="32"/>
  <c r="H531" i="32"/>
  <c r="I531" i="32"/>
  <c r="D531" i="32" s="1"/>
  <c r="J531" i="32"/>
  <c r="E531" i="32" s="1"/>
  <c r="K531" i="32"/>
  <c r="L531" i="32"/>
  <c r="G532" i="32"/>
  <c r="F532" i="32" s="1"/>
  <c r="H532" i="32"/>
  <c r="I532" i="32"/>
  <c r="D532" i="32" s="1"/>
  <c r="J532" i="32"/>
  <c r="E532" i="32" s="1"/>
  <c r="K532" i="32"/>
  <c r="L532" i="32"/>
  <c r="G533" i="32"/>
  <c r="H533" i="32"/>
  <c r="I533" i="32"/>
  <c r="D533" i="32" s="1"/>
  <c r="J533" i="32"/>
  <c r="E533" i="32" s="1"/>
  <c r="K533" i="32"/>
  <c r="L533" i="32"/>
  <c r="G534" i="32"/>
  <c r="H534" i="32"/>
  <c r="F534" i="32" s="1"/>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F541" i="32" s="1"/>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H33" i="32"/>
  <c r="L141" i="32"/>
  <c r="K141" i="32"/>
  <c r="J141" i="32"/>
  <c r="E141" i="32" s="1"/>
  <c r="I141" i="32"/>
  <c r="D141" i="32" s="1"/>
  <c r="H141" i="32"/>
  <c r="G141" i="32"/>
  <c r="F141" i="32" s="1"/>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F138" i="32" s="1"/>
  <c r="G138" i="32"/>
  <c r="C138" i="32"/>
  <c r="L137" i="32"/>
  <c r="K137" i="32"/>
  <c r="J137" i="32"/>
  <c r="E137" i="32" s="1"/>
  <c r="I137" i="32"/>
  <c r="D137" i="32" s="1"/>
  <c r="H137" i="32"/>
  <c r="G137" i="32"/>
  <c r="F137" i="32" s="1"/>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F129" i="32" s="1"/>
  <c r="C129" i="32"/>
  <c r="L128" i="32"/>
  <c r="K128" i="32"/>
  <c r="J128" i="32"/>
  <c r="E128" i="32" s="1"/>
  <c r="I128" i="32"/>
  <c r="D128" i="32" s="1"/>
  <c r="H128" i="32"/>
  <c r="G128" i="32"/>
  <c r="F128" i="32" s="1"/>
  <c r="C128" i="32"/>
  <c r="L127" i="32"/>
  <c r="K127" i="32"/>
  <c r="J127" i="32"/>
  <c r="E127" i="32" s="1"/>
  <c r="I127" i="32"/>
  <c r="D127" i="32" s="1"/>
  <c r="H127" i="32"/>
  <c r="G127" i="32"/>
  <c r="F127" i="32" s="1"/>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F120" i="32" s="1"/>
  <c r="C120" i="32"/>
  <c r="L119" i="32"/>
  <c r="K119" i="32"/>
  <c r="J119" i="32"/>
  <c r="E119" i="32" s="1"/>
  <c r="I119" i="32"/>
  <c r="D119" i="32" s="1"/>
  <c r="H119" i="32"/>
  <c r="G119" i="32"/>
  <c r="F119" i="32" s="1"/>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F114" i="32" s="1"/>
  <c r="G114" i="32"/>
  <c r="C114" i="32"/>
  <c r="L113" i="32"/>
  <c r="K113" i="32"/>
  <c r="J113" i="32"/>
  <c r="E113" i="32" s="1"/>
  <c r="I113" i="32"/>
  <c r="D113" i="32" s="1"/>
  <c r="H113" i="32"/>
  <c r="G113" i="32"/>
  <c r="F113" i="32" s="1"/>
  <c r="C113" i="32"/>
  <c r="L112" i="32"/>
  <c r="K112" i="32"/>
  <c r="J112" i="32"/>
  <c r="E112" i="32" s="1"/>
  <c r="I112" i="32"/>
  <c r="D112" i="32" s="1"/>
  <c r="H112" i="32"/>
  <c r="G112" i="32"/>
  <c r="F112" i="32" s="1"/>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F109" i="32" s="1"/>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F106" i="32" s="1"/>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F102" i="32" s="1"/>
  <c r="C102" i="32"/>
  <c r="L101" i="32"/>
  <c r="K101" i="32"/>
  <c r="J101" i="32"/>
  <c r="E101" i="32" s="1"/>
  <c r="I101" i="32"/>
  <c r="D101" i="32" s="1"/>
  <c r="H101" i="32"/>
  <c r="G101" i="32"/>
  <c r="F101" i="32" s="1"/>
  <c r="C101" i="32"/>
  <c r="L100" i="32"/>
  <c r="K100" i="32"/>
  <c r="J100" i="32"/>
  <c r="E100" i="32" s="1"/>
  <c r="I100" i="32"/>
  <c r="D100" i="32" s="1"/>
  <c r="H100" i="32"/>
  <c r="G100" i="32"/>
  <c r="C100" i="32"/>
  <c r="L99" i="32"/>
  <c r="K99" i="32"/>
  <c r="J99" i="32"/>
  <c r="I99" i="32"/>
  <c r="D99" i="32" s="1"/>
  <c r="H99" i="32"/>
  <c r="G99" i="32"/>
  <c r="E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F96" i="32" s="1"/>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F88" i="32" s="1"/>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F85" i="32" s="1"/>
  <c r="G85" i="32"/>
  <c r="C85" i="32"/>
  <c r="L84" i="32"/>
  <c r="K84" i="32"/>
  <c r="J84" i="32"/>
  <c r="E84" i="32" s="1"/>
  <c r="I84" i="32"/>
  <c r="D84" i="32"/>
  <c r="H84" i="32"/>
  <c r="G84" i="32"/>
  <c r="C84" i="32"/>
  <c r="L83" i="32"/>
  <c r="K83" i="32"/>
  <c r="J83" i="32"/>
  <c r="E83" i="32" s="1"/>
  <c r="I83" i="32"/>
  <c r="D83" i="32" s="1"/>
  <c r="H83" i="32"/>
  <c r="G83" i="32"/>
  <c r="C83" i="32"/>
  <c r="L82" i="32"/>
  <c r="K82" i="32"/>
  <c r="J82" i="32"/>
  <c r="E82" i="32" s="1"/>
  <c r="I82" i="32"/>
  <c r="D82" i="32" s="1"/>
  <c r="H82" i="32"/>
  <c r="G82" i="32"/>
  <c r="F82" i="32" s="1"/>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F76" i="32" s="1"/>
  <c r="G76" i="32"/>
  <c r="C76" i="32"/>
  <c r="L75" i="32"/>
  <c r="K75" i="32"/>
  <c r="J75" i="32"/>
  <c r="E75" i="32" s="1"/>
  <c r="I75" i="32"/>
  <c r="D75" i="32" s="1"/>
  <c r="H75" i="32"/>
  <c r="G75" i="32"/>
  <c r="F75" i="32" s="1"/>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F71" i="32" s="1"/>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F64" i="32" s="1"/>
  <c r="C64" i="32"/>
  <c r="L63" i="32"/>
  <c r="K63" i="32"/>
  <c r="J63" i="32"/>
  <c r="E63" i="32" s="1"/>
  <c r="I63" i="32"/>
  <c r="D63" i="32" s="1"/>
  <c r="H63" i="32"/>
  <c r="G63" i="32"/>
  <c r="C63" i="32"/>
  <c r="L62" i="32"/>
  <c r="K62" i="32"/>
  <c r="J62" i="32"/>
  <c r="E62" i="32" s="1"/>
  <c r="I62" i="32"/>
  <c r="D62" i="32" s="1"/>
  <c r="H62" i="32"/>
  <c r="G62" i="32"/>
  <c r="F62" i="32" s="1"/>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F54" i="32" s="1"/>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F47" i="32" s="1"/>
  <c r="C47" i="32"/>
  <c r="L46" i="32"/>
  <c r="K46" i="32"/>
  <c r="J46" i="32"/>
  <c r="E46" i="32" s="1"/>
  <c r="I46" i="32"/>
  <c r="D46" i="32" s="1"/>
  <c r="H46" i="32"/>
  <c r="G46" i="32"/>
  <c r="C46" i="32"/>
  <c r="L45" i="32"/>
  <c r="K45" i="32"/>
  <c r="J45" i="32"/>
  <c r="E45" i="32" s="1"/>
  <c r="I45" i="32"/>
  <c r="D45" i="32" s="1"/>
  <c r="H45" i="32"/>
  <c r="G45" i="32"/>
  <c r="F45" i="32" s="1"/>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F39" i="32" s="1"/>
  <c r="C39" i="32"/>
  <c r="L38" i="32"/>
  <c r="K38" i="32"/>
  <c r="J38" i="32"/>
  <c r="E38" i="32" s="1"/>
  <c r="I38" i="32"/>
  <c r="D38" i="32" s="1"/>
  <c r="H38" i="32"/>
  <c r="G38" i="32"/>
  <c r="C38" i="32"/>
  <c r="L37" i="32"/>
  <c r="K37" i="32"/>
  <c r="J37" i="32"/>
  <c r="E37" i="32" s="1"/>
  <c r="I37" i="32"/>
  <c r="D37" i="32" s="1"/>
  <c r="H37" i="32"/>
  <c r="G37" i="32"/>
  <c r="C37" i="32"/>
  <c r="K36" i="32"/>
  <c r="J36" i="32"/>
  <c r="E36" i="32" s="1"/>
  <c r="I36" i="32"/>
  <c r="H36" i="32"/>
  <c r="G36" i="32"/>
  <c r="C36" i="32"/>
  <c r="K32" i="32"/>
  <c r="F51" i="32"/>
  <c r="F53" i="32"/>
  <c r="F55" i="32"/>
  <c r="F56" i="32"/>
  <c r="F59" i="32"/>
  <c r="F60" i="32"/>
  <c r="F61" i="32"/>
  <c r="F68" i="32"/>
  <c r="F69" i="32"/>
  <c r="F70" i="32"/>
  <c r="F72" i="32"/>
  <c r="F77" i="32"/>
  <c r="F80" i="32"/>
  <c r="F83" i="32"/>
  <c r="F84" i="32"/>
  <c r="F86" i="32"/>
  <c r="F87" i="32"/>
  <c r="F90" i="32"/>
  <c r="F95" i="32"/>
  <c r="F98" i="32"/>
  <c r="F99" i="32"/>
  <c r="F104" i="32"/>
  <c r="F105" i="32"/>
  <c r="F107" i="32"/>
  <c r="F108" i="32"/>
  <c r="F115" i="32"/>
  <c r="F116" i="32"/>
  <c r="F117" i="32"/>
  <c r="F118" i="32"/>
  <c r="F123" i="32"/>
  <c r="F126" i="32"/>
  <c r="F132" i="32"/>
  <c r="F133" i="32"/>
  <c r="F134" i="32"/>
  <c r="F140"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F524" i="32" s="1"/>
  <c r="L523" i="32"/>
  <c r="K523" i="32"/>
  <c r="J523" i="32"/>
  <c r="I523" i="32"/>
  <c r="D523" i="32" s="1"/>
  <c r="H523" i="32"/>
  <c r="G523" i="32"/>
  <c r="L521" i="32"/>
  <c r="K521" i="32"/>
  <c r="J521" i="32"/>
  <c r="E521" i="32" s="1"/>
  <c r="I521" i="32"/>
  <c r="D521" i="32" s="1"/>
  <c r="H521" i="32"/>
  <c r="G521" i="32"/>
  <c r="L520" i="32"/>
  <c r="K520" i="32"/>
  <c r="J520" i="32"/>
  <c r="E520" i="32" s="1"/>
  <c r="I520" i="32"/>
  <c r="D520" i="32" s="1"/>
  <c r="H520" i="32"/>
  <c r="G520" i="32"/>
  <c r="F520" i="32" s="1"/>
  <c r="L519" i="32"/>
  <c r="K519" i="32"/>
  <c r="J519" i="32"/>
  <c r="E519" i="32" s="1"/>
  <c r="I519" i="32"/>
  <c r="D519" i="32" s="1"/>
  <c r="H519" i="32"/>
  <c r="G519" i="32"/>
  <c r="L518" i="32"/>
  <c r="K518" i="32"/>
  <c r="J518" i="32"/>
  <c r="E518" i="32" s="1"/>
  <c r="I518" i="32"/>
  <c r="D518" i="32" s="1"/>
  <c r="H518" i="32"/>
  <c r="F518" i="32" s="1"/>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F514" i="32" s="1"/>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F510" i="32" s="1"/>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F506" i="32" s="1"/>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F502" i="32" s="1"/>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F498" i="32" s="1"/>
  <c r="G498" i="32"/>
  <c r="L497" i="32"/>
  <c r="K497" i="32"/>
  <c r="J497" i="32"/>
  <c r="E497" i="32" s="1"/>
  <c r="I497" i="32"/>
  <c r="D497" i="32" s="1"/>
  <c r="H497" i="32"/>
  <c r="G497" i="32"/>
  <c r="L496" i="32"/>
  <c r="K496" i="32"/>
  <c r="J496" i="32"/>
  <c r="E496" i="32" s="1"/>
  <c r="I496" i="32"/>
  <c r="D496" i="32" s="1"/>
  <c r="H496" i="32"/>
  <c r="G496" i="32"/>
  <c r="F496" i="32" s="1"/>
  <c r="L495" i="32"/>
  <c r="K495" i="32"/>
  <c r="J495" i="32"/>
  <c r="E495" i="32" s="1"/>
  <c r="I495" i="32"/>
  <c r="D495" i="32" s="1"/>
  <c r="H495" i="32"/>
  <c r="G495" i="32"/>
  <c r="F495" i="32" s="1"/>
  <c r="L494" i="32"/>
  <c r="K494" i="32"/>
  <c r="J494" i="32"/>
  <c r="E494" i="32" s="1"/>
  <c r="I494" i="32"/>
  <c r="D494" i="32" s="1"/>
  <c r="H494" i="32"/>
  <c r="F494" i="32" s="1"/>
  <c r="G494" i="32"/>
  <c r="L493" i="32"/>
  <c r="K493" i="32"/>
  <c r="J493" i="32"/>
  <c r="E493" i="32" s="1"/>
  <c r="I493" i="32"/>
  <c r="D493" i="32" s="1"/>
  <c r="H493" i="32"/>
  <c r="G493" i="32"/>
  <c r="L492" i="32"/>
  <c r="K492" i="32"/>
  <c r="J492" i="32"/>
  <c r="E492" i="32" s="1"/>
  <c r="I492" i="32"/>
  <c r="D492" i="32" s="1"/>
  <c r="H492" i="32"/>
  <c r="G492" i="32"/>
  <c r="F492" i="32" s="1"/>
  <c r="L491" i="32"/>
  <c r="K491" i="32"/>
  <c r="J491" i="32"/>
  <c r="E491" i="32" s="1"/>
  <c r="I491" i="32"/>
  <c r="D491" i="32" s="1"/>
  <c r="H491" i="32"/>
  <c r="G491" i="32"/>
  <c r="L490" i="32"/>
  <c r="K490" i="32"/>
  <c r="J490" i="32"/>
  <c r="E490" i="32" s="1"/>
  <c r="I490" i="32"/>
  <c r="D490" i="32" s="1"/>
  <c r="H490" i="32"/>
  <c r="F490" i="32" s="1"/>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F486" i="32" s="1"/>
  <c r="G486" i="32"/>
  <c r="L485" i="32"/>
  <c r="K485" i="32"/>
  <c r="J485" i="32"/>
  <c r="E485" i="32" s="1"/>
  <c r="I485" i="32"/>
  <c r="D485" i="32" s="1"/>
  <c r="H485" i="32"/>
  <c r="G485" i="32"/>
  <c r="L484" i="32"/>
  <c r="K484" i="32"/>
  <c r="J484" i="32"/>
  <c r="E484" i="32" s="1"/>
  <c r="I484" i="32"/>
  <c r="D484" i="32" s="1"/>
  <c r="H484" i="32"/>
  <c r="G484" i="32"/>
  <c r="F484" i="32" s="1"/>
  <c r="L483" i="32"/>
  <c r="K483" i="32"/>
  <c r="J483" i="32"/>
  <c r="E483" i="32" s="1"/>
  <c r="I483" i="32"/>
  <c r="D483" i="32" s="1"/>
  <c r="H483" i="32"/>
  <c r="G483" i="32"/>
  <c r="F483" i="32" s="1"/>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F479" i="32" s="1"/>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F476" i="32" s="1"/>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F472" i="32" s="1"/>
  <c r="L471" i="32"/>
  <c r="K471" i="32"/>
  <c r="J471" i="32"/>
  <c r="E471" i="32" s="1"/>
  <c r="I471" i="32"/>
  <c r="D471" i="32" s="1"/>
  <c r="H471" i="32"/>
  <c r="G471" i="32"/>
  <c r="L470" i="32"/>
  <c r="K470" i="32"/>
  <c r="J470" i="32"/>
  <c r="E470" i="32" s="1"/>
  <c r="I470" i="32"/>
  <c r="D470" i="32" s="1"/>
  <c r="H470" i="32"/>
  <c r="F470" i="32" s="1"/>
  <c r="G470" i="32"/>
  <c r="L469" i="32"/>
  <c r="K469" i="32"/>
  <c r="J469" i="32"/>
  <c r="E469" i="32" s="1"/>
  <c r="I469" i="32"/>
  <c r="D469" i="32" s="1"/>
  <c r="H469" i="32"/>
  <c r="G469" i="32"/>
  <c r="L468" i="32"/>
  <c r="K468" i="32"/>
  <c r="J468" i="32"/>
  <c r="E468" i="32" s="1"/>
  <c r="I468" i="32"/>
  <c r="D468" i="32" s="1"/>
  <c r="H468" i="32"/>
  <c r="G468" i="32"/>
  <c r="F468" i="32" s="1"/>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F455" i="32" s="1"/>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F451" i="32" s="1"/>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F439" i="32" s="1"/>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F434" i="32" s="1"/>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F426" i="32" s="1"/>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F422" i="32" s="1"/>
  <c r="L421" i="32"/>
  <c r="K421" i="32"/>
  <c r="J421" i="32"/>
  <c r="E421" i="32" s="1"/>
  <c r="I421" i="32"/>
  <c r="D421" i="32" s="1"/>
  <c r="H421" i="32"/>
  <c r="G421" i="32"/>
  <c r="L420" i="32"/>
  <c r="K420" i="32"/>
  <c r="J420" i="32"/>
  <c r="E420" i="32" s="1"/>
  <c r="I420" i="32"/>
  <c r="D420" i="32" s="1"/>
  <c r="H420" i="32"/>
  <c r="F420" i="32" s="1"/>
  <c r="G420" i="32"/>
  <c r="L419" i="32"/>
  <c r="K419" i="32"/>
  <c r="J419" i="32"/>
  <c r="E419" i="32" s="1"/>
  <c r="I419" i="32"/>
  <c r="D419" i="32" s="1"/>
  <c r="H419" i="32"/>
  <c r="G419" i="32"/>
  <c r="L418" i="32"/>
  <c r="K418" i="32"/>
  <c r="J418" i="32"/>
  <c r="E418" i="32" s="1"/>
  <c r="I418" i="32"/>
  <c r="D418" i="32" s="1"/>
  <c r="H418" i="32"/>
  <c r="G418" i="32"/>
  <c r="F418" i="32" s="1"/>
  <c r="L417" i="32"/>
  <c r="K417" i="32"/>
  <c r="J417" i="32"/>
  <c r="E417" i="32" s="1"/>
  <c r="I417" i="32"/>
  <c r="D417" i="32" s="1"/>
  <c r="H417" i="32"/>
  <c r="G417" i="32"/>
  <c r="L416" i="32"/>
  <c r="K416" i="32"/>
  <c r="J416" i="32"/>
  <c r="E416" i="32" s="1"/>
  <c r="I416" i="32"/>
  <c r="D416" i="32" s="1"/>
  <c r="H416" i="32"/>
  <c r="F416" i="32" s="1"/>
  <c r="G416" i="32"/>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F412" i="32" s="1"/>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F409" i="32" s="1"/>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F404" i="32" s="1"/>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F392" i="32" s="1"/>
  <c r="G392" i="32"/>
  <c r="L391" i="32"/>
  <c r="J391" i="32"/>
  <c r="E391" i="32" s="1"/>
  <c r="I391" i="32"/>
  <c r="D391" i="32" s="1"/>
  <c r="H391" i="32"/>
  <c r="G391" i="32"/>
  <c r="L390" i="32"/>
  <c r="J390" i="32"/>
  <c r="E390" i="32" s="1"/>
  <c r="I390" i="32"/>
  <c r="D390" i="32" s="1"/>
  <c r="H390" i="32"/>
  <c r="G390" i="32"/>
  <c r="F390" i="32" s="1"/>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F382" i="32" s="1"/>
  <c r="L381" i="32"/>
  <c r="J381" i="32"/>
  <c r="E381" i="32" s="1"/>
  <c r="I381" i="32"/>
  <c r="D381" i="32" s="1"/>
  <c r="H381" i="32"/>
  <c r="G381" i="32"/>
  <c r="F381" i="32" s="1"/>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F376" i="32" s="1"/>
  <c r="G376" i="32"/>
  <c r="L375" i="32"/>
  <c r="J375" i="32"/>
  <c r="E375" i="32" s="1"/>
  <c r="I375" i="32"/>
  <c r="D375" i="32" s="1"/>
  <c r="H375" i="32"/>
  <c r="G375" i="32"/>
  <c r="L374" i="32"/>
  <c r="J374" i="32"/>
  <c r="E374" i="32" s="1"/>
  <c r="I374" i="32"/>
  <c r="D374" i="32" s="1"/>
  <c r="H374" i="32"/>
  <c r="G374" i="32"/>
  <c r="F374" i="32" s="1"/>
  <c r="L373" i="32"/>
  <c r="J373" i="32"/>
  <c r="E373" i="32" s="1"/>
  <c r="I373" i="32"/>
  <c r="D373" i="32" s="1"/>
  <c r="H373" i="32"/>
  <c r="G373" i="32"/>
  <c r="L372" i="32"/>
  <c r="J372" i="32"/>
  <c r="E372" i="32" s="1"/>
  <c r="I372" i="32"/>
  <c r="D372" i="32" s="1"/>
  <c r="H372" i="32"/>
  <c r="G372" i="32"/>
  <c r="L371" i="32"/>
  <c r="J371" i="32"/>
  <c r="E371" i="32" s="1"/>
  <c r="I371" i="32"/>
  <c r="D371" i="32" s="1"/>
  <c r="H371" i="32"/>
  <c r="G371" i="32"/>
  <c r="F371" i="32" s="1"/>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F355" i="32" s="1"/>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F347" i="32" s="1"/>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F342" i="32" s="1"/>
  <c r="G342" i="32"/>
  <c r="L341" i="32"/>
  <c r="J341" i="32"/>
  <c r="E341" i="32" s="1"/>
  <c r="I341" i="32"/>
  <c r="D341" i="32" s="1"/>
  <c r="H341" i="32"/>
  <c r="G341" i="32"/>
  <c r="F341" i="32" s="1"/>
  <c r="L340" i="32"/>
  <c r="J340" i="32"/>
  <c r="E340" i="32" s="1"/>
  <c r="I340" i="32"/>
  <c r="D340" i="32" s="1"/>
  <c r="H340" i="32"/>
  <c r="G340" i="32"/>
  <c r="L339" i="32"/>
  <c r="J339" i="32"/>
  <c r="E339" i="32" s="1"/>
  <c r="I339" i="32"/>
  <c r="D339" i="32" s="1"/>
  <c r="H339" i="32"/>
  <c r="G339" i="32"/>
  <c r="F339" i="32" s="1"/>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F333" i="32" s="1"/>
  <c r="L332" i="32"/>
  <c r="J332" i="32"/>
  <c r="E332" i="32" s="1"/>
  <c r="I332" i="32"/>
  <c r="D332" i="32" s="1"/>
  <c r="H332" i="32"/>
  <c r="G332" i="32"/>
  <c r="F332" i="32" s="1"/>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F328" i="32" s="1"/>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F316" i="32" s="1"/>
  <c r="L315" i="32"/>
  <c r="J315" i="32"/>
  <c r="E315" i="32" s="1"/>
  <c r="I315" i="32"/>
  <c r="D315" i="32" s="1"/>
  <c r="H315" i="32"/>
  <c r="G315" i="32"/>
  <c r="L314" i="32"/>
  <c r="J314" i="32"/>
  <c r="E314" i="32"/>
  <c r="I314" i="32"/>
  <c r="D314" i="32" s="1"/>
  <c r="H314" i="32"/>
  <c r="G314" i="32"/>
  <c r="F314" i="32" s="1"/>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F306" i="32" s="1"/>
  <c r="L305" i="32"/>
  <c r="J305" i="32"/>
  <c r="E305" i="32" s="1"/>
  <c r="I305" i="32"/>
  <c r="D305" i="32" s="1"/>
  <c r="H305" i="32"/>
  <c r="G305" i="32"/>
  <c r="L304" i="32"/>
  <c r="J304" i="32"/>
  <c r="E304" i="32" s="1"/>
  <c r="I304" i="32"/>
  <c r="D304" i="32" s="1"/>
  <c r="H304" i="32"/>
  <c r="G304" i="32"/>
  <c r="L303" i="32"/>
  <c r="J303" i="32"/>
  <c r="E303" i="32" s="1"/>
  <c r="I303" i="32"/>
  <c r="D303" i="32" s="1"/>
  <c r="H303" i="32"/>
  <c r="G303" i="32"/>
  <c r="F303" i="32" s="1"/>
  <c r="L302" i="32"/>
  <c r="J302" i="32"/>
  <c r="E302" i="32" s="1"/>
  <c r="I302" i="32"/>
  <c r="D302" i="32" s="1"/>
  <c r="H302" i="32"/>
  <c r="G302" i="32"/>
  <c r="F302" i="32" s="1"/>
  <c r="L301" i="32"/>
  <c r="J301" i="32"/>
  <c r="E301" i="32" s="1"/>
  <c r="I301" i="32"/>
  <c r="D301" i="32" s="1"/>
  <c r="H301" i="32"/>
  <c r="G301" i="32"/>
  <c r="L300" i="32"/>
  <c r="J300" i="32"/>
  <c r="E300" i="32" s="1"/>
  <c r="I300" i="32"/>
  <c r="D300" i="32" s="1"/>
  <c r="H300" i="32"/>
  <c r="G300" i="32"/>
  <c r="L299" i="32"/>
  <c r="J299" i="32"/>
  <c r="E299" i="32" s="1"/>
  <c r="I299" i="32"/>
  <c r="D299" i="32" s="1"/>
  <c r="H299" i="32"/>
  <c r="G299" i="32"/>
  <c r="F299" i="32" s="1"/>
  <c r="L298" i="32"/>
  <c r="J298" i="32"/>
  <c r="E298" i="32" s="1"/>
  <c r="I298" i="32"/>
  <c r="D298" i="32" s="1"/>
  <c r="H298" i="32"/>
  <c r="G298" i="32"/>
  <c r="L297" i="32"/>
  <c r="J297" i="32"/>
  <c r="E297" i="32"/>
  <c r="I297" i="32"/>
  <c r="D297" i="32" s="1"/>
  <c r="H297" i="32"/>
  <c r="G297" i="32"/>
  <c r="L296" i="32"/>
  <c r="J296" i="32"/>
  <c r="E296" i="32" s="1"/>
  <c r="I296" i="32"/>
  <c r="D296" i="32" s="1"/>
  <c r="H296" i="32"/>
  <c r="G296" i="32"/>
  <c r="F296" i="32" s="1"/>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F291" i="32" s="1"/>
  <c r="L290" i="32"/>
  <c r="J290" i="32"/>
  <c r="E290" i="32" s="1"/>
  <c r="I290" i="32"/>
  <c r="D290" i="32" s="1"/>
  <c r="H290" i="32"/>
  <c r="G290" i="32"/>
  <c r="L289" i="32"/>
  <c r="J289" i="32"/>
  <c r="E289" i="32" s="1"/>
  <c r="I289" i="32"/>
  <c r="D289" i="32" s="1"/>
  <c r="H289" i="32"/>
  <c r="G289" i="32"/>
  <c r="L288" i="32"/>
  <c r="J288" i="32"/>
  <c r="E288" i="32" s="1"/>
  <c r="I288" i="32"/>
  <c r="D288" i="32" s="1"/>
  <c r="H288" i="32"/>
  <c r="G288" i="32"/>
  <c r="F288" i="32" s="1"/>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F284" i="32" s="1"/>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F279" i="32" s="1"/>
  <c r="L278" i="32"/>
  <c r="J278" i="32"/>
  <c r="E278" i="32" s="1"/>
  <c r="I278" i="32"/>
  <c r="D278" i="32" s="1"/>
  <c r="H278" i="32"/>
  <c r="G278" i="32"/>
  <c r="L277" i="32"/>
  <c r="J277" i="32"/>
  <c r="E277" i="32" s="1"/>
  <c r="I277" i="32"/>
  <c r="D277" i="32" s="1"/>
  <c r="H277" i="32"/>
  <c r="G277" i="32"/>
  <c r="F277" i="32" s="1"/>
  <c r="L276" i="32"/>
  <c r="J276" i="32"/>
  <c r="E276" i="32" s="1"/>
  <c r="I276" i="32"/>
  <c r="D276" i="32" s="1"/>
  <c r="H276" i="32"/>
  <c r="G276" i="32"/>
  <c r="L275" i="32"/>
  <c r="J275" i="32"/>
  <c r="E275" i="32" s="1"/>
  <c r="I275" i="32"/>
  <c r="D275" i="32" s="1"/>
  <c r="H275" i="32"/>
  <c r="G275" i="32"/>
  <c r="L274" i="32"/>
  <c r="J274" i="32"/>
  <c r="E274" i="32" s="1"/>
  <c r="I274" i="32"/>
  <c r="D274" i="32" s="1"/>
  <c r="H274" i="32"/>
  <c r="G274" i="32"/>
  <c r="F274" i="32" s="1"/>
  <c r="L273" i="32"/>
  <c r="J273" i="32"/>
  <c r="E273" i="32" s="1"/>
  <c r="I273" i="32"/>
  <c r="D273" i="32" s="1"/>
  <c r="H273" i="32"/>
  <c r="G273" i="32"/>
  <c r="F273" i="32" s="1"/>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F258" i="32" s="1"/>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F245" i="32" s="1"/>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F240" i="32" s="1"/>
  <c r="L239" i="32"/>
  <c r="J239" i="32"/>
  <c r="E239" i="32" s="1"/>
  <c r="I239" i="32"/>
  <c r="D239" i="32" s="1"/>
  <c r="H239" i="32"/>
  <c r="G239" i="32"/>
  <c r="F239" i="32" s="1"/>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F222" i="32" s="1"/>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F216" i="32" s="1"/>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H211" i="32"/>
  <c r="G211" i="32"/>
  <c r="L210" i="32"/>
  <c r="J210" i="32"/>
  <c r="E210" i="32" s="1"/>
  <c r="I210" i="32"/>
  <c r="D210" i="32" s="1"/>
  <c r="H210" i="32"/>
  <c r="G210" i="32"/>
  <c r="L209" i="32"/>
  <c r="J209" i="32"/>
  <c r="E209" i="32" s="1"/>
  <c r="I209" i="32"/>
  <c r="D209" i="32" s="1"/>
  <c r="H209" i="32"/>
  <c r="G209" i="32"/>
  <c r="L208" i="32"/>
  <c r="J208" i="32"/>
  <c r="I208" i="32"/>
  <c r="D208" i="32" s="1"/>
  <c r="H208" i="32"/>
  <c r="G208" i="32"/>
  <c r="L163" i="32"/>
  <c r="K163" i="32"/>
  <c r="J163" i="32"/>
  <c r="E163" i="32" s="1"/>
  <c r="I163" i="32"/>
  <c r="D163" i="32" s="1"/>
  <c r="H163" i="32"/>
  <c r="G163" i="32"/>
  <c r="F163" i="32" s="1"/>
  <c r="L162" i="32"/>
  <c r="K162" i="32"/>
  <c r="J162" i="32"/>
  <c r="E162" i="32" s="1"/>
  <c r="I162" i="32"/>
  <c r="D162" i="32" s="1"/>
  <c r="H162" i="32"/>
  <c r="G162" i="32"/>
  <c r="L161" i="32"/>
  <c r="K161" i="32"/>
  <c r="J161" i="32"/>
  <c r="E161" i="32" s="1"/>
  <c r="I161" i="32"/>
  <c r="D161" i="32" s="1"/>
  <c r="H161" i="32"/>
  <c r="G161" i="32"/>
  <c r="F161" i="32" s="1"/>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F153" i="32" s="1"/>
  <c r="G153" i="32"/>
  <c r="L152" i="32"/>
  <c r="K152" i="32"/>
  <c r="J152" i="32"/>
  <c r="E152" i="32" s="1"/>
  <c r="I152" i="32"/>
  <c r="D152" i="32" s="1"/>
  <c r="H152" i="32"/>
  <c r="G152" i="32"/>
  <c r="L151" i="32"/>
  <c r="K151" i="32"/>
  <c r="J151" i="32"/>
  <c r="E151" i="32" s="1"/>
  <c r="I151" i="32"/>
  <c r="D151" i="32" s="1"/>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I144" i="32"/>
  <c r="D144" i="32" s="1"/>
  <c r="H144" i="32"/>
  <c r="G144" i="32"/>
  <c r="L143" i="32"/>
  <c r="K143" i="32"/>
  <c r="J143" i="32"/>
  <c r="E143" i="32" s="1"/>
  <c r="I143" i="32"/>
  <c r="D143" i="32" s="1"/>
  <c r="H143" i="32"/>
  <c r="G143" i="32"/>
  <c r="F143" i="32" s="1"/>
  <c r="C30" i="32"/>
  <c r="E523" i="32"/>
  <c r="E208" i="32"/>
  <c r="D157" i="32"/>
  <c r="E157" i="32"/>
  <c r="F481" i="32"/>
  <c r="F489" i="32"/>
  <c r="F441" i="32"/>
  <c r="F445" i="32"/>
  <c r="F457" i="32"/>
  <c r="F461" i="32"/>
  <c r="F477" i="32"/>
  <c r="F485" i="32"/>
  <c r="F493" i="32"/>
  <c r="F243" i="32"/>
  <c r="F249" i="32"/>
  <c r="F253" i="32"/>
  <c r="F259" i="32"/>
  <c r="F263" i="32"/>
  <c r="F267" i="32"/>
  <c r="F275" i="32"/>
  <c r="F285" i="32"/>
  <c r="F287" i="32"/>
  <c r="F293" i="32"/>
  <c r="F297" i="32"/>
  <c r="F307" i="32"/>
  <c r="F315" i="32"/>
  <c r="F321" i="32"/>
  <c r="F343" i="32"/>
  <c r="F365" i="32"/>
  <c r="F367" i="32"/>
  <c r="F375" i="32"/>
  <c r="F379" i="32"/>
  <c r="F387" i="32"/>
  <c r="F417" i="32"/>
  <c r="F423" i="32"/>
  <c r="F475" i="32"/>
  <c r="F499" i="32"/>
  <c r="F503" i="32"/>
  <c r="F507" i="32"/>
  <c r="F488" i="32"/>
  <c r="F516" i="32"/>
  <c r="F517" i="32"/>
  <c r="F213" i="32"/>
  <c r="F511" i="32"/>
  <c r="F515" i="32"/>
  <c r="F519" i="32"/>
  <c r="F145" i="32"/>
  <c r="F149" i="32"/>
  <c r="F160" i="32"/>
  <c r="F230" i="32"/>
  <c r="F232" i="32"/>
  <c r="F238" i="32"/>
  <c r="F246" i="32"/>
  <c r="F248" i="32"/>
  <c r="F262" i="32"/>
  <c r="F270" i="32"/>
  <c r="F290" i="32"/>
  <c r="F300" i="32"/>
  <c r="F310" i="32"/>
  <c r="F312" i="32"/>
  <c r="F318" i="32"/>
  <c r="F326" i="32"/>
  <c r="F334" i="32"/>
  <c r="F338" i="32"/>
  <c r="F340" i="32"/>
  <c r="F346" i="32"/>
  <c r="F348" i="32"/>
  <c r="F354" i="32"/>
  <c r="F356" i="32"/>
  <c r="F358" i="32"/>
  <c r="F362" i="32"/>
  <c r="F364" i="32"/>
  <c r="F370" i="32"/>
  <c r="F372" i="32"/>
  <c r="F378" i="32"/>
  <c r="F386" i="32"/>
  <c r="F388" i="32"/>
  <c r="F394" i="32"/>
  <c r="F402" i="32"/>
  <c r="F406" i="32"/>
  <c r="F408" i="32"/>
  <c r="P15" i="32"/>
  <c r="K22" i="32"/>
  <c r="AH25" i="42"/>
  <c r="AG25" i="42"/>
  <c r="AI25" i="42"/>
  <c r="AJ25" i="42"/>
  <c r="AK25" i="42"/>
  <c r="K34" i="32" l="1"/>
  <c r="H32" i="32"/>
  <c r="F32" i="32" s="1"/>
  <c r="C13" i="32" s="1"/>
  <c r="C10" i="40" s="1"/>
  <c r="H34" i="32"/>
  <c r="F34" i="32" s="1"/>
  <c r="G33" i="32"/>
  <c r="F162" i="32"/>
  <c r="F252" i="32"/>
  <c r="F260" i="32"/>
  <c r="F276" i="32"/>
  <c r="F298" i="32"/>
  <c r="F352" i="32"/>
  <c r="F360" i="32"/>
  <c r="F368" i="32"/>
  <c r="F446" i="32"/>
  <c r="F450" i="32"/>
  <c r="F462" i="32"/>
  <c r="F466" i="32"/>
  <c r="F46" i="32"/>
  <c r="F139" i="32"/>
  <c r="F265" i="32"/>
  <c r="F405" i="32"/>
  <c r="F523" i="32"/>
  <c r="F254" i="32"/>
  <c r="F311" i="32"/>
  <c r="F319" i="32"/>
  <c r="F335" i="32"/>
  <c r="F432" i="32"/>
  <c r="F526" i="32"/>
  <c r="F36" i="32"/>
  <c r="F52" i="32"/>
  <c r="F103" i="32"/>
  <c r="F555" i="32"/>
  <c r="F551" i="32"/>
  <c r="F110" i="32"/>
  <c r="F272" i="32"/>
  <c r="F380" i="32"/>
  <c r="F440" i="32"/>
  <c r="F452" i="32"/>
  <c r="F456" i="32"/>
  <c r="F460" i="32"/>
  <c r="F464" i="32"/>
  <c r="F67" i="32"/>
  <c r="F221" i="32"/>
  <c r="F266" i="32"/>
  <c r="F393" i="32"/>
  <c r="F403" i="32"/>
  <c r="F407" i="32"/>
  <c r="F419" i="32"/>
  <c r="F427" i="32"/>
  <c r="F48" i="32"/>
  <c r="F125" i="32"/>
  <c r="F556" i="32"/>
  <c r="F226" i="32"/>
  <c r="F242" i="32"/>
  <c r="F350" i="32"/>
  <c r="F93" i="32"/>
  <c r="F264" i="32"/>
  <c r="F280" i="32"/>
  <c r="F322" i="32"/>
  <c r="F336" i="32"/>
  <c r="F377" i="32"/>
  <c r="F385" i="32"/>
  <c r="F66" i="32"/>
  <c r="F269" i="32"/>
  <c r="F136" i="32"/>
  <c r="F459" i="32"/>
  <c r="F500" i="32"/>
  <c r="F504" i="32"/>
  <c r="F508" i="32"/>
  <c r="F521" i="32"/>
  <c r="F63" i="32"/>
  <c r="F91" i="32"/>
  <c r="F100" i="32"/>
  <c r="F111" i="32"/>
  <c r="F135" i="32"/>
  <c r="F283" i="32"/>
  <c r="F225" i="32"/>
  <c r="F429" i="32"/>
  <c r="F467" i="32"/>
  <c r="F471" i="32"/>
  <c r="F327" i="32"/>
  <c r="F329" i="32"/>
  <c r="F359" i="32"/>
  <c r="F389" i="32"/>
  <c r="F401" i="32"/>
  <c r="F433" i="32"/>
  <c r="F482" i="32"/>
  <c r="F78" i="32"/>
  <c r="F79" i="32"/>
  <c r="F124" i="32"/>
  <c r="G164" i="32"/>
  <c r="F295" i="32"/>
  <c r="F323" i="32"/>
  <c r="F553" i="32"/>
  <c r="I156" i="32"/>
  <c r="F144" i="32"/>
  <c r="F218" i="32"/>
  <c r="F317" i="32"/>
  <c r="F331" i="32"/>
  <c r="F353" i="32"/>
  <c r="F369" i="32"/>
  <c r="F391" i="32"/>
  <c r="F396" i="32"/>
  <c r="F424" i="32"/>
  <c r="F469" i="32"/>
  <c r="F473" i="32"/>
  <c r="F42" i="32"/>
  <c r="F130" i="32"/>
  <c r="F131" i="32"/>
  <c r="F554" i="32"/>
  <c r="L164" i="32"/>
  <c r="F228" i="32"/>
  <c r="F247" i="32"/>
  <c r="F257" i="32"/>
  <c r="F286" i="32"/>
  <c r="F313" i="32"/>
  <c r="F491" i="32"/>
  <c r="K142" i="32"/>
  <c r="F40" i="32"/>
  <c r="F538" i="32"/>
  <c r="F250" i="32"/>
  <c r="F282" i="32"/>
  <c r="F411" i="32"/>
  <c r="F474" i="32"/>
  <c r="F478" i="32"/>
  <c r="F544" i="32"/>
  <c r="F540" i="32"/>
  <c r="F535" i="32"/>
  <c r="F549" i="32"/>
  <c r="F398" i="32"/>
  <c r="F465" i="32"/>
  <c r="D150" i="32"/>
  <c r="K150" i="32"/>
  <c r="F146" i="32"/>
  <c r="F152" i="32"/>
  <c r="F209" i="32"/>
  <c r="F241" i="32"/>
  <c r="F255" i="32"/>
  <c r="F309" i="32"/>
  <c r="F330" i="32"/>
  <c r="F337" i="32"/>
  <c r="F351" i="32"/>
  <c r="F395" i="32"/>
  <c r="F444" i="32"/>
  <c r="F448" i="32"/>
  <c r="F525" i="32"/>
  <c r="F305" i="32"/>
  <c r="F165" i="32"/>
  <c r="F229" i="32"/>
  <c r="F237" i="32"/>
  <c r="F261" i="32"/>
  <c r="F281" i="32"/>
  <c r="F320" i="32"/>
  <c r="F324" i="32"/>
  <c r="F345" i="32"/>
  <c r="F421" i="32"/>
  <c r="F425" i="32"/>
  <c r="F447" i="32"/>
  <c r="F463" i="32"/>
  <c r="F501" i="32"/>
  <c r="F505" i="32"/>
  <c r="F509" i="32"/>
  <c r="F513" i="32"/>
  <c r="F43" i="32"/>
  <c r="F537" i="32"/>
  <c r="F533" i="32"/>
  <c r="F529" i="32"/>
  <c r="K522" i="32"/>
  <c r="F292" i="32"/>
  <c r="F344" i="32"/>
  <c r="F363" i="32"/>
  <c r="F366" i="32"/>
  <c r="F400" i="32"/>
  <c r="F428" i="32"/>
  <c r="F442" i="32"/>
  <c r="F41" i="32"/>
  <c r="F49" i="32"/>
  <c r="F92" i="32"/>
  <c r="F552" i="32"/>
  <c r="F547" i="32"/>
  <c r="F204" i="32"/>
  <c r="F268" i="32"/>
  <c r="F289" i="32"/>
  <c r="F349" i="32"/>
  <c r="F373" i="32"/>
  <c r="F443" i="32"/>
  <c r="F487" i="32"/>
  <c r="H545" i="32"/>
  <c r="F50" i="32"/>
  <c r="K164" i="32"/>
  <c r="F438" i="32"/>
  <c r="F542" i="32"/>
  <c r="H156" i="32"/>
  <c r="G156" i="32"/>
  <c r="F157" i="32"/>
  <c r="F231" i="32"/>
  <c r="F256" i="32"/>
  <c r="F301" i="32"/>
  <c r="F304" i="32"/>
  <c r="F308" i="32"/>
  <c r="F384" i="32"/>
  <c r="F410" i="32"/>
  <c r="F414" i="32"/>
  <c r="F437" i="32"/>
  <c r="F38" i="32"/>
  <c r="F122" i="32"/>
  <c r="F543" i="32"/>
  <c r="F548" i="32"/>
  <c r="F383" i="32"/>
  <c r="F436" i="32"/>
  <c r="H142" i="32"/>
  <c r="F121" i="32"/>
  <c r="F215" i="32"/>
  <c r="F224" i="32"/>
  <c r="F236" i="32"/>
  <c r="F278" i="32"/>
  <c r="F294" i="32"/>
  <c r="F454" i="32"/>
  <c r="F458" i="32"/>
  <c r="F531" i="32"/>
  <c r="E545" i="32"/>
  <c r="F527" i="32"/>
  <c r="F550" i="32"/>
  <c r="F195" i="32"/>
  <c r="G207" i="32"/>
  <c r="F203" i="32"/>
  <c r="F201" i="32"/>
  <c r="F206" i="32"/>
  <c r="F154" i="32"/>
  <c r="F325" i="32"/>
  <c r="F357" i="32"/>
  <c r="F361" i="32"/>
  <c r="F430" i="32"/>
  <c r="F449" i="32"/>
  <c r="F453" i="32"/>
  <c r="F497" i="32"/>
  <c r="F97" i="32"/>
  <c r="F208" i="32"/>
  <c r="L522" i="32"/>
  <c r="F214" i="32"/>
  <c r="F220" i="32"/>
  <c r="F223" i="32"/>
  <c r="H557" i="32"/>
  <c r="E156" i="32"/>
  <c r="I545" i="32"/>
  <c r="I150" i="32"/>
  <c r="K156" i="32"/>
  <c r="F211" i="32"/>
  <c r="G545" i="32"/>
  <c r="D545" i="32"/>
  <c r="F37" i="32"/>
  <c r="F58" i="32"/>
  <c r="J207" i="32"/>
  <c r="F192" i="32"/>
  <c r="F539" i="32"/>
  <c r="L150" i="32"/>
  <c r="L156" i="32"/>
  <c r="F219" i="32"/>
  <c r="F227" i="32"/>
  <c r="F235" i="32"/>
  <c r="F57" i="32"/>
  <c r="F73" i="32"/>
  <c r="F74" i="32"/>
  <c r="K207" i="32"/>
  <c r="J545" i="32"/>
  <c r="J156" i="32"/>
  <c r="I522" i="32"/>
  <c r="F251" i="32"/>
  <c r="I142" i="32"/>
  <c r="F81" i="32"/>
  <c r="F536" i="32"/>
  <c r="F167" i="32"/>
  <c r="J164" i="32"/>
  <c r="G150" i="32"/>
  <c r="F159" i="32"/>
  <c r="H522" i="32"/>
  <c r="F234" i="32"/>
  <c r="J142" i="32"/>
  <c r="F65" i="32"/>
  <c r="F89" i="32"/>
  <c r="G557" i="32"/>
  <c r="E557" i="32"/>
  <c r="H150" i="32"/>
  <c r="D164" i="32"/>
  <c r="F217" i="32"/>
  <c r="L142" i="32"/>
  <c r="H207" i="32"/>
  <c r="P23" i="32"/>
  <c r="F155" i="32"/>
  <c r="H164" i="32"/>
  <c r="K545" i="32"/>
  <c r="J150" i="32"/>
  <c r="E522" i="32"/>
  <c r="F212" i="32"/>
  <c r="F244" i="32"/>
  <c r="L545" i="32"/>
  <c r="F44" i="32"/>
  <c r="F199" i="32"/>
  <c r="L207" i="32"/>
  <c r="D156" i="32"/>
  <c r="F147" i="32"/>
  <c r="F148" i="32"/>
  <c r="F151" i="32"/>
  <c r="I164" i="32"/>
  <c r="G522" i="32"/>
  <c r="F210" i="32"/>
  <c r="J522" i="32"/>
  <c r="E144" i="32"/>
  <c r="E150" i="32" s="1"/>
  <c r="F158" i="32"/>
  <c r="D211" i="32"/>
  <c r="D522" i="32" s="1"/>
  <c r="E164" i="32"/>
  <c r="E142" i="32"/>
  <c r="D36" i="32"/>
  <c r="D142" i="32" s="1"/>
  <c r="F33" i="32"/>
  <c r="D557" i="32"/>
  <c r="G142" i="32"/>
  <c r="G14" i="32"/>
  <c r="D165" i="32"/>
  <c r="D207" i="32" s="1"/>
  <c r="I207" i="32"/>
  <c r="E165" i="32"/>
  <c r="E207" i="32" s="1"/>
  <c r="F194" i="32"/>
  <c r="F557" i="32" l="1"/>
  <c r="F545" i="32"/>
  <c r="F164" i="32"/>
  <c r="F142" i="32"/>
  <c r="D13" i="32"/>
  <c r="H13" i="32" s="1"/>
  <c r="F207" i="32"/>
  <c r="G13" i="32"/>
  <c r="G23" i="32" s="1"/>
  <c r="C23" i="32"/>
  <c r="F522" i="32"/>
  <c r="F156" i="32"/>
  <c r="H30" i="32"/>
  <c r="ER30" i="32"/>
  <c r="BK30" i="32"/>
  <c r="CP30" i="32"/>
  <c r="BM30" i="32"/>
  <c r="EM30" i="32"/>
  <c r="BT30" i="32"/>
  <c r="CN30" i="32"/>
  <c r="CK30" i="32"/>
  <c r="AM30" i="32"/>
  <c r="FK30" i="32"/>
  <c r="P30" i="32"/>
  <c r="BJ30" i="32"/>
  <c r="DN30" i="32"/>
  <c r="FT30" i="32"/>
  <c r="BH30" i="32"/>
  <c r="EF30" i="32"/>
  <c r="GL30" i="32"/>
  <c r="EJ30" i="32"/>
  <c r="AS30" i="32"/>
  <c r="DE30" i="32"/>
  <c r="FQ30" i="32"/>
  <c r="BG30" i="32"/>
  <c r="DS30" i="32"/>
  <c r="GC30" i="32"/>
  <c r="S30" i="32"/>
  <c r="CQ30" i="32"/>
  <c r="DR30" i="32"/>
  <c r="CS30" i="32"/>
  <c r="FS30" i="32"/>
  <c r="CH30" i="32"/>
  <c r="DZ30" i="32"/>
  <c r="DA30" i="32"/>
  <c r="BC30" i="32"/>
  <c r="GA30" i="32"/>
  <c r="T30" i="32"/>
  <c r="BP30" i="32"/>
  <c r="DT30" i="32"/>
  <c r="GJ30" i="32"/>
  <c r="BR30" i="32"/>
  <c r="EN30" i="32"/>
  <c r="J30" i="32"/>
  <c r="EZ30" i="32"/>
  <c r="BA30" i="32"/>
  <c r="DM30" i="32"/>
  <c r="FY30" i="32"/>
  <c r="BO30" i="32"/>
  <c r="EA30" i="32"/>
  <c r="GI30" i="32"/>
  <c r="AZ30" i="32"/>
  <c r="DI30" i="32"/>
  <c r="GG30" i="32"/>
  <c r="AL30" i="32"/>
  <c r="M30" i="32"/>
  <c r="V30" i="32"/>
  <c r="DX30" i="32"/>
  <c r="AA30" i="32"/>
  <c r="EW30" i="32"/>
  <c r="CY30" i="32"/>
  <c r="D30" i="32"/>
  <c r="D14" i="32" s="1"/>
  <c r="H14" i="32" s="1"/>
  <c r="AH30" i="32"/>
  <c r="CL30" i="32"/>
  <c r="EP30" i="32"/>
  <c r="CR30" i="32"/>
  <c r="FN30" i="32"/>
  <c r="BL30" i="32"/>
  <c r="O30" i="32"/>
  <c r="BY30" i="32"/>
  <c r="EI30" i="32"/>
  <c r="Y30" i="32"/>
  <c r="CM30" i="32"/>
  <c r="EY30" i="32"/>
  <c r="DD30" i="32"/>
  <c r="EO30" i="32"/>
  <c r="R30" i="32"/>
  <c r="DF30" i="32"/>
  <c r="AU30" i="32"/>
  <c r="AD30" i="32"/>
  <c r="EL30" i="32"/>
  <c r="AO30" i="32"/>
  <c r="FM30" i="32"/>
  <c r="DO30" i="32"/>
  <c r="AN30" i="32"/>
  <c r="CT30" i="32"/>
  <c r="EX30" i="32"/>
  <c r="I30" i="32"/>
  <c r="DB30" i="32"/>
  <c r="FV30" i="32"/>
  <c r="CD30" i="32"/>
  <c r="W30" i="32"/>
  <c r="CG30" i="32"/>
  <c r="ES30" i="32"/>
  <c r="AG30" i="32"/>
  <c r="CU30" i="32"/>
  <c r="FG30" i="32"/>
  <c r="CB30" i="32"/>
  <c r="FH30" i="32"/>
  <c r="FU30" i="32"/>
  <c r="AJ30" i="32"/>
  <c r="FZ30" i="32"/>
  <c r="CA30" i="32"/>
  <c r="AR30" i="32"/>
  <c r="FB30" i="32"/>
  <c r="BE30" i="32"/>
  <c r="GE30" i="32"/>
  <c r="EG30" i="32"/>
  <c r="AV30" i="32"/>
  <c r="CZ30" i="32"/>
  <c r="FF30" i="32"/>
  <c r="AP30" i="32"/>
  <c r="DL30" i="32"/>
  <c r="GB30" i="32"/>
  <c r="CV30" i="32"/>
  <c r="AE30" i="32"/>
  <c r="CO30" i="32"/>
  <c r="FA30" i="32"/>
  <c r="AQ30" i="32"/>
  <c r="DC30" i="32"/>
  <c r="FO30" i="32"/>
  <c r="BV30" i="32"/>
  <c r="AC30" i="32"/>
  <c r="BN30" i="32"/>
  <c r="AI30" i="32"/>
  <c r="DG30" i="32"/>
  <c r="BF30" i="32"/>
  <c r="BD30" i="32"/>
  <c r="BS30" i="32"/>
  <c r="U30" i="32"/>
  <c r="EU30" i="32"/>
  <c r="L30" i="32"/>
  <c r="BB30" i="32"/>
  <c r="DH30" i="32"/>
  <c r="FL30" i="32"/>
  <c r="AX30" i="32"/>
  <c r="DV30" i="32"/>
  <c r="GF30" i="32"/>
  <c r="DP30" i="32"/>
  <c r="AK30" i="32"/>
  <c r="CW30" i="32"/>
  <c r="FI30" i="32"/>
  <c r="AY30" i="32"/>
  <c r="DK30" i="32"/>
  <c r="FW30" i="32"/>
  <c r="Z30" i="32"/>
  <c r="DY30" i="32"/>
  <c r="DQ30" i="32"/>
  <c r="BX30" i="32"/>
  <c r="EV30" i="32"/>
  <c r="DU30" i="32"/>
  <c r="CC30" i="32"/>
  <c r="K30" i="32"/>
  <c r="CI30" i="32"/>
  <c r="EH30" i="32"/>
  <c r="AT30" i="32"/>
  <c r="Q30" i="32"/>
  <c r="FX30" i="32"/>
  <c r="BU30" i="32"/>
  <c r="BQ30" i="32"/>
  <c r="ED30" i="32"/>
  <c r="CX30" i="32"/>
  <c r="X30" i="32"/>
  <c r="FD30" i="32"/>
  <c r="BW30" i="32"/>
  <c r="DW30" i="32"/>
  <c r="FJ30" i="32"/>
  <c r="CF30" i="32"/>
  <c r="FR30" i="32"/>
  <c r="EK30" i="32"/>
  <c r="FC30" i="32"/>
  <c r="GH30" i="32"/>
  <c r="EB30" i="32"/>
  <c r="GD30" i="32"/>
  <c r="EQ30" i="32"/>
  <c r="EE30" i="32"/>
  <c r="BI30" i="32"/>
  <c r="G30" i="32"/>
  <c r="EC30" i="32"/>
  <c r="AW30" i="32"/>
  <c r="AB30" i="32"/>
  <c r="CE30" i="32"/>
  <c r="ET30" i="32"/>
  <c r="E30" i="32"/>
  <c r="E14" i="32" s="1"/>
  <c r="FE30" i="32"/>
  <c r="BZ30" i="32"/>
  <c r="FP30" i="32"/>
  <c r="CJ30" i="32"/>
  <c r="DJ30" i="32"/>
  <c r="AF30" i="32"/>
  <c r="N30" i="32"/>
  <c r="GK30" i="32"/>
  <c r="J10" i="40"/>
  <c r="H10" i="40"/>
  <c r="E10" i="40"/>
  <c r="F150" i="32"/>
  <c r="F30" i="32" l="1"/>
  <c r="J13" i="32"/>
  <c r="H23" i="32"/>
  <c r="D23" i="32"/>
  <c r="I14" i="32"/>
  <c r="I23" i="32" s="1"/>
  <c r="E23" i="32"/>
  <c r="J14" i="32" l="1"/>
  <c r="J23" i="32" l="1"/>
  <c r="C11" i="40" s="1"/>
  <c r="C13" i="40" l="1"/>
  <c r="C14" i="40" s="1"/>
  <c r="E11" i="40"/>
  <c r="E13" i="40" s="1"/>
  <c r="E14" i="40" s="1"/>
  <c r="H11" i="40"/>
  <c r="H13" i="40" s="1"/>
  <c r="J11" i="40"/>
  <c r="J13" i="40" s="1"/>
  <c r="C17" i="40" l="1"/>
  <c r="D19" i="42"/>
  <c r="E20" i="42"/>
  <c r="F19" i="42"/>
  <c r="F23" i="42"/>
  <c r="G18" i="42"/>
  <c r="G22" i="42"/>
  <c r="C21" i="42"/>
  <c r="C20" i="40"/>
  <c r="D18" i="42"/>
  <c r="E19" i="42"/>
  <c r="E23" i="42"/>
  <c r="F18" i="42"/>
  <c r="F22" i="42"/>
  <c r="G21" i="42"/>
  <c r="C20" i="42"/>
  <c r="C18" i="40"/>
  <c r="C21" i="40"/>
  <c r="D23" i="42"/>
  <c r="E18" i="42"/>
  <c r="E22" i="42"/>
  <c r="F21" i="42"/>
  <c r="G20" i="42"/>
  <c r="C19" i="42"/>
  <c r="C23" i="42"/>
  <c r="C16" i="40"/>
  <c r="D22" i="42"/>
  <c r="D20" i="42"/>
  <c r="G23" i="42"/>
  <c r="F20" i="42"/>
  <c r="C18" i="42"/>
  <c r="C22" i="42"/>
  <c r="C19" i="40"/>
  <c r="E21" i="42"/>
  <c r="G19" i="42"/>
  <c r="D21" i="42"/>
  <c r="I14" i="40"/>
  <c r="J14" i="40" s="1"/>
  <c r="G14" i="40"/>
  <c r="H14" i="40" s="1"/>
  <c r="E16" i="40"/>
  <c r="E18" i="40"/>
  <c r="J19" i="42"/>
  <c r="J23" i="42"/>
  <c r="K18" i="42"/>
  <c r="K22" i="42"/>
  <c r="L21" i="42"/>
  <c r="H20" i="42"/>
  <c r="E21" i="40"/>
  <c r="I23" i="42"/>
  <c r="J18" i="42"/>
  <c r="J22" i="42"/>
  <c r="K21" i="42"/>
  <c r="L20" i="42"/>
  <c r="H19" i="42"/>
  <c r="H23" i="42"/>
  <c r="E19" i="40"/>
  <c r="I22" i="42"/>
  <c r="I21" i="42"/>
  <c r="J21" i="42"/>
  <c r="K20" i="42"/>
  <c r="L19" i="42"/>
  <c r="L23" i="42"/>
  <c r="H18" i="42"/>
  <c r="H22" i="42"/>
  <c r="E17" i="40"/>
  <c r="I20" i="42"/>
  <c r="I18" i="42"/>
  <c r="L22" i="42"/>
  <c r="K19" i="42"/>
  <c r="E20" i="40"/>
  <c r="I19" i="42"/>
  <c r="K23" i="42"/>
  <c r="H21" i="42"/>
  <c r="J20" i="42"/>
  <c r="L18" i="42"/>
  <c r="D19" i="41" l="1"/>
  <c r="E30" i="40"/>
  <c r="D47" i="41" s="1"/>
  <c r="E82" i="40"/>
  <c r="E48" i="40"/>
  <c r="D65" i="41" s="1"/>
  <c r="E74" i="40"/>
  <c r="D92" i="41" s="1"/>
  <c r="E90" i="40"/>
  <c r="E57" i="40"/>
  <c r="D74" i="41" s="1"/>
  <c r="E39" i="40"/>
  <c r="D56" i="41" s="1"/>
  <c r="E66" i="40"/>
  <c r="D83" i="41" s="1"/>
  <c r="D14" i="41"/>
  <c r="E25" i="40"/>
  <c r="E85" i="40"/>
  <c r="E34" i="40"/>
  <c r="E43" i="40"/>
  <c r="E77" i="40"/>
  <c r="E22" i="40"/>
  <c r="E61" i="40"/>
  <c r="E69" i="40"/>
  <c r="E52" i="40"/>
  <c r="I37" i="42"/>
  <c r="I28" i="42"/>
  <c r="O19" i="42"/>
  <c r="H27" i="42"/>
  <c r="H36" i="42"/>
  <c r="H24" i="42"/>
  <c r="N18" i="42"/>
  <c r="H41" i="42"/>
  <c r="H32" i="42"/>
  <c r="N23" i="42"/>
  <c r="H38" i="42"/>
  <c r="H29" i="42"/>
  <c r="N20" i="42"/>
  <c r="H19" i="40"/>
  <c r="H17" i="40"/>
  <c r="H18" i="40"/>
  <c r="H21" i="40"/>
  <c r="H16" i="40"/>
  <c r="H20" i="40"/>
  <c r="C40" i="42"/>
  <c r="C31" i="42"/>
  <c r="AF22" i="42"/>
  <c r="Y22" i="42"/>
  <c r="C28" i="42"/>
  <c r="C37" i="42"/>
  <c r="C29" i="42"/>
  <c r="C38" i="42"/>
  <c r="C39" i="42"/>
  <c r="C30" i="42"/>
  <c r="D17" i="41"/>
  <c r="E28" i="40"/>
  <c r="D45" i="41" s="1"/>
  <c r="E72" i="40"/>
  <c r="D90" i="41" s="1"/>
  <c r="E46" i="40"/>
  <c r="D63" i="41" s="1"/>
  <c r="E37" i="40"/>
  <c r="D54" i="41" s="1"/>
  <c r="E88" i="40"/>
  <c r="E80" i="40"/>
  <c r="E55" i="40"/>
  <c r="D72" i="41" s="1"/>
  <c r="E64" i="40"/>
  <c r="D81" i="41" s="1"/>
  <c r="C28" i="40"/>
  <c r="C45" i="41" s="1"/>
  <c r="G45" i="41" s="1"/>
  <c r="C17" i="41"/>
  <c r="C72" i="40"/>
  <c r="C90" i="41" s="1"/>
  <c r="G90" i="41" s="1"/>
  <c r="C64" i="40"/>
  <c r="C81" i="41" s="1"/>
  <c r="G81" i="41" s="1"/>
  <c r="C37" i="40"/>
  <c r="C54" i="41" s="1"/>
  <c r="G54" i="41" s="1"/>
  <c r="C55" i="40"/>
  <c r="C72" i="41" s="1"/>
  <c r="G72" i="41" s="1"/>
  <c r="C80" i="40"/>
  <c r="C88" i="40"/>
  <c r="C46" i="40"/>
  <c r="C63" i="41" s="1"/>
  <c r="G63" i="41" s="1"/>
  <c r="E29" i="40"/>
  <c r="D46" i="41" s="1"/>
  <c r="D18" i="41"/>
  <c r="E81" i="40"/>
  <c r="E56" i="40"/>
  <c r="D73" i="41" s="1"/>
  <c r="E65" i="40"/>
  <c r="D82" i="41" s="1"/>
  <c r="E38" i="40"/>
  <c r="D55" i="41" s="1"/>
  <c r="E73" i="40"/>
  <c r="D91" i="41" s="1"/>
  <c r="E89" i="40"/>
  <c r="E47" i="40"/>
  <c r="D64" i="41" s="1"/>
  <c r="L39" i="42"/>
  <c r="L30" i="42"/>
  <c r="R21" i="42"/>
  <c r="C36" i="42"/>
  <c r="C27" i="42"/>
  <c r="C24" i="42"/>
  <c r="Z18" i="42"/>
  <c r="AF18" i="42"/>
  <c r="Y18" i="42"/>
  <c r="G29" i="42"/>
  <c r="G38" i="42"/>
  <c r="G39" i="42"/>
  <c r="G30" i="42"/>
  <c r="G40" i="42"/>
  <c r="G31" i="42"/>
  <c r="C27" i="40"/>
  <c r="C44" i="41" s="1"/>
  <c r="G44" i="41" s="1"/>
  <c r="C16" i="41"/>
  <c r="C71" i="40"/>
  <c r="C89" i="41" s="1"/>
  <c r="G89" i="41" s="1"/>
  <c r="C45" i="40"/>
  <c r="C62" i="41" s="1"/>
  <c r="G62" i="41" s="1"/>
  <c r="C54" i="40"/>
  <c r="C71" i="41" s="1"/>
  <c r="G71" i="41" s="1"/>
  <c r="C79" i="40"/>
  <c r="C36" i="40"/>
  <c r="C53" i="41" s="1"/>
  <c r="G53" i="41" s="1"/>
  <c r="C63" i="40"/>
  <c r="C80" i="41" s="1"/>
  <c r="G80" i="41" s="1"/>
  <c r="C87" i="40"/>
  <c r="L38" i="42"/>
  <c r="L29" i="42"/>
  <c r="R20" i="42"/>
  <c r="L31" i="42"/>
  <c r="L40" i="42"/>
  <c r="R22" i="42"/>
  <c r="AD22" i="42" s="1"/>
  <c r="K38" i="42"/>
  <c r="K29" i="42"/>
  <c r="Q20" i="42"/>
  <c r="G32" i="42"/>
  <c r="G41" i="42"/>
  <c r="E31" i="42"/>
  <c r="E40" i="42"/>
  <c r="F36" i="42"/>
  <c r="F27" i="42"/>
  <c r="F24" i="42"/>
  <c r="F41" i="42"/>
  <c r="F32" i="42"/>
  <c r="K32" i="42"/>
  <c r="K41" i="42"/>
  <c r="Q23" i="42"/>
  <c r="C15" i="41"/>
  <c r="C26" i="40"/>
  <c r="C43" i="41" s="1"/>
  <c r="G43" i="41" s="1"/>
  <c r="C78" i="40"/>
  <c r="C35" i="40"/>
  <c r="C52" i="41" s="1"/>
  <c r="G52" i="41" s="1"/>
  <c r="C44" i="40"/>
  <c r="C61" i="41" s="1"/>
  <c r="G61" i="41" s="1"/>
  <c r="C62" i="40"/>
  <c r="C79" i="41" s="1"/>
  <c r="G79" i="41" s="1"/>
  <c r="C70" i="40"/>
  <c r="C88" i="41" s="1"/>
  <c r="G88" i="41" s="1"/>
  <c r="C53" i="40"/>
  <c r="C70" i="41" s="1"/>
  <c r="G70" i="41" s="1"/>
  <c r="C86" i="40"/>
  <c r="H37" i="42"/>
  <c r="H28" i="42"/>
  <c r="N28" i="42" s="1"/>
  <c r="N19" i="42"/>
  <c r="K28" i="42"/>
  <c r="K37" i="42"/>
  <c r="Q19" i="42"/>
  <c r="J21" i="40"/>
  <c r="J16" i="40"/>
  <c r="J18" i="40"/>
  <c r="J20" i="40"/>
  <c r="J17" i="40"/>
  <c r="J19" i="40"/>
  <c r="G36" i="42"/>
  <c r="G27" i="42"/>
  <c r="G24" i="42"/>
  <c r="K30" i="42"/>
  <c r="K39" i="42"/>
  <c r="Q21" i="42"/>
  <c r="L27" i="42"/>
  <c r="L36" i="42"/>
  <c r="R18" i="42"/>
  <c r="AD18" i="42" s="1"/>
  <c r="L24" i="42"/>
  <c r="I36" i="42"/>
  <c r="I27" i="42"/>
  <c r="O18" i="42"/>
  <c r="AA18" i="42" s="1"/>
  <c r="I24" i="42"/>
  <c r="J30" i="42"/>
  <c r="J39" i="42"/>
  <c r="P21" i="42"/>
  <c r="J40" i="42"/>
  <c r="J31" i="42"/>
  <c r="P22" i="42"/>
  <c r="AB22" i="42" s="1"/>
  <c r="J41" i="42"/>
  <c r="J32" i="42"/>
  <c r="P23" i="42"/>
  <c r="D30" i="42"/>
  <c r="D39" i="42"/>
  <c r="D38" i="42"/>
  <c r="D29" i="42"/>
  <c r="E36" i="42"/>
  <c r="E27" i="42"/>
  <c r="E24" i="42"/>
  <c r="E41" i="42"/>
  <c r="E32" i="42"/>
  <c r="F37" i="42"/>
  <c r="F28" i="42"/>
  <c r="C29" i="40"/>
  <c r="C46" i="41" s="1"/>
  <c r="G46" i="41" s="1"/>
  <c r="C18" i="41"/>
  <c r="C65" i="40"/>
  <c r="C82" i="41" s="1"/>
  <c r="G82" i="41" s="1"/>
  <c r="C56" i="40"/>
  <c r="C73" i="41" s="1"/>
  <c r="G73" i="41" s="1"/>
  <c r="C89" i="40"/>
  <c r="C81" i="40"/>
  <c r="C47" i="40"/>
  <c r="C64" i="41" s="1"/>
  <c r="G64" i="41" s="1"/>
  <c r="C73" i="40"/>
  <c r="C91" i="41" s="1"/>
  <c r="G91" i="41" s="1"/>
  <c r="C38" i="40"/>
  <c r="C55" i="41" s="1"/>
  <c r="G55" i="41" s="1"/>
  <c r="L41" i="42"/>
  <c r="L32" i="42"/>
  <c r="R23" i="42"/>
  <c r="L28" i="42"/>
  <c r="L37" i="42"/>
  <c r="R19" i="42"/>
  <c r="K40" i="42"/>
  <c r="K31" i="42"/>
  <c r="Q22" i="42"/>
  <c r="AC22" i="42" s="1"/>
  <c r="F29" i="42"/>
  <c r="F38" i="42"/>
  <c r="F40" i="42"/>
  <c r="F31" i="42"/>
  <c r="K36" i="42"/>
  <c r="K27" i="42"/>
  <c r="Q18" i="42"/>
  <c r="K24" i="42"/>
  <c r="J29" i="42"/>
  <c r="J38" i="42"/>
  <c r="P20" i="42"/>
  <c r="I29" i="42"/>
  <c r="I38" i="42"/>
  <c r="O20" i="42"/>
  <c r="I30" i="42"/>
  <c r="I39" i="42"/>
  <c r="O21" i="42"/>
  <c r="J27" i="42"/>
  <c r="J36" i="42"/>
  <c r="J24" i="42"/>
  <c r="P18" i="42"/>
  <c r="AB18" i="42" s="1"/>
  <c r="J37" i="42"/>
  <c r="J28" i="42"/>
  <c r="P19" i="42"/>
  <c r="G37" i="42"/>
  <c r="G28" i="42"/>
  <c r="D31" i="42"/>
  <c r="D40" i="42"/>
  <c r="D32" i="42"/>
  <c r="D41" i="42"/>
  <c r="E28" i="42"/>
  <c r="E37" i="42"/>
  <c r="E38" i="42"/>
  <c r="E29" i="42"/>
  <c r="H31" i="42"/>
  <c r="H40" i="42"/>
  <c r="N22" i="42"/>
  <c r="Z22" i="42" s="1"/>
  <c r="C32" i="42"/>
  <c r="C41" i="42"/>
  <c r="F30" i="42"/>
  <c r="F39" i="42"/>
  <c r="H30" i="42"/>
  <c r="H39" i="42"/>
  <c r="N21" i="42"/>
  <c r="D15" i="41"/>
  <c r="E26" i="40"/>
  <c r="D43" i="41" s="1"/>
  <c r="E78" i="40"/>
  <c r="E35" i="40"/>
  <c r="D52" i="41" s="1"/>
  <c r="E86" i="40"/>
  <c r="E62" i="40"/>
  <c r="D79" i="41" s="1"/>
  <c r="E53" i="40"/>
  <c r="D70" i="41" s="1"/>
  <c r="E70" i="40"/>
  <c r="D88" i="41" s="1"/>
  <c r="E44" i="40"/>
  <c r="D61" i="41" s="1"/>
  <c r="I40" i="42"/>
  <c r="I31" i="42"/>
  <c r="O22" i="42"/>
  <c r="AA22" i="42" s="1"/>
  <c r="I32" i="42"/>
  <c r="I41" i="42"/>
  <c r="O23" i="42"/>
  <c r="D16" i="41"/>
  <c r="E27" i="40"/>
  <c r="D44" i="41" s="1"/>
  <c r="E87" i="40"/>
  <c r="E45" i="40"/>
  <c r="D62" i="41" s="1"/>
  <c r="E71" i="40"/>
  <c r="D89" i="41" s="1"/>
  <c r="E36" i="40"/>
  <c r="D53" i="41" s="1"/>
  <c r="E79" i="40"/>
  <c r="E63" i="40"/>
  <c r="D80" i="41" s="1"/>
  <c r="E54" i="40"/>
  <c r="D71" i="41" s="1"/>
  <c r="E30" i="42"/>
  <c r="E39" i="42"/>
  <c r="C25" i="40"/>
  <c r="C14" i="41"/>
  <c r="C61" i="40"/>
  <c r="C85" i="40"/>
  <c r="C77" i="40"/>
  <c r="C22" i="40"/>
  <c r="C52" i="40"/>
  <c r="C69" i="40"/>
  <c r="C43" i="40"/>
  <c r="C34" i="40"/>
  <c r="C30" i="40"/>
  <c r="C47" i="41" s="1"/>
  <c r="G47" i="41" s="1"/>
  <c r="C19" i="41"/>
  <c r="C90" i="40"/>
  <c r="C74" i="40"/>
  <c r="C92" i="41" s="1"/>
  <c r="G92" i="41" s="1"/>
  <c r="C57" i="40"/>
  <c r="C74" i="41" s="1"/>
  <c r="G74" i="41" s="1"/>
  <c r="C82" i="40"/>
  <c r="C39" i="40"/>
  <c r="C56" i="41" s="1"/>
  <c r="G56" i="41" s="1"/>
  <c r="C48" i="40"/>
  <c r="C65" i="41" s="1"/>
  <c r="G65" i="41" s="1"/>
  <c r="C66" i="40"/>
  <c r="C83" i="41" s="1"/>
  <c r="G83" i="41" s="1"/>
  <c r="D36" i="42"/>
  <c r="D27" i="42"/>
  <c r="D24" i="42"/>
  <c r="D37" i="42"/>
  <c r="D28" i="42"/>
  <c r="O30" i="42" l="1"/>
  <c r="O31" i="42"/>
  <c r="AA31" i="42" s="1"/>
  <c r="R32" i="42"/>
  <c r="N31" i="42"/>
  <c r="Z31" i="42" s="1"/>
  <c r="P29" i="42"/>
  <c r="Q31" i="42"/>
  <c r="AC31" i="42" s="1"/>
  <c r="P28" i="42"/>
  <c r="R31" i="42"/>
  <c r="AD31" i="42" s="1"/>
  <c r="P30" i="42"/>
  <c r="Q28" i="42"/>
  <c r="P32" i="42"/>
  <c r="E52" i="41"/>
  <c r="H52" i="41"/>
  <c r="I52" i="41" s="1"/>
  <c r="J88" i="40"/>
  <c r="J46" i="40"/>
  <c r="J55" i="40"/>
  <c r="J37" i="40"/>
  <c r="J80" i="40"/>
  <c r="J64" i="40"/>
  <c r="J72" i="40"/>
  <c r="J28" i="40"/>
  <c r="E72" i="41"/>
  <c r="H72" i="41"/>
  <c r="I72" i="41" s="1"/>
  <c r="AI22" i="42"/>
  <c r="AJ22" i="42"/>
  <c r="AK22" i="42"/>
  <c r="AG22" i="42"/>
  <c r="AH22" i="42"/>
  <c r="H83" i="41"/>
  <c r="I83" i="41" s="1"/>
  <c r="E83" i="41"/>
  <c r="C60" i="41"/>
  <c r="C49" i="40"/>
  <c r="C42" i="41"/>
  <c r="C31" i="40"/>
  <c r="H62" i="41"/>
  <c r="I62" i="41" s="1"/>
  <c r="E62" i="41"/>
  <c r="C77" i="42"/>
  <c r="C68" i="42"/>
  <c r="C113" i="42"/>
  <c r="C95" i="42"/>
  <c r="C50" i="42"/>
  <c r="C59" i="42"/>
  <c r="C104" i="42"/>
  <c r="C86" i="42"/>
  <c r="Y41" i="42"/>
  <c r="AF41" i="42"/>
  <c r="O39" i="42"/>
  <c r="T39" i="42" s="1"/>
  <c r="I75" i="42"/>
  <c r="I48" i="42"/>
  <c r="I102" i="42"/>
  <c r="I66" i="42"/>
  <c r="I93" i="42"/>
  <c r="I84" i="42"/>
  <c r="I111" i="42"/>
  <c r="I57" i="42"/>
  <c r="J26" i="40"/>
  <c r="J44" i="40"/>
  <c r="J86" i="40"/>
  <c r="J70" i="40"/>
  <c r="J62" i="40"/>
  <c r="J53" i="40"/>
  <c r="J35" i="40"/>
  <c r="J78" i="40"/>
  <c r="F113" i="42"/>
  <c r="F104" i="42"/>
  <c r="F77" i="42"/>
  <c r="F50" i="42"/>
  <c r="F68" i="42"/>
  <c r="F59" i="42"/>
  <c r="F86" i="42"/>
  <c r="F95" i="42"/>
  <c r="G77" i="42"/>
  <c r="G68" i="42"/>
  <c r="G86" i="42"/>
  <c r="G104" i="42"/>
  <c r="G50" i="42"/>
  <c r="G59" i="42"/>
  <c r="G113" i="42"/>
  <c r="G95" i="42"/>
  <c r="G111" i="42"/>
  <c r="G102" i="42"/>
  <c r="G66" i="42"/>
  <c r="G84" i="42"/>
  <c r="G48" i="42"/>
  <c r="G57" i="42"/>
  <c r="G93" i="42"/>
  <c r="G75" i="42"/>
  <c r="C108" i="42"/>
  <c r="C99" i="42"/>
  <c r="C63" i="42"/>
  <c r="C72" i="42"/>
  <c r="C45" i="42"/>
  <c r="C54" i="42"/>
  <c r="AF36" i="42"/>
  <c r="C90" i="42"/>
  <c r="C81" i="42"/>
  <c r="Y36" i="42"/>
  <c r="E82" i="41"/>
  <c r="H82" i="41"/>
  <c r="I82" i="41" s="1"/>
  <c r="C111" i="42"/>
  <c r="C102" i="42"/>
  <c r="C66" i="42"/>
  <c r="C84" i="42"/>
  <c r="C48" i="42"/>
  <c r="C57" i="42"/>
  <c r="C93" i="42"/>
  <c r="C75" i="42"/>
  <c r="Y31" i="42"/>
  <c r="AF31" i="42"/>
  <c r="N36" i="42"/>
  <c r="S36" i="42" s="1"/>
  <c r="H90" i="42"/>
  <c r="H63" i="42"/>
  <c r="H99" i="42"/>
  <c r="H108" i="42"/>
  <c r="H81" i="42"/>
  <c r="H72" i="42"/>
  <c r="H45" i="42"/>
  <c r="H54" i="42"/>
  <c r="E56" i="41"/>
  <c r="H56" i="41"/>
  <c r="I56" i="41" s="1"/>
  <c r="C33" i="42"/>
  <c r="AF27" i="42"/>
  <c r="Y27" i="42"/>
  <c r="H64" i="40"/>
  <c r="H72" i="40"/>
  <c r="H37" i="40"/>
  <c r="H46" i="40"/>
  <c r="H80" i="40"/>
  <c r="H28" i="40"/>
  <c r="H55" i="40"/>
  <c r="H88" i="40"/>
  <c r="D109" i="42"/>
  <c r="D100" i="42"/>
  <c r="D73" i="42"/>
  <c r="D64" i="42"/>
  <c r="D46" i="42"/>
  <c r="D55" i="42"/>
  <c r="D91" i="42"/>
  <c r="D82" i="42"/>
  <c r="C87" i="41"/>
  <c r="C75" i="40"/>
  <c r="E75" i="42"/>
  <c r="E66" i="42"/>
  <c r="E111" i="42"/>
  <c r="E93" i="42"/>
  <c r="E48" i="42"/>
  <c r="E57" i="42"/>
  <c r="E84" i="42"/>
  <c r="E102" i="42"/>
  <c r="O40" i="42"/>
  <c r="T40" i="42" s="1"/>
  <c r="I94" i="42"/>
  <c r="I67" i="42"/>
  <c r="I58" i="42"/>
  <c r="I76" i="42"/>
  <c r="I112" i="42"/>
  <c r="I49" i="42"/>
  <c r="I103" i="42"/>
  <c r="I85" i="42"/>
  <c r="H43" i="41"/>
  <c r="I43" i="41" s="1"/>
  <c r="E43" i="41"/>
  <c r="D113" i="42"/>
  <c r="D104" i="42"/>
  <c r="D77" i="42"/>
  <c r="D68" i="42"/>
  <c r="D50" i="42"/>
  <c r="D59" i="42"/>
  <c r="D95" i="42"/>
  <c r="D86" i="42"/>
  <c r="Q24" i="42"/>
  <c r="R41" i="42"/>
  <c r="W41" i="42" s="1"/>
  <c r="L77" i="42"/>
  <c r="L113" i="42"/>
  <c r="L86" i="42"/>
  <c r="L95" i="42"/>
  <c r="L104" i="42"/>
  <c r="L59" i="42"/>
  <c r="L50" i="42"/>
  <c r="L68" i="42"/>
  <c r="G18" i="41"/>
  <c r="C8" i="41"/>
  <c r="C27" i="41"/>
  <c r="G27" i="41" s="1"/>
  <c r="C36" i="41"/>
  <c r="G36" i="41" s="1"/>
  <c r="E33" i="42"/>
  <c r="P41" i="42"/>
  <c r="U41" i="42" s="1"/>
  <c r="J104" i="42"/>
  <c r="J113" i="42"/>
  <c r="J86" i="42"/>
  <c r="J50" i="42"/>
  <c r="J68" i="42"/>
  <c r="J95" i="42"/>
  <c r="J77" i="42"/>
  <c r="J59" i="42"/>
  <c r="O24" i="42"/>
  <c r="Q39" i="42"/>
  <c r="V39" i="42" s="1"/>
  <c r="K84" i="42"/>
  <c r="K75" i="42"/>
  <c r="K48" i="42"/>
  <c r="K111" i="42"/>
  <c r="K57" i="42"/>
  <c r="K93" i="42"/>
  <c r="K66" i="42"/>
  <c r="K102" i="42"/>
  <c r="J38" i="40"/>
  <c r="J47" i="40"/>
  <c r="J29" i="40"/>
  <c r="J81" i="40"/>
  <c r="J65" i="40"/>
  <c r="J73" i="40"/>
  <c r="J89" i="40"/>
  <c r="J56" i="40"/>
  <c r="AC18" i="42"/>
  <c r="R29" i="42"/>
  <c r="G110" i="42"/>
  <c r="G101" i="42"/>
  <c r="G74" i="42"/>
  <c r="G65" i="42"/>
  <c r="G47" i="42"/>
  <c r="G56" i="42"/>
  <c r="G83" i="42"/>
  <c r="G92" i="42"/>
  <c r="H73" i="41"/>
  <c r="I73" i="41" s="1"/>
  <c r="E73" i="41"/>
  <c r="C110" i="42"/>
  <c r="C101" i="42"/>
  <c r="C74" i="42"/>
  <c r="C65" i="42"/>
  <c r="C47" i="42"/>
  <c r="C56" i="42"/>
  <c r="C83" i="42"/>
  <c r="C92" i="42"/>
  <c r="C112" i="42"/>
  <c r="C103" i="42"/>
  <c r="C76" i="42"/>
  <c r="C67" i="42"/>
  <c r="C49" i="42"/>
  <c r="C58" i="42"/>
  <c r="C94" i="42"/>
  <c r="C85" i="42"/>
  <c r="N29" i="42"/>
  <c r="H33" i="42"/>
  <c r="N27" i="42"/>
  <c r="E83" i="40"/>
  <c r="H74" i="41"/>
  <c r="I74" i="41" s="1"/>
  <c r="E74" i="41"/>
  <c r="E44" i="41"/>
  <c r="H44" i="41"/>
  <c r="I44" i="41" s="1"/>
  <c r="R30" i="42"/>
  <c r="H55" i="41"/>
  <c r="I55" i="41" s="1"/>
  <c r="E55" i="41"/>
  <c r="C69" i="41"/>
  <c r="C58" i="40"/>
  <c r="E108" i="42"/>
  <c r="E99" i="42"/>
  <c r="E72" i="42"/>
  <c r="E63" i="42"/>
  <c r="E45" i="42"/>
  <c r="E54" i="42"/>
  <c r="E81" i="42"/>
  <c r="E90" i="42"/>
  <c r="O27" i="42"/>
  <c r="AA27" i="42" s="1"/>
  <c r="I33" i="42"/>
  <c r="N37" i="42"/>
  <c r="S37" i="42" s="1"/>
  <c r="H100" i="42"/>
  <c r="H64" i="42"/>
  <c r="H82" i="42"/>
  <c r="H46" i="42"/>
  <c r="H55" i="42"/>
  <c r="H109" i="42"/>
  <c r="H91" i="42"/>
  <c r="H73" i="42"/>
  <c r="R38" i="42"/>
  <c r="W38" i="42" s="1"/>
  <c r="L65" i="42"/>
  <c r="L74" i="42"/>
  <c r="L110" i="42"/>
  <c r="L47" i="42"/>
  <c r="L56" i="42"/>
  <c r="L101" i="42"/>
  <c r="L92" i="42"/>
  <c r="L83" i="42"/>
  <c r="N38" i="42"/>
  <c r="S38" i="42" s="1"/>
  <c r="H110" i="42"/>
  <c r="H74" i="42"/>
  <c r="H83" i="42"/>
  <c r="H65" i="42"/>
  <c r="H56" i="42"/>
  <c r="H47" i="42"/>
  <c r="H101" i="42"/>
  <c r="H92" i="42"/>
  <c r="D6" i="41"/>
  <c r="H16" i="41"/>
  <c r="E16" i="41"/>
  <c r="D34" i="41"/>
  <c r="D25" i="41"/>
  <c r="O38" i="42"/>
  <c r="T38" i="42" s="1"/>
  <c r="I65" i="42"/>
  <c r="I101" i="42"/>
  <c r="I47" i="42"/>
  <c r="I83" i="42"/>
  <c r="I56" i="42"/>
  <c r="I110" i="42"/>
  <c r="I92" i="42"/>
  <c r="I74" i="42"/>
  <c r="P31" i="42"/>
  <c r="AB31" i="42" s="1"/>
  <c r="O36" i="42"/>
  <c r="T36" i="42" s="1"/>
  <c r="I81" i="42"/>
  <c r="I108" i="42"/>
  <c r="I45" i="42"/>
  <c r="I54" i="42"/>
  <c r="I99" i="42"/>
  <c r="I63" i="42"/>
  <c r="I90" i="42"/>
  <c r="I72" i="42"/>
  <c r="J34" i="40"/>
  <c r="J52" i="40"/>
  <c r="J85" i="40"/>
  <c r="J22" i="40"/>
  <c r="J77" i="40"/>
  <c r="J43" i="40"/>
  <c r="J61" i="40"/>
  <c r="J69" i="40"/>
  <c r="J25" i="40"/>
  <c r="G15" i="41"/>
  <c r="C5" i="41"/>
  <c r="C24" i="41"/>
  <c r="G24" i="41" s="1"/>
  <c r="C33" i="41"/>
  <c r="G33" i="41" s="1"/>
  <c r="F33" i="42"/>
  <c r="Q29" i="42"/>
  <c r="R39" i="42"/>
  <c r="W39" i="42" s="1"/>
  <c r="L66" i="42"/>
  <c r="L102" i="42"/>
  <c r="L48" i="42"/>
  <c r="L84" i="42"/>
  <c r="L57" i="42"/>
  <c r="L111" i="42"/>
  <c r="L75" i="42"/>
  <c r="R75" i="42" s="1"/>
  <c r="W75" i="42" s="1"/>
  <c r="L93" i="42"/>
  <c r="H18" i="41"/>
  <c r="D8" i="41"/>
  <c r="E18" i="41"/>
  <c r="D36" i="41"/>
  <c r="D27" i="41"/>
  <c r="H63" i="41"/>
  <c r="I63" i="41" s="1"/>
  <c r="E63" i="41"/>
  <c r="C91" i="42"/>
  <c r="C73" i="42"/>
  <c r="C82" i="42"/>
  <c r="C100" i="42"/>
  <c r="C46" i="42"/>
  <c r="C55" i="42"/>
  <c r="C64" i="42"/>
  <c r="C109" i="42"/>
  <c r="H43" i="40"/>
  <c r="H25" i="40"/>
  <c r="H34" i="40"/>
  <c r="H77" i="40"/>
  <c r="H69" i="40"/>
  <c r="H85" i="40"/>
  <c r="H61" i="40"/>
  <c r="H52" i="40"/>
  <c r="H22" i="40"/>
  <c r="O28" i="42"/>
  <c r="E40" i="40"/>
  <c r="D51" i="41"/>
  <c r="E92" i="41"/>
  <c r="H92" i="41"/>
  <c r="I92" i="41" s="1"/>
  <c r="E89" i="41"/>
  <c r="H89" i="41"/>
  <c r="I89" i="41" s="1"/>
  <c r="G91" i="42"/>
  <c r="G73" i="42"/>
  <c r="G82" i="42"/>
  <c r="G109" i="42"/>
  <c r="G46" i="42"/>
  <c r="G55" i="42"/>
  <c r="G64" i="42"/>
  <c r="G100" i="42"/>
  <c r="E61" i="41"/>
  <c r="H61" i="41"/>
  <c r="I61" i="41" s="1"/>
  <c r="P37" i="42"/>
  <c r="U37" i="42" s="1"/>
  <c r="J109" i="42"/>
  <c r="J91" i="42"/>
  <c r="J64" i="42"/>
  <c r="J82" i="42"/>
  <c r="J55" i="42"/>
  <c r="J100" i="42"/>
  <c r="J46" i="42"/>
  <c r="J73" i="42"/>
  <c r="Q27" i="42"/>
  <c r="AC27" i="42" s="1"/>
  <c r="K33" i="42"/>
  <c r="J87" i="40"/>
  <c r="J27" i="40"/>
  <c r="J79" i="40"/>
  <c r="J71" i="40"/>
  <c r="J36" i="40"/>
  <c r="J54" i="40"/>
  <c r="J45" i="40"/>
  <c r="J63" i="40"/>
  <c r="H47" i="40"/>
  <c r="H89" i="40"/>
  <c r="H38" i="40"/>
  <c r="H81" i="40"/>
  <c r="H56" i="40"/>
  <c r="H29" i="40"/>
  <c r="H73" i="40"/>
  <c r="H65" i="40"/>
  <c r="P24" i="42"/>
  <c r="D33" i="42"/>
  <c r="H80" i="41"/>
  <c r="I80" i="41" s="1"/>
  <c r="E80" i="41"/>
  <c r="E70" i="41"/>
  <c r="H70" i="41"/>
  <c r="I70" i="41" s="1"/>
  <c r="N39" i="42"/>
  <c r="S39" i="42" s="1"/>
  <c r="H111" i="42"/>
  <c r="N111" i="42" s="1"/>
  <c r="S111" i="42" s="1"/>
  <c r="H84" i="42"/>
  <c r="H66" i="42"/>
  <c r="N66" i="42" s="1"/>
  <c r="S66" i="42" s="1"/>
  <c r="H75" i="42"/>
  <c r="H93" i="42"/>
  <c r="H48" i="42"/>
  <c r="H57" i="42"/>
  <c r="H102" i="42"/>
  <c r="D76" i="42"/>
  <c r="D67" i="42"/>
  <c r="D85" i="42"/>
  <c r="D103" i="42"/>
  <c r="D49" i="42"/>
  <c r="D58" i="42"/>
  <c r="D94" i="42"/>
  <c r="D112" i="42"/>
  <c r="O29" i="42"/>
  <c r="F109" i="42"/>
  <c r="F100" i="42"/>
  <c r="F64" i="42"/>
  <c r="F46" i="42"/>
  <c r="F73" i="42"/>
  <c r="F55" i="42"/>
  <c r="F91" i="42"/>
  <c r="F82" i="42"/>
  <c r="D110" i="42"/>
  <c r="D101" i="42"/>
  <c r="D65" i="42"/>
  <c r="D83" i="42"/>
  <c r="D47" i="42"/>
  <c r="D56" i="42"/>
  <c r="D74" i="42"/>
  <c r="D92" i="42"/>
  <c r="P40" i="42"/>
  <c r="U40" i="42" s="1"/>
  <c r="J103" i="42"/>
  <c r="J85" i="42"/>
  <c r="J58" i="42"/>
  <c r="J94" i="42"/>
  <c r="J67" i="42"/>
  <c r="J49" i="42"/>
  <c r="J112" i="42"/>
  <c r="J76" i="42"/>
  <c r="J90" i="40"/>
  <c r="J82" i="40"/>
  <c r="J57" i="40"/>
  <c r="J66" i="40"/>
  <c r="J30" i="40"/>
  <c r="J74" i="40"/>
  <c r="J39" i="40"/>
  <c r="J48" i="40"/>
  <c r="F108" i="42"/>
  <c r="F99" i="42"/>
  <c r="F63" i="42"/>
  <c r="F81" i="42"/>
  <c r="F45" i="42"/>
  <c r="F54" i="42"/>
  <c r="F72" i="42"/>
  <c r="F90" i="42"/>
  <c r="Q38" i="42"/>
  <c r="V38" i="42" s="1"/>
  <c r="K110" i="42"/>
  <c r="K101" i="42"/>
  <c r="K47" i="42"/>
  <c r="K74" i="42"/>
  <c r="K65" i="42"/>
  <c r="K83" i="42"/>
  <c r="K56" i="42"/>
  <c r="K92" i="42"/>
  <c r="AH18" i="42"/>
  <c r="AJ18" i="42"/>
  <c r="AG18" i="42"/>
  <c r="AK18" i="42"/>
  <c r="AI18" i="42"/>
  <c r="E64" i="41"/>
  <c r="H64" i="41"/>
  <c r="I64" i="41" s="1"/>
  <c r="E46" i="41"/>
  <c r="H46" i="41"/>
  <c r="I46" i="41" s="1"/>
  <c r="G17" i="41"/>
  <c r="C7" i="41"/>
  <c r="C26" i="41"/>
  <c r="G26" i="41" s="1"/>
  <c r="C35" i="41"/>
  <c r="G35" i="41" s="1"/>
  <c r="H90" i="41"/>
  <c r="I90" i="41" s="1"/>
  <c r="E90" i="41"/>
  <c r="H48" i="40"/>
  <c r="H66" i="40"/>
  <c r="H90" i="40"/>
  <c r="H82" i="40"/>
  <c r="H57" i="40"/>
  <c r="H30" i="40"/>
  <c r="H74" i="40"/>
  <c r="H39" i="40"/>
  <c r="N32" i="42"/>
  <c r="O37" i="42"/>
  <c r="T37" i="42" s="1"/>
  <c r="I73" i="42"/>
  <c r="I46" i="42"/>
  <c r="I109" i="42"/>
  <c r="I100" i="42"/>
  <c r="I64" i="42"/>
  <c r="I91" i="42"/>
  <c r="I82" i="42"/>
  <c r="I55" i="42"/>
  <c r="E91" i="40"/>
  <c r="H65" i="41"/>
  <c r="I65" i="41" s="1"/>
  <c r="E65" i="41"/>
  <c r="C4" i="41"/>
  <c r="G14" i="41"/>
  <c r="C23" i="41"/>
  <c r="C32" i="41"/>
  <c r="C20" i="41"/>
  <c r="F92" i="42"/>
  <c r="F74" i="42"/>
  <c r="F83" i="42"/>
  <c r="F101" i="42"/>
  <c r="F47" i="42"/>
  <c r="F56" i="42"/>
  <c r="F110" i="42"/>
  <c r="F65" i="42"/>
  <c r="R27" i="42"/>
  <c r="AD27" i="42" s="1"/>
  <c r="L33" i="42"/>
  <c r="Q30" i="42"/>
  <c r="E54" i="41"/>
  <c r="H54" i="41"/>
  <c r="I54" i="41" s="1"/>
  <c r="E71" i="41"/>
  <c r="H71" i="41"/>
  <c r="I71" i="41" s="1"/>
  <c r="N40" i="42"/>
  <c r="S40" i="42" s="1"/>
  <c r="H94" i="42"/>
  <c r="H58" i="42"/>
  <c r="H76" i="42"/>
  <c r="H67" i="42"/>
  <c r="H85" i="42"/>
  <c r="H103" i="42"/>
  <c r="H112" i="42"/>
  <c r="H49" i="42"/>
  <c r="Q40" i="42"/>
  <c r="V40" i="42" s="1"/>
  <c r="K49" i="42"/>
  <c r="K103" i="42"/>
  <c r="K67" i="42"/>
  <c r="K112" i="42"/>
  <c r="K94" i="42"/>
  <c r="K58" i="42"/>
  <c r="K85" i="42"/>
  <c r="K76" i="42"/>
  <c r="C9" i="41"/>
  <c r="G19" i="41"/>
  <c r="C37" i="41"/>
  <c r="G37" i="41" s="1"/>
  <c r="C28" i="41"/>
  <c r="G28" i="41" s="1"/>
  <c r="H79" i="41"/>
  <c r="I79" i="41" s="1"/>
  <c r="E79" i="41"/>
  <c r="N30" i="42"/>
  <c r="P36" i="42"/>
  <c r="U36" i="42" s="1"/>
  <c r="J45" i="42"/>
  <c r="J108" i="42"/>
  <c r="J81" i="42"/>
  <c r="J54" i="42"/>
  <c r="J90" i="42"/>
  <c r="J63" i="42"/>
  <c r="J72" i="42"/>
  <c r="J99" i="42"/>
  <c r="R37" i="42"/>
  <c r="W37" i="42" s="1"/>
  <c r="L46" i="42"/>
  <c r="L100" i="42"/>
  <c r="L109" i="42"/>
  <c r="L91" i="42"/>
  <c r="L55" i="42"/>
  <c r="L73" i="42"/>
  <c r="L64" i="42"/>
  <c r="L82" i="42"/>
  <c r="D66" i="42"/>
  <c r="D48" i="42"/>
  <c r="D111" i="42"/>
  <c r="D102" i="42"/>
  <c r="D93" i="42"/>
  <c r="D84" i="42"/>
  <c r="D57" i="42"/>
  <c r="D75" i="42"/>
  <c r="R24" i="42"/>
  <c r="G33" i="42"/>
  <c r="Q41" i="42"/>
  <c r="V41" i="42" s="1"/>
  <c r="K77" i="42"/>
  <c r="K59" i="42"/>
  <c r="K68" i="42"/>
  <c r="K95" i="42"/>
  <c r="K50" i="42"/>
  <c r="K113" i="42"/>
  <c r="K86" i="42"/>
  <c r="K104" i="42"/>
  <c r="H45" i="41"/>
  <c r="I45" i="41" s="1"/>
  <c r="E45" i="41"/>
  <c r="H27" i="40"/>
  <c r="H71" i="40"/>
  <c r="H36" i="40"/>
  <c r="H54" i="40"/>
  <c r="H79" i="40"/>
  <c r="H63" i="40"/>
  <c r="H87" i="40"/>
  <c r="H45" i="40"/>
  <c r="N41" i="42"/>
  <c r="S41" i="42" s="1"/>
  <c r="H68" i="42"/>
  <c r="H50" i="42"/>
  <c r="H77" i="42"/>
  <c r="H113" i="42"/>
  <c r="H104" i="42"/>
  <c r="H95" i="42"/>
  <c r="H59" i="42"/>
  <c r="H86" i="42"/>
  <c r="D69" i="41"/>
  <c r="E58" i="40"/>
  <c r="D42" i="41"/>
  <c r="E31" i="40"/>
  <c r="C51" i="41"/>
  <c r="C40" i="40"/>
  <c r="E109" i="42"/>
  <c r="E100" i="42"/>
  <c r="E64" i="42"/>
  <c r="E82" i="42"/>
  <c r="E46" i="42"/>
  <c r="E55" i="42"/>
  <c r="E91" i="42"/>
  <c r="E73" i="42"/>
  <c r="D5" i="41"/>
  <c r="H15" i="41"/>
  <c r="E15" i="41"/>
  <c r="D33" i="41"/>
  <c r="D24" i="41"/>
  <c r="C6" i="41"/>
  <c r="G16" i="41"/>
  <c r="C25" i="41"/>
  <c r="G25" i="41" s="1"/>
  <c r="C34" i="41"/>
  <c r="G34" i="41" s="1"/>
  <c r="D60" i="41"/>
  <c r="E49" i="40"/>
  <c r="E88" i="41"/>
  <c r="H88" i="41"/>
  <c r="I88" i="41" s="1"/>
  <c r="Q36" i="42"/>
  <c r="V36" i="42" s="1"/>
  <c r="K99" i="42"/>
  <c r="K90" i="42"/>
  <c r="K72" i="42"/>
  <c r="K108" i="42"/>
  <c r="K81" i="42"/>
  <c r="K45" i="42"/>
  <c r="K63" i="42"/>
  <c r="K54" i="42"/>
  <c r="C83" i="40"/>
  <c r="D90" i="42"/>
  <c r="D72" i="42"/>
  <c r="D81" i="42"/>
  <c r="D108" i="42"/>
  <c r="D45" i="42"/>
  <c r="D54" i="42"/>
  <c r="D63" i="42"/>
  <c r="D99" i="42"/>
  <c r="C91" i="40"/>
  <c r="O41" i="42"/>
  <c r="T41" i="42" s="1"/>
  <c r="I59" i="42"/>
  <c r="I68" i="42"/>
  <c r="I50" i="42"/>
  <c r="O50" i="42" s="1"/>
  <c r="T50" i="42" s="1"/>
  <c r="I95" i="42"/>
  <c r="I113" i="42"/>
  <c r="I86" i="42"/>
  <c r="I77" i="42"/>
  <c r="I104" i="42"/>
  <c r="C78" i="41"/>
  <c r="C67" i="40"/>
  <c r="E53" i="41"/>
  <c r="H53" i="41"/>
  <c r="I53" i="41" s="1"/>
  <c r="O32" i="42"/>
  <c r="F111" i="42"/>
  <c r="F102" i="42"/>
  <c r="F75" i="42"/>
  <c r="F66" i="42"/>
  <c r="F48" i="42"/>
  <c r="F57" i="42"/>
  <c r="F84" i="42"/>
  <c r="F93" i="42"/>
  <c r="E110" i="42"/>
  <c r="E101" i="42"/>
  <c r="E74" i="42"/>
  <c r="E65" i="42"/>
  <c r="E47" i="42"/>
  <c r="E56" i="42"/>
  <c r="E83" i="42"/>
  <c r="E92" i="42"/>
  <c r="P27" i="42"/>
  <c r="J33" i="42"/>
  <c r="P38" i="42"/>
  <c r="U38" i="42" s="1"/>
  <c r="J110" i="42"/>
  <c r="J47" i="42"/>
  <c r="P47" i="42" s="1"/>
  <c r="U47" i="42" s="1"/>
  <c r="J83" i="42"/>
  <c r="J56" i="42"/>
  <c r="J65" i="42"/>
  <c r="J101" i="42"/>
  <c r="J92" i="42"/>
  <c r="J74" i="42"/>
  <c r="P74" i="42" s="1"/>
  <c r="U74" i="42" s="1"/>
  <c r="F112" i="42"/>
  <c r="F103" i="42"/>
  <c r="F67" i="42"/>
  <c r="F85" i="42"/>
  <c r="F49" i="42"/>
  <c r="F58" i="42"/>
  <c r="F76" i="42"/>
  <c r="F94" i="42"/>
  <c r="R28" i="42"/>
  <c r="E113" i="42"/>
  <c r="E104" i="42"/>
  <c r="E68" i="42"/>
  <c r="E86" i="42"/>
  <c r="E50" i="42"/>
  <c r="E59" i="42"/>
  <c r="E77" i="42"/>
  <c r="E95" i="42"/>
  <c r="P39" i="42"/>
  <c r="U39" i="42" s="1"/>
  <c r="J84" i="42"/>
  <c r="J111" i="42"/>
  <c r="J93" i="42"/>
  <c r="J102" i="42"/>
  <c r="J75" i="42"/>
  <c r="J48" i="42"/>
  <c r="J57" i="42"/>
  <c r="J66" i="42"/>
  <c r="R36" i="42"/>
  <c r="W36" i="42" s="1"/>
  <c r="L45" i="42"/>
  <c r="L99" i="42"/>
  <c r="L81" i="42"/>
  <c r="L54" i="42"/>
  <c r="L72" i="42"/>
  <c r="L108" i="42"/>
  <c r="L90" i="42"/>
  <c r="L63" i="42"/>
  <c r="G108" i="42"/>
  <c r="G45" i="42"/>
  <c r="G99" i="42"/>
  <c r="G90" i="42"/>
  <c r="G72" i="42"/>
  <c r="G54" i="42"/>
  <c r="G63" i="42"/>
  <c r="G81" i="42"/>
  <c r="Q37" i="42"/>
  <c r="V37" i="42" s="1"/>
  <c r="K109" i="42"/>
  <c r="K91" i="42"/>
  <c r="K46" i="42"/>
  <c r="K55" i="42"/>
  <c r="K64" i="42"/>
  <c r="K82" i="42"/>
  <c r="K100" i="42"/>
  <c r="K73" i="42"/>
  <c r="Q32" i="42"/>
  <c r="E112" i="42"/>
  <c r="E103" i="42"/>
  <c r="E76" i="42"/>
  <c r="E67" i="42"/>
  <c r="E49" i="42"/>
  <c r="E58" i="42"/>
  <c r="E94" i="42"/>
  <c r="E85" i="42"/>
  <c r="R40" i="42"/>
  <c r="W40" i="42" s="1"/>
  <c r="L85" i="42"/>
  <c r="L112" i="42"/>
  <c r="L67" i="42"/>
  <c r="L76" i="42"/>
  <c r="L103" i="42"/>
  <c r="L49" i="42"/>
  <c r="L94" i="42"/>
  <c r="L58" i="42"/>
  <c r="G112" i="42"/>
  <c r="G103" i="42"/>
  <c r="G67" i="42"/>
  <c r="G76" i="42"/>
  <c r="G49" i="42"/>
  <c r="G58" i="42"/>
  <c r="G94" i="42"/>
  <c r="G85" i="42"/>
  <c r="E91" i="41"/>
  <c r="H91" i="41"/>
  <c r="I91" i="41" s="1"/>
  <c r="H81" i="41"/>
  <c r="I81" i="41" s="1"/>
  <c r="E81" i="41"/>
  <c r="H17" i="41"/>
  <c r="D7" i="41"/>
  <c r="D26" i="41"/>
  <c r="D35" i="41"/>
  <c r="E17" i="41"/>
  <c r="H62" i="40"/>
  <c r="H78" i="40"/>
  <c r="H35" i="40"/>
  <c r="H86" i="40"/>
  <c r="H26" i="40"/>
  <c r="H70" i="40"/>
  <c r="H44" i="40"/>
  <c r="H53" i="40"/>
  <c r="N24" i="42"/>
  <c r="D87" i="41"/>
  <c r="E75" i="40"/>
  <c r="D4" i="41"/>
  <c r="H14" i="41"/>
  <c r="D32" i="41"/>
  <c r="D23" i="41"/>
  <c r="D20" i="41"/>
  <c r="E14" i="41"/>
  <c r="E47" i="41"/>
  <c r="H47" i="41"/>
  <c r="I47" i="41" s="1"/>
  <c r="D78" i="41"/>
  <c r="E67" i="40"/>
  <c r="D9" i="41"/>
  <c r="H19" i="41"/>
  <c r="D37" i="41"/>
  <c r="E19" i="41"/>
  <c r="D28" i="41"/>
  <c r="O59" i="42" l="1"/>
  <c r="T59" i="42" s="1"/>
  <c r="I15" i="41"/>
  <c r="N95" i="42"/>
  <c r="S95" i="42" s="1"/>
  <c r="Q95" i="42"/>
  <c r="V95" i="42" s="1"/>
  <c r="P57" i="42"/>
  <c r="U57" i="42" s="1"/>
  <c r="R64" i="42"/>
  <c r="W64" i="42" s="1"/>
  <c r="N86" i="42"/>
  <c r="S86" i="42" s="1"/>
  <c r="O77" i="42"/>
  <c r="T77" i="42" s="1"/>
  <c r="Q68" i="42"/>
  <c r="V68" i="42" s="1"/>
  <c r="I18" i="41"/>
  <c r="R50" i="42"/>
  <c r="W50" i="42" s="1"/>
  <c r="R55" i="42"/>
  <c r="W55" i="42" s="1"/>
  <c r="N94" i="42"/>
  <c r="S94" i="42" s="1"/>
  <c r="P102" i="42"/>
  <c r="U102" i="42" s="1"/>
  <c r="R91" i="42"/>
  <c r="W91" i="42" s="1"/>
  <c r="N49" i="42"/>
  <c r="S49" i="42" s="1"/>
  <c r="Q109" i="42"/>
  <c r="V109" i="42" s="1"/>
  <c r="R109" i="42"/>
  <c r="W109" i="42" s="1"/>
  <c r="O82" i="42"/>
  <c r="T82" i="42" s="1"/>
  <c r="Q82" i="42"/>
  <c r="V82" i="42" s="1"/>
  <c r="O100" i="42"/>
  <c r="T100" i="42" s="1"/>
  <c r="N102" i="42"/>
  <c r="S102" i="42" s="1"/>
  <c r="R48" i="42"/>
  <c r="W48" i="42" s="1"/>
  <c r="P75" i="42"/>
  <c r="U75" i="42" s="1"/>
  <c r="O73" i="42"/>
  <c r="T73" i="42" s="1"/>
  <c r="R93" i="42"/>
  <c r="W93" i="42" s="1"/>
  <c r="N92" i="42"/>
  <c r="S92" i="42" s="1"/>
  <c r="Q86" i="42"/>
  <c r="V86" i="42" s="1"/>
  <c r="R101" i="42"/>
  <c r="W101" i="42" s="1"/>
  <c r="Q100" i="42"/>
  <c r="V100" i="42" s="1"/>
  <c r="N85" i="42"/>
  <c r="S85" i="42" s="1"/>
  <c r="N68" i="42"/>
  <c r="S68" i="42" s="1"/>
  <c r="R66" i="42"/>
  <c r="W66" i="42" s="1"/>
  <c r="N110" i="42"/>
  <c r="S110" i="42" s="1"/>
  <c r="R74" i="42"/>
  <c r="W74" i="42" s="1"/>
  <c r="N113" i="42"/>
  <c r="S113" i="42" s="1"/>
  <c r="N112" i="42"/>
  <c r="S112" i="42" s="1"/>
  <c r="O95" i="42"/>
  <c r="T95" i="42" s="1"/>
  <c r="N84" i="42"/>
  <c r="S84" i="42" s="1"/>
  <c r="P66" i="42"/>
  <c r="U66" i="42" s="1"/>
  <c r="N93" i="42"/>
  <c r="S93" i="42" s="1"/>
  <c r="E9" i="41"/>
  <c r="E7" i="41"/>
  <c r="Q73" i="42"/>
  <c r="V73" i="42" s="1"/>
  <c r="Q55" i="42"/>
  <c r="V55" i="42" s="1"/>
  <c r="P48" i="42"/>
  <c r="U48" i="42" s="1"/>
  <c r="O104" i="42"/>
  <c r="T104" i="42" s="1"/>
  <c r="O47" i="42"/>
  <c r="T47" i="42" s="1"/>
  <c r="N82" i="42"/>
  <c r="S82" i="42" s="1"/>
  <c r="I19" i="41"/>
  <c r="R85" i="42"/>
  <c r="W85" i="42" s="1"/>
  <c r="N104" i="42"/>
  <c r="S104" i="42" s="1"/>
  <c r="N75" i="42"/>
  <c r="S75" i="42" s="1"/>
  <c r="R104" i="42"/>
  <c r="W104" i="42" s="1"/>
  <c r="O91" i="42"/>
  <c r="T91" i="42" s="1"/>
  <c r="R84" i="42"/>
  <c r="W84" i="42" s="1"/>
  <c r="Q50" i="42"/>
  <c r="V50" i="42" s="1"/>
  <c r="R82" i="42"/>
  <c r="W82" i="42" s="1"/>
  <c r="N67" i="42"/>
  <c r="S67" i="42" s="1"/>
  <c r="E5" i="41"/>
  <c r="R83" i="42"/>
  <c r="W83" i="42" s="1"/>
  <c r="R59" i="42"/>
  <c r="W59" i="42" s="1"/>
  <c r="Y52" i="42"/>
  <c r="Q54" i="42"/>
  <c r="V54" i="42" s="1"/>
  <c r="N77" i="42"/>
  <c r="S77" i="42" s="1"/>
  <c r="P84" i="42"/>
  <c r="U84" i="42" s="1"/>
  <c r="Q83" i="42"/>
  <c r="V83" i="42" s="1"/>
  <c r="Q77" i="42"/>
  <c r="V77" i="42" s="1"/>
  <c r="G87" i="42"/>
  <c r="R110" i="42"/>
  <c r="W110" i="42" s="1"/>
  <c r="O113" i="42"/>
  <c r="T113" i="42" s="1"/>
  <c r="D69" i="42"/>
  <c r="Q104" i="42"/>
  <c r="V104" i="42" s="1"/>
  <c r="Q58" i="42"/>
  <c r="V58" i="42" s="1"/>
  <c r="N100" i="42"/>
  <c r="S100" i="42" s="1"/>
  <c r="O55" i="42"/>
  <c r="T55" i="42" s="1"/>
  <c r="R49" i="42"/>
  <c r="W49" i="42" s="1"/>
  <c r="P111" i="42"/>
  <c r="U111" i="42" s="1"/>
  <c r="W42" i="42"/>
  <c r="W118" i="42" s="1"/>
  <c r="R113" i="42"/>
  <c r="W113" i="42" s="1"/>
  <c r="P110" i="42"/>
  <c r="U110" i="42" s="1"/>
  <c r="D60" i="42"/>
  <c r="Q92" i="42"/>
  <c r="V92" i="42" s="1"/>
  <c r="R112" i="42"/>
  <c r="W112" i="42" s="1"/>
  <c r="D114" i="42"/>
  <c r="R46" i="42"/>
  <c r="W46" i="42" s="1"/>
  <c r="G20" i="41"/>
  <c r="G97" i="41" s="1"/>
  <c r="O64" i="42"/>
  <c r="T64" i="42" s="1"/>
  <c r="R57" i="42"/>
  <c r="W57" i="42" s="1"/>
  <c r="N56" i="42"/>
  <c r="S56" i="42" s="1"/>
  <c r="R86" i="42"/>
  <c r="W86" i="42" s="1"/>
  <c r="Q46" i="42"/>
  <c r="V46" i="42" s="1"/>
  <c r="D87" i="42"/>
  <c r="R58" i="42"/>
  <c r="W58" i="42" s="1"/>
  <c r="Q91" i="42"/>
  <c r="V91" i="42" s="1"/>
  <c r="P92" i="42"/>
  <c r="U92" i="42" s="1"/>
  <c r="D78" i="42"/>
  <c r="N59" i="42"/>
  <c r="S59" i="42" s="1"/>
  <c r="N76" i="42"/>
  <c r="S76" i="42" s="1"/>
  <c r="O109" i="42"/>
  <c r="T109" i="42" s="1"/>
  <c r="N57" i="42"/>
  <c r="S57" i="42" s="1"/>
  <c r="N83" i="42"/>
  <c r="S83" i="42" s="1"/>
  <c r="R77" i="42"/>
  <c r="W77" i="42" s="1"/>
  <c r="I17" i="41"/>
  <c r="V42" i="42"/>
  <c r="V116" i="42" s="1"/>
  <c r="R94" i="42"/>
  <c r="W94" i="42" s="1"/>
  <c r="G51" i="42"/>
  <c r="P93" i="42"/>
  <c r="U93" i="42" s="1"/>
  <c r="P33" i="42"/>
  <c r="O86" i="42"/>
  <c r="T86" i="42" s="1"/>
  <c r="AA36" i="42"/>
  <c r="D96" i="42"/>
  <c r="R73" i="42"/>
  <c r="W73" i="42" s="1"/>
  <c r="N58" i="42"/>
  <c r="S58" i="42" s="1"/>
  <c r="O46" i="42"/>
  <c r="T46" i="42" s="1"/>
  <c r="N48" i="42"/>
  <c r="S48" i="42" s="1"/>
  <c r="R102" i="42"/>
  <c r="W102" i="42" s="1"/>
  <c r="N74" i="42"/>
  <c r="S74" i="42" s="1"/>
  <c r="N46" i="42"/>
  <c r="S46" i="42" s="1"/>
  <c r="R68" i="42"/>
  <c r="W68" i="42" s="1"/>
  <c r="R65" i="42"/>
  <c r="W65" i="42" s="1"/>
  <c r="P83" i="42"/>
  <c r="U83" i="42" s="1"/>
  <c r="J67" i="40"/>
  <c r="N101" i="42"/>
  <c r="S101" i="42" s="1"/>
  <c r="R76" i="42"/>
  <c r="W76" i="42" s="1"/>
  <c r="R67" i="42"/>
  <c r="W67" i="42" s="1"/>
  <c r="Q64" i="42"/>
  <c r="V64" i="42" s="1"/>
  <c r="AB41" i="42"/>
  <c r="O68" i="42"/>
  <c r="T68" i="42" s="1"/>
  <c r="D51" i="42"/>
  <c r="N50" i="42"/>
  <c r="S50" i="42" s="1"/>
  <c r="Q113" i="42"/>
  <c r="V113" i="42" s="1"/>
  <c r="R100" i="42"/>
  <c r="W100" i="42" s="1"/>
  <c r="N103" i="42"/>
  <c r="S103" i="42" s="1"/>
  <c r="R111" i="42"/>
  <c r="W111" i="42" s="1"/>
  <c r="R92" i="42"/>
  <c r="W92" i="42" s="1"/>
  <c r="R63" i="42"/>
  <c r="L69" i="42"/>
  <c r="P56" i="42"/>
  <c r="U56" i="42" s="1"/>
  <c r="P63" i="42"/>
  <c r="J69" i="42"/>
  <c r="Q85" i="42"/>
  <c r="V85" i="42" s="1"/>
  <c r="Q110" i="42"/>
  <c r="V110" i="42" s="1"/>
  <c r="F69" i="42"/>
  <c r="P58" i="42"/>
  <c r="U58" i="42" s="1"/>
  <c r="P46" i="42"/>
  <c r="U46" i="42" s="1"/>
  <c r="H31" i="40"/>
  <c r="J58" i="40"/>
  <c r="O108" i="42"/>
  <c r="I114" i="42"/>
  <c r="O83" i="42"/>
  <c r="T83" i="42" s="1"/>
  <c r="I16" i="41"/>
  <c r="E96" i="42"/>
  <c r="Q84" i="42"/>
  <c r="V84" i="42" s="1"/>
  <c r="P86" i="42"/>
  <c r="U86" i="42" s="1"/>
  <c r="O103" i="42"/>
  <c r="T103" i="42" s="1"/>
  <c r="H60" i="42"/>
  <c r="N54" i="42"/>
  <c r="S42" i="42"/>
  <c r="C87" i="42"/>
  <c r="C114" i="42"/>
  <c r="O102" i="42"/>
  <c r="T102" i="42" s="1"/>
  <c r="K69" i="42"/>
  <c r="Q63" i="42"/>
  <c r="H24" i="41"/>
  <c r="I24" i="41" s="1"/>
  <c r="E24" i="41"/>
  <c r="E42" i="41"/>
  <c r="E48" i="41" s="1"/>
  <c r="H42" i="41"/>
  <c r="D48" i="41"/>
  <c r="J96" i="42"/>
  <c r="P90" i="42"/>
  <c r="G32" i="41"/>
  <c r="G39" i="41" s="1"/>
  <c r="G98" i="41" s="1"/>
  <c r="C39" i="41"/>
  <c r="F105" i="42"/>
  <c r="P85" i="42"/>
  <c r="U85" i="42" s="1"/>
  <c r="P100" i="42"/>
  <c r="U100" i="42" s="1"/>
  <c r="H49" i="40"/>
  <c r="J31" i="40"/>
  <c r="J40" i="40"/>
  <c r="I87" i="42"/>
  <c r="O81" i="42"/>
  <c r="E6" i="41"/>
  <c r="E87" i="42"/>
  <c r="G69" i="41"/>
  <c r="G75" i="41" s="1"/>
  <c r="C75" i="41"/>
  <c r="Q102" i="42"/>
  <c r="V102" i="42" s="1"/>
  <c r="P113" i="42"/>
  <c r="U113" i="42" s="1"/>
  <c r="O49" i="42"/>
  <c r="T49" i="42" s="1"/>
  <c r="G87" i="41"/>
  <c r="G93" i="41" s="1"/>
  <c r="C93" i="41"/>
  <c r="N45" i="42"/>
  <c r="H51" i="42"/>
  <c r="C96" i="42"/>
  <c r="AD41" i="42"/>
  <c r="O48" i="42"/>
  <c r="T48" i="42" s="1"/>
  <c r="L114" i="42"/>
  <c r="R108" i="42"/>
  <c r="Q45" i="42"/>
  <c r="K51" i="42"/>
  <c r="H33" i="41"/>
  <c r="I33" i="41" s="1"/>
  <c r="E33" i="41"/>
  <c r="J60" i="42"/>
  <c r="P54" i="42"/>
  <c r="Q94" i="42"/>
  <c r="V94" i="42" s="1"/>
  <c r="C29" i="41"/>
  <c r="G23" i="41"/>
  <c r="G29" i="41" s="1"/>
  <c r="G99" i="41" s="1"/>
  <c r="Q56" i="42"/>
  <c r="V56" i="42" s="1"/>
  <c r="AC36" i="42"/>
  <c r="F114" i="42"/>
  <c r="P103" i="42"/>
  <c r="U103" i="42" s="1"/>
  <c r="P55" i="42"/>
  <c r="U55" i="42" s="1"/>
  <c r="H58" i="40"/>
  <c r="J75" i="40"/>
  <c r="I78" i="42"/>
  <c r="O72" i="42"/>
  <c r="T42" i="42"/>
  <c r="O101" i="42"/>
  <c r="T101" i="42" s="1"/>
  <c r="N64" i="42"/>
  <c r="S64" i="42" s="1"/>
  <c r="E60" i="42"/>
  <c r="N33" i="42"/>
  <c r="Q66" i="42"/>
  <c r="V66" i="42" s="1"/>
  <c r="P104" i="42"/>
  <c r="U104" i="42" s="1"/>
  <c r="O112" i="42"/>
  <c r="T112" i="42" s="1"/>
  <c r="Z27" i="42"/>
  <c r="N72" i="42"/>
  <c r="H78" i="42"/>
  <c r="AI31" i="42"/>
  <c r="AH31" i="42"/>
  <c r="AK31" i="42"/>
  <c r="AG31" i="42"/>
  <c r="AJ31" i="42"/>
  <c r="AG36" i="42"/>
  <c r="AK36" i="42"/>
  <c r="AI36" i="42"/>
  <c r="AF52" i="42"/>
  <c r="AH36" i="42"/>
  <c r="AJ36" i="42"/>
  <c r="AC41" i="42"/>
  <c r="O75" i="42"/>
  <c r="T75" i="42" s="1"/>
  <c r="G42" i="41"/>
  <c r="G48" i="41" s="1"/>
  <c r="C48" i="41"/>
  <c r="R90" i="42"/>
  <c r="L96" i="42"/>
  <c r="Q81" i="42"/>
  <c r="K87" i="42"/>
  <c r="D75" i="41"/>
  <c r="H69" i="41"/>
  <c r="E69" i="41"/>
  <c r="E75" i="41" s="1"/>
  <c r="J87" i="42"/>
  <c r="P81" i="42"/>
  <c r="Q112" i="42"/>
  <c r="V112" i="42" s="1"/>
  <c r="F96" i="42"/>
  <c r="P76" i="42"/>
  <c r="U76" i="42" s="1"/>
  <c r="P82" i="42"/>
  <c r="U82" i="42" s="1"/>
  <c r="H67" i="40"/>
  <c r="O90" i="42"/>
  <c r="I96" i="42"/>
  <c r="O65" i="42"/>
  <c r="T65" i="42" s="1"/>
  <c r="E51" i="42"/>
  <c r="Q93" i="42"/>
  <c r="V93" i="42" s="1"/>
  <c r="P59" i="42"/>
  <c r="U59" i="42" s="1"/>
  <c r="O76" i="42"/>
  <c r="T76" i="42" s="1"/>
  <c r="H87" i="42"/>
  <c r="N81" i="42"/>
  <c r="C60" i="42"/>
  <c r="O57" i="42"/>
  <c r="T57" i="42" s="1"/>
  <c r="H37" i="41"/>
  <c r="I37" i="41" s="1"/>
  <c r="E37" i="41"/>
  <c r="G96" i="42"/>
  <c r="R54" i="42"/>
  <c r="L60" i="42"/>
  <c r="Q108" i="42"/>
  <c r="K114" i="42"/>
  <c r="E60" i="41"/>
  <c r="E66" i="41" s="1"/>
  <c r="D66" i="41"/>
  <c r="H60" i="41"/>
  <c r="J114" i="42"/>
  <c r="P108" i="42"/>
  <c r="Q67" i="42"/>
  <c r="V67" i="42" s="1"/>
  <c r="C10" i="41"/>
  <c r="Q65" i="42"/>
  <c r="V65" i="42" s="1"/>
  <c r="F78" i="42"/>
  <c r="P112" i="42"/>
  <c r="U112" i="42" s="1"/>
  <c r="P64" i="42"/>
  <c r="U64" i="42" s="1"/>
  <c r="H91" i="40"/>
  <c r="H27" i="41"/>
  <c r="I27" i="41" s="1"/>
  <c r="E27" i="41"/>
  <c r="J49" i="40"/>
  <c r="I69" i="42"/>
  <c r="O63" i="42"/>
  <c r="O74" i="42"/>
  <c r="T74" i="42" s="1"/>
  <c r="N47" i="42"/>
  <c r="S47" i="42" s="1"/>
  <c r="N73" i="42"/>
  <c r="S73" i="42" s="1"/>
  <c r="E69" i="42"/>
  <c r="Q57" i="42"/>
  <c r="V57" i="42" s="1"/>
  <c r="P77" i="42"/>
  <c r="U77" i="42" s="1"/>
  <c r="AB27" i="42"/>
  <c r="O58" i="42"/>
  <c r="T58" i="42" s="1"/>
  <c r="AI27" i="42"/>
  <c r="AK27" i="42"/>
  <c r="AG27" i="42"/>
  <c r="AH27" i="42"/>
  <c r="AJ27" i="42"/>
  <c r="H114" i="42"/>
  <c r="N108" i="42"/>
  <c r="C51" i="42"/>
  <c r="G60" i="42"/>
  <c r="O111" i="42"/>
  <c r="T111" i="42" s="1"/>
  <c r="Z41" i="42"/>
  <c r="G60" i="41"/>
  <c r="G66" i="41" s="1"/>
  <c r="C66" i="41"/>
  <c r="D93" i="41"/>
  <c r="E87" i="41"/>
  <c r="E93" i="41" s="1"/>
  <c r="H87" i="41"/>
  <c r="E20" i="41"/>
  <c r="E23" i="41"/>
  <c r="H23" i="41"/>
  <c r="D29" i="41"/>
  <c r="G105" i="42"/>
  <c r="R81" i="42"/>
  <c r="L87" i="42"/>
  <c r="Q72" i="42"/>
  <c r="K78" i="42"/>
  <c r="J51" i="42"/>
  <c r="P45" i="42"/>
  <c r="Q103" i="42"/>
  <c r="V103" i="42" s="1"/>
  <c r="Q74" i="42"/>
  <c r="V74" i="42" s="1"/>
  <c r="F60" i="42"/>
  <c r="P49" i="42"/>
  <c r="U49" i="42" s="1"/>
  <c r="P91" i="42"/>
  <c r="U91" i="42" s="1"/>
  <c r="H75" i="40"/>
  <c r="H36" i="41"/>
  <c r="I36" i="41" s="1"/>
  <c r="E36" i="41"/>
  <c r="J83" i="40"/>
  <c r="O99" i="42"/>
  <c r="I105" i="42"/>
  <c r="O92" i="42"/>
  <c r="T92" i="42" s="1"/>
  <c r="H25" i="41"/>
  <c r="I25" i="41" s="1"/>
  <c r="E25" i="41"/>
  <c r="N91" i="42"/>
  <c r="S91" i="42" s="1"/>
  <c r="E78" i="42"/>
  <c r="Q111" i="42"/>
  <c r="V111" i="42" s="1"/>
  <c r="P95" i="42"/>
  <c r="U95" i="42" s="1"/>
  <c r="AA41" i="42"/>
  <c r="O67" i="42"/>
  <c r="T67" i="42" s="1"/>
  <c r="N99" i="42"/>
  <c r="H105" i="42"/>
  <c r="C78" i="42"/>
  <c r="O84" i="42"/>
  <c r="T84" i="42" s="1"/>
  <c r="AJ41" i="42"/>
  <c r="AH41" i="42"/>
  <c r="AG41" i="42"/>
  <c r="AI41" i="42"/>
  <c r="AK41" i="42"/>
  <c r="G78" i="42"/>
  <c r="E35" i="41"/>
  <c r="H35" i="41"/>
  <c r="I35" i="41" s="1"/>
  <c r="E32" i="41"/>
  <c r="H32" i="41"/>
  <c r="D39" i="41"/>
  <c r="H26" i="41"/>
  <c r="I26" i="41" s="1"/>
  <c r="E26" i="41"/>
  <c r="L105" i="42"/>
  <c r="R99" i="42"/>
  <c r="P101" i="42"/>
  <c r="U101" i="42" s="1"/>
  <c r="K96" i="42"/>
  <c r="Q90" i="42"/>
  <c r="K60" i="42"/>
  <c r="Q59" i="42"/>
  <c r="V59" i="42" s="1"/>
  <c r="P99" i="42"/>
  <c r="J105" i="42"/>
  <c r="U42" i="42"/>
  <c r="Q49" i="42"/>
  <c r="V49" i="42" s="1"/>
  <c r="Q47" i="42"/>
  <c r="V47" i="42" s="1"/>
  <c r="F51" i="42"/>
  <c r="P67" i="42"/>
  <c r="U67" i="42" s="1"/>
  <c r="Q33" i="42"/>
  <c r="P109" i="42"/>
  <c r="U109" i="42" s="1"/>
  <c r="E51" i="41"/>
  <c r="E57" i="41" s="1"/>
  <c r="H51" i="41"/>
  <c r="D57" i="41"/>
  <c r="H83" i="40"/>
  <c r="O54" i="42"/>
  <c r="I60" i="42"/>
  <c r="O110" i="42"/>
  <c r="T110" i="42" s="1"/>
  <c r="E34" i="41"/>
  <c r="H34" i="41"/>
  <c r="I34" i="41" s="1"/>
  <c r="N65" i="42"/>
  <c r="S65" i="42" s="1"/>
  <c r="R56" i="42"/>
  <c r="W56" i="42" s="1"/>
  <c r="N109" i="42"/>
  <c r="S109" i="42" s="1"/>
  <c r="O33" i="42"/>
  <c r="E105" i="42"/>
  <c r="Q48" i="42"/>
  <c r="V48" i="42" s="1"/>
  <c r="P68" i="42"/>
  <c r="U68" i="42" s="1"/>
  <c r="R95" i="42"/>
  <c r="W95" i="42" s="1"/>
  <c r="O94" i="42"/>
  <c r="T94" i="42" s="1"/>
  <c r="N63" i="42"/>
  <c r="H69" i="42"/>
  <c r="Z36" i="42"/>
  <c r="C69" i="42"/>
  <c r="O93" i="42"/>
  <c r="T93" i="42" s="1"/>
  <c r="E28" i="41"/>
  <c r="H28" i="41"/>
  <c r="I28" i="41" s="1"/>
  <c r="G69" i="42"/>
  <c r="R72" i="42"/>
  <c r="L78" i="42"/>
  <c r="G78" i="41"/>
  <c r="G84" i="41" s="1"/>
  <c r="C84" i="41"/>
  <c r="H78" i="41"/>
  <c r="D84" i="41"/>
  <c r="E78" i="41"/>
  <c r="E84" i="41" s="1"/>
  <c r="I14" i="41"/>
  <c r="H20" i="41"/>
  <c r="E4" i="41"/>
  <c r="D10" i="41"/>
  <c r="R103" i="42"/>
  <c r="W103" i="42" s="1"/>
  <c r="AD36" i="42"/>
  <c r="G114" i="42"/>
  <c r="L51" i="42"/>
  <c r="R45" i="42"/>
  <c r="P65" i="42"/>
  <c r="U65" i="42" s="1"/>
  <c r="D105" i="42"/>
  <c r="Q99" i="42"/>
  <c r="K105" i="42"/>
  <c r="G51" i="41"/>
  <c r="G57" i="41" s="1"/>
  <c r="C57" i="41"/>
  <c r="P72" i="42"/>
  <c r="J78" i="42"/>
  <c r="Q76" i="42"/>
  <c r="V76" i="42" s="1"/>
  <c r="R33" i="42"/>
  <c r="Q101" i="42"/>
  <c r="V101" i="42" s="1"/>
  <c r="F87" i="42"/>
  <c r="P94" i="42"/>
  <c r="U94" i="42" s="1"/>
  <c r="P73" i="42"/>
  <c r="U73" i="42" s="1"/>
  <c r="H40" i="40"/>
  <c r="E8" i="41"/>
  <c r="J91" i="40"/>
  <c r="O45" i="42"/>
  <c r="I51" i="42"/>
  <c r="O56" i="42"/>
  <c r="T56" i="42" s="1"/>
  <c r="R47" i="42"/>
  <c r="W47" i="42" s="1"/>
  <c r="N55" i="42"/>
  <c r="S55" i="42" s="1"/>
  <c r="AB36" i="42"/>
  <c r="E114" i="42"/>
  <c r="Q75" i="42"/>
  <c r="V75" i="42" s="1"/>
  <c r="P50" i="42"/>
  <c r="U50" i="42" s="1"/>
  <c r="O85" i="42"/>
  <c r="T85" i="42" s="1"/>
  <c r="H96" i="42"/>
  <c r="N90" i="42"/>
  <c r="C105" i="42"/>
  <c r="O66" i="42"/>
  <c r="T66" i="42" s="1"/>
  <c r="G95" i="41" l="1"/>
  <c r="AA52" i="42"/>
  <c r="AB52" i="42"/>
  <c r="W116" i="42"/>
  <c r="AD52" i="42"/>
  <c r="V118" i="42"/>
  <c r="AG52" i="42"/>
  <c r="AG53" i="42" s="1"/>
  <c r="AC52" i="42"/>
  <c r="I20" i="41"/>
  <c r="I95" i="41" s="1"/>
  <c r="H57" i="41"/>
  <c r="I51" i="41"/>
  <c r="I57" i="41" s="1"/>
  <c r="I32" i="41"/>
  <c r="I39" i="41" s="1"/>
  <c r="I98" i="41" s="1"/>
  <c r="H39" i="41"/>
  <c r="H98" i="41" s="1"/>
  <c r="O105" i="42"/>
  <c r="T99" i="42"/>
  <c r="T105" i="42" s="1"/>
  <c r="AK52" i="42"/>
  <c r="AK53" i="42" s="1"/>
  <c r="N78" i="42"/>
  <c r="S72" i="42"/>
  <c r="S78" i="42" s="1"/>
  <c r="P114" i="42"/>
  <c r="U108" i="42"/>
  <c r="U114" i="42" s="1"/>
  <c r="W54" i="42"/>
  <c r="W60" i="42" s="1"/>
  <c r="W120" i="42" s="1"/>
  <c r="R60" i="42"/>
  <c r="T116" i="42"/>
  <c r="T118" i="42"/>
  <c r="H48" i="41"/>
  <c r="I42" i="41"/>
  <c r="I48" i="41" s="1"/>
  <c r="Q60" i="42"/>
  <c r="U45" i="42"/>
  <c r="U51" i="42" s="1"/>
  <c r="U119" i="42" s="1"/>
  <c r="P51" i="42"/>
  <c r="I23" i="41"/>
  <c r="I29" i="41" s="1"/>
  <c r="I99" i="41" s="1"/>
  <c r="H29" i="41"/>
  <c r="H99" i="41" s="1"/>
  <c r="I69" i="41"/>
  <c r="I75" i="41" s="1"/>
  <c r="H75" i="41"/>
  <c r="T72" i="42"/>
  <c r="T78" i="42" s="1"/>
  <c r="O78" i="42"/>
  <c r="S45" i="42"/>
  <c r="S51" i="42" s="1"/>
  <c r="S119" i="42" s="1"/>
  <c r="N51" i="42"/>
  <c r="S116" i="42"/>
  <c r="S118" i="42"/>
  <c r="P78" i="42"/>
  <c r="U72" i="42"/>
  <c r="U78" i="42" s="1"/>
  <c r="E29" i="41"/>
  <c r="I60" i="41"/>
  <c r="I66" i="41" s="1"/>
  <c r="H66" i="41"/>
  <c r="E39" i="41"/>
  <c r="V45" i="42"/>
  <c r="V51" i="42" s="1"/>
  <c r="V119" i="42" s="1"/>
  <c r="Q51" i="42"/>
  <c r="S54" i="42"/>
  <c r="S60" i="42" s="1"/>
  <c r="S120" i="42" s="1"/>
  <c r="N60" i="42"/>
  <c r="N96" i="42"/>
  <c r="S90" i="42"/>
  <c r="S96" i="42" s="1"/>
  <c r="P105" i="42"/>
  <c r="U99" i="42"/>
  <c r="U105" i="42" s="1"/>
  <c r="V60" i="42"/>
  <c r="V120" i="42" s="1"/>
  <c r="AJ52" i="42"/>
  <c r="AJ53" i="42" s="1"/>
  <c r="W108" i="42"/>
  <c r="W114" i="42" s="1"/>
  <c r="R114" i="42"/>
  <c r="G100" i="41"/>
  <c r="T81" i="42"/>
  <c r="T87" i="42" s="1"/>
  <c r="O87" i="42"/>
  <c r="T108" i="42"/>
  <c r="T114" i="42" s="1"/>
  <c r="O114" i="42"/>
  <c r="Z52" i="42"/>
  <c r="T54" i="42"/>
  <c r="T60" i="42" s="1"/>
  <c r="T120" i="42" s="1"/>
  <c r="O60" i="42"/>
  <c r="V72" i="42"/>
  <c r="V78" i="42" s="1"/>
  <c r="Q78" i="42"/>
  <c r="H93" i="41"/>
  <c r="I87" i="41"/>
  <c r="I93" i="41" s="1"/>
  <c r="T63" i="42"/>
  <c r="T69" i="42" s="1"/>
  <c r="O69" i="42"/>
  <c r="V81" i="42"/>
  <c r="V87" i="42" s="1"/>
  <c r="Q87" i="42"/>
  <c r="AH52" i="42"/>
  <c r="AH53" i="42" s="1"/>
  <c r="Q69" i="42"/>
  <c r="V63" i="42"/>
  <c r="V69" i="42" s="1"/>
  <c r="W45" i="42"/>
  <c r="W51" i="42" s="1"/>
  <c r="W119" i="42" s="1"/>
  <c r="R51" i="42"/>
  <c r="R105" i="42"/>
  <c r="W99" i="42"/>
  <c r="W105" i="42" s="1"/>
  <c r="N105" i="42"/>
  <c r="S99" i="42"/>
  <c r="S105" i="42" s="1"/>
  <c r="E10" i="41"/>
  <c r="Q96" i="42"/>
  <c r="V90" i="42"/>
  <c r="V96" i="42" s="1"/>
  <c r="S108" i="42"/>
  <c r="S114" i="42" s="1"/>
  <c r="N114" i="42"/>
  <c r="U54" i="42"/>
  <c r="U60" i="42" s="1"/>
  <c r="U120" i="42" s="1"/>
  <c r="P60" i="42"/>
  <c r="P96" i="42"/>
  <c r="U90" i="42"/>
  <c r="U96" i="42" s="1"/>
  <c r="U63" i="42"/>
  <c r="U69" i="42" s="1"/>
  <c r="P69" i="42"/>
  <c r="U116" i="42"/>
  <c r="U118" i="42"/>
  <c r="H84" i="41"/>
  <c r="I78" i="41"/>
  <c r="I84" i="41" s="1"/>
  <c r="Q105" i="42"/>
  <c r="V99" i="42"/>
  <c r="V105" i="42" s="1"/>
  <c r="T45" i="42"/>
  <c r="T51" i="42" s="1"/>
  <c r="T119" i="42" s="1"/>
  <c r="O51" i="42"/>
  <c r="H95" i="41"/>
  <c r="H97" i="41"/>
  <c r="W72" i="42"/>
  <c r="W78" i="42" s="1"/>
  <c r="R78" i="42"/>
  <c r="S63" i="42"/>
  <c r="S69" i="42" s="1"/>
  <c r="N69" i="42"/>
  <c r="W81" i="42"/>
  <c r="W87" i="42" s="1"/>
  <c r="R87" i="42"/>
  <c r="Q114" i="42"/>
  <c r="V108" i="42"/>
  <c r="V114" i="42" s="1"/>
  <c r="N87" i="42"/>
  <c r="S81" i="42"/>
  <c r="S87" i="42" s="1"/>
  <c r="T90" i="42"/>
  <c r="T96" i="42" s="1"/>
  <c r="O96" i="42"/>
  <c r="U81" i="42"/>
  <c r="U87" i="42" s="1"/>
  <c r="P87" i="42"/>
  <c r="W90" i="42"/>
  <c r="W96" i="42" s="1"/>
  <c r="R96" i="42"/>
  <c r="AI52" i="42"/>
  <c r="AI53" i="42" s="1"/>
  <c r="W63" i="42"/>
  <c r="W69" i="42" s="1"/>
  <c r="R69" i="42"/>
  <c r="I97" i="41" l="1"/>
  <c r="H100" i="41"/>
  <c r="I100" i="41"/>
  <c r="V121" i="42"/>
  <c r="S121" i="42"/>
  <c r="U121" i="42"/>
  <c r="T121" i="42"/>
  <c r="W121" i="42"/>
</calcChain>
</file>

<file path=xl/sharedStrings.xml><?xml version="1.0" encoding="utf-8"?>
<sst xmlns="http://schemas.openxmlformats.org/spreadsheetml/2006/main" count="2646" uniqueCount="729">
  <si>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</si>
  <si>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</si>
  <si>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</si>
  <si>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</si>
  <si>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</si>
  <si>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</si>
  <si>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</si>
  <si>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</si>
  <si>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</si>
  <si>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</si>
  <si>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</si>
  <si>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</si>
  <si>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</si>
  <si>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</si>
  <si>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</si>
  <si>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</si>
  <si>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</si>
  <si>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</si>
  <si>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</si>
  <si>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</si>
  <si>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</si>
  <si>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</si>
  <si>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</si>
  <si>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</si>
  <si>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</si>
  <si>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</si>
  <si>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</si>
  <si>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</si>
  <si>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</si>
  <si>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</si>
  <si>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</si>
  <si>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</si>
  <si>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</si>
  <si>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</si>
  <si>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</si>
  <si>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</si>
  <si>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</si>
  <si>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</si>
  <si>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</si>
  <si>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</si>
  <si>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</si>
  <si>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</si>
  <si>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</si>
  <si>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</si>
  <si>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</si>
  <si>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</si>
  <si>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</si>
  <si>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</si>
  <si>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</si>
  <si>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</si>
  <si>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</si>
  <si>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</si>
  <si>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</si>
  <si>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</si>
  <si>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</si>
  <si>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</si>
  <si>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</si>
  <si>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</si>
  <si>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</si>
  <si>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</si>
  <si>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</si>
  <si>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</si>
  <si>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</si>
  <si>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</si>
  <si>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</si>
  <si>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</si>
  <si>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</si>
  <si>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</si>
  <si>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</si>
  <si>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</si>
  <si>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</si>
  <si>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</si>
  <si>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</si>
  <si>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</si>
  <si>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</si>
  <si>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</si>
  <si>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</si>
  <si>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</si>
  <si>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</si>
  <si>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</si>
  <si>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</si>
  <si>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</si>
  <si>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</si>
  <si>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</si>
  <si>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</si>
  <si>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</si>
  <si>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</si>
  <si>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</si>
  <si>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</si>
  <si>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</si>
  <si>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</si>
  <si>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</si>
  <si>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</si>
  <si>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</si>
  <si>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</si>
  <si>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</si>
  <si>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</si>
  <si>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</si>
  <si>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</si>
  <si>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</si>
  <si>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</si>
  <si>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</si>
  <si>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</si>
  <si>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</si>
  <si>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</si>
  <si>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</si>
  <si>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</si>
  <si>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</si>
  <si>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</si>
  <si>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</si>
  <si>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</si>
  <si>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</si>
  <si>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</si>
  <si>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</si>
  <si>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</si>
  <si>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</si>
  <si>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</si>
  <si>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</si>
  <si>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</si>
  <si>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</si>
  <si>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</si>
  <si>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</si>
  <si>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</si>
  <si>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</si>
  <si>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</si>
  <si>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</si>
  <si>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</si>
  <si>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</si>
  <si>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</si>
  <si>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</si>
  <si>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</si>
  <si>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</si>
  <si>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</si>
  <si>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</si>
  <si>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</si>
  <si>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</si>
  <si>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</si>
  <si>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</si>
  <si>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</si>
  <si>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</si>
  <si>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</si>
  <si>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</si>
  <si>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</si>
  <si>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</si>
  <si>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</si>
  <si>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</si>
  <si>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</si>
  <si>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</si>
  <si>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</si>
  <si>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</si>
  <si>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</si>
  <si>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</si>
  <si>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</si>
  <si>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</si>
  <si>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</si>
  <si>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</si>
  <si>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</si>
  <si>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</si>
  <si>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</si>
  <si>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</si>
  <si>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</si>
  <si>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</si>
  <si>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</si>
  <si>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</si>
  <si>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</si>
  <si>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</si>
  <si>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</si>
  <si>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</si>
  <si>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</si>
  <si>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</si>
  <si>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</si>
  <si>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</si>
  <si>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</si>
  <si>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</si>
  <si>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</si>
  <si>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</si>
  <si>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</si>
  <si>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</si>
  <si>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</si>
  <si>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</si>
  <si>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</si>
  <si>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</si>
  <si>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</si>
  <si>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</si>
  <si>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</si>
  <si>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</si>
  <si>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</si>
  <si>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</si>
  <si>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</si>
  <si>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</si>
  <si>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</si>
  <si>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</si>
  <si>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</si>
  <si>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</si>
  <si>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</si>
  <si>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</si>
  <si>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</si>
  <si>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</si>
  <si>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</si>
  <si>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</si>
  <si>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</si>
  <si>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</si>
  <si>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</si>
  <si>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</si>
  <si>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</si>
  <si>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</si>
  <si>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</si>
  <si>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</si>
  <si>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</si>
  <si>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</si>
  <si>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</si>
  <si>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</si>
  <si>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</si>
  <si>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</si>
  <si>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</si>
  <si>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</si>
  <si>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</si>
  <si>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</si>
  <si>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</si>
  <si>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</si>
  <si>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</si>
  <si>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</si>
  <si>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</si>
  <si>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</si>
  <si>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</si>
  <si>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</si>
  <si>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</si>
  <si>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</si>
  <si>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</si>
  <si>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</si>
  <si>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</si>
  <si>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</si>
  <si>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</si>
  <si>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</si>
  <si>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</si>
  <si>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</si>
  <si>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</si>
  <si>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</si>
  <si>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</si>
  <si>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</si>
  <si>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</si>
  <si>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</si>
  <si>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</si>
  <si>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</si>
  <si>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</si>
  <si>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</si>
  <si>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</si>
  <si>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</si>
  <si>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</si>
  <si>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</si>
  <si>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</si>
  <si>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</si>
  <si>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</si>
  <si>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</si>
  <si>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</si>
  <si>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</si>
  <si>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</si>
  <si>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</si>
  <si>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</si>
  <si>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</si>
  <si>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</si>
  <si>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</si>
  <si>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</si>
  <si>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</si>
  <si>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</si>
  <si>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</si>
  <si>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</si>
  <si>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</si>
  <si>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</si>
  <si>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</si>
  <si>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</si>
  <si>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</si>
  <si>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</si>
  <si>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</si>
  <si>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</si>
  <si>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</si>
  <si>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</si>
  <si>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</si>
  <si>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</si>
  <si>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</si>
  <si>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</si>
  <si>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</si>
  <si>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</si>
  <si>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</si>
  <si>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</si>
  <si>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</si>
  <si>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</si>
  <si>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</si>
  <si>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</si>
  <si>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</si>
  <si>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</si>
  <si>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</si>
  <si>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</si>
  <si>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</si>
  <si>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</si>
  <si>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</si>
  <si>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</si>
  <si>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</si>
  <si>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</si>
  <si>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</si>
  <si>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</si>
  <si>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</si>
  <si>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</si>
  <si>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</si>
  <si>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</si>
  <si>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</si>
  <si>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</si>
  <si>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</si>
  <si>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</si>
  <si>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</si>
  <si>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</si>
  <si>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</si>
  <si>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</si>
  <si>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</si>
  <si>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</si>
  <si>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</si>
  <si>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</si>
  <si>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</si>
  <si>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</si>
  <si>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</si>
  <si>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</si>
  <si>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</si>
  <si>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</si>
  <si>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</si>
  <si>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</si>
  <si>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</si>
  <si>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</si>
  <si>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</si>
  <si>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</si>
  <si>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</si>
  <si>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</si>
  <si>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</si>
  <si>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</si>
  <si>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</si>
  <si>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</si>
  <si>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</si>
  <si>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</si>
  <si>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</si>
  <si>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</si>
  <si>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</si>
  <si>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</si>
  <si>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</si>
  <si>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</si>
  <si>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</si>
  <si>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</si>
  <si>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</si>
  <si>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</si>
  <si>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</si>
  <si>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</si>
  <si>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</si>
  <si>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</si>
  <si>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</si>
  <si>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</si>
  <si>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</si>
  <si>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</si>
  <si>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</si>
  <si>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</si>
  <si>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</si>
  <si>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</si>
  <si>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</si>
  <si>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</si>
  <si>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</si>
  <si>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</si>
  <si>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</si>
  <si>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</si>
  <si>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</si>
  <si>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</si>
  <si>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</si>
  <si>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</si>
  <si>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</si>
  <si>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Fermanagh and Omagh</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</si>
  <si>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</si>
  <si>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</si>
  <si>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</si>
  <si>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</si>
  <si>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</si>
  <si>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</si>
  <si>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</si>
  <si>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</si>
  <si>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</si>
  <si>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Shropshire and Telford and Wrekin</t>
  </si>
  <si>
    <t>Suffolk and North East Essex</t>
  </si>
  <si>
    <t>South East London</t>
  </si>
  <si>
    <t>South West London</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</si>
  <si>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</si>
  <si>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</si>
  <si>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</si>
  <si>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</si>
  <si>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</si>
  <si>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</si>
  <si>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</si>
  <si>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</si>
  <si>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</si>
  <si>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</si>
  <si>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</si>
  <si>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</si>
  <si>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</si>
  <si>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</si>
  <si>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</si>
  <si>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</si>
  <si>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</si>
  <si>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</si>
  <si>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</si>
  <si>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</si>
  <si>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</si>
  <si>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</si>
  <si>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</si>
  <si>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</si>
  <si>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</si>
  <si>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</si>
  <si>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</si>
  <si>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</si>
  <si>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</si>
  <si>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</si>
  <si>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</si>
  <si>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</si>
  <si>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</si>
  <si>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</si>
  <si>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</si>
  <si>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</si>
  <si>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</si>
  <si>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</si>
  <si>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</si>
  <si>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</si>
  <si>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</si>
  <si>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</si>
  <si>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</si>
  <si>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</si>
  <si>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</si>
  <si>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</si>
  <si>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</si>
  <si>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</si>
  <si>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</si>
  <si>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</si>
  <si>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</si>
  <si>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</si>
  <si>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</si>
  <si>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</si>
  <si>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</si>
  <si>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</si>
  <si>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</si>
  <si>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</si>
  <si>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</si>
  <si>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</si>
  <si>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</si>
  <si>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</si>
  <si>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</si>
  <si>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</si>
  <si>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</si>
  <si>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</si>
  <si>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</si>
  <si>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</si>
  <si>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</si>
  <si>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</si>
  <si>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</si>
  <si>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</si>
  <si>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</si>
  <si>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</si>
  <si>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</si>
  <si>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</si>
  <si>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</si>
  <si>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</si>
  <si>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</si>
  <si>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</si>
  <si>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</si>
  <si>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</si>
  <si>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</si>
  <si>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</si>
  <si>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</si>
  <si>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</si>
  <si>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</si>
  <si>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</si>
  <si>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</si>
  <si>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</si>
  <si>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</si>
  <si>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Total cost (£)</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</si>
  <si>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</si>
  <si>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</si>
  <si>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</si>
  <si>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</si>
  <si>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</si>
  <si>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</si>
  <si>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</si>
  <si>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</si>
  <si>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</si>
  <si>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</si>
  <si>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</si>
  <si>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</si>
  <si>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</si>
  <si>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</si>
  <si>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</si>
  <si>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</si>
  <si>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</si>
  <si>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</si>
  <si>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</si>
  <si>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</si>
  <si>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</si>
  <si>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</si>
  <si>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</si>
  <si>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</si>
  <si>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</si>
  <si>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</si>
  <si>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</si>
  <si>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</si>
  <si>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 xml:space="preserve">Rate of VAT </t>
  </si>
  <si>
    <t>VAT £</t>
  </si>
  <si>
    <t>Cost per Unit £</t>
  </si>
  <si>
    <t>Average number of units per patient</t>
  </si>
  <si>
    <t>Average number of days per patient</t>
  </si>
  <si>
    <t>Cost per be day £</t>
  </si>
  <si>
    <t>Total bed day costs</t>
  </si>
  <si>
    <t>50 years and over</t>
  </si>
  <si>
    <t>Population males 50 years and over</t>
  </si>
  <si>
    <t>Prevalence of benign prostatic hyperplasia</t>
  </si>
  <si>
    <t>People with benign prostatic hyperplasia eligible for invasive procedures</t>
  </si>
  <si>
    <t>Patients undergoing PLASMA system procedure</t>
  </si>
  <si>
    <t>Patients undergoing Greenlight procedure</t>
  </si>
  <si>
    <t>Patients undergoing Urolift procedure</t>
  </si>
  <si>
    <t>Patients undergoing Rezum procedure</t>
  </si>
  <si>
    <t>Patients undergoing HoLEP procedure</t>
  </si>
  <si>
    <t>% of patients having retention issues</t>
  </si>
  <si>
    <t>% of patients having striction issues</t>
  </si>
  <si>
    <t>% of patients requiring blood transfusion</t>
  </si>
  <si>
    <t>Consumable costs</t>
  </si>
  <si>
    <t>Patients undergoing mTURP</t>
  </si>
  <si>
    <t>% of patients having TUR syndrome</t>
  </si>
  <si>
    <t>% of patients having UTI</t>
  </si>
  <si>
    <t>Theatre costs - minutes</t>
  </si>
  <si>
    <t>Cost per minute</t>
  </si>
  <si>
    <t>Average number of minutes per procedure</t>
  </si>
  <si>
    <t>Patients undergoing Greenlight</t>
  </si>
  <si>
    <t>Patients undergoing HoLEP</t>
  </si>
  <si>
    <t>Patients undergoing Rezum</t>
  </si>
  <si>
    <t>Patients undergoing Urolift</t>
  </si>
  <si>
    <t>Patients undergoing Bipolar TURP/PLASMA system procedure</t>
  </si>
  <si>
    <t>Uptake rate procedure type</t>
  </si>
  <si>
    <t>Number of patients per procedure type</t>
  </si>
  <si>
    <t>Unit cost - consumable cost per procedure (local input)</t>
  </si>
  <si>
    <t>Total consumable costs</t>
  </si>
  <si>
    <t>Total theatre costs</t>
  </si>
  <si>
    <t>% of patients having incontinence</t>
  </si>
  <si>
    <t>% of patients having procedure failure and requirement for further intervention</t>
  </si>
  <si>
    <t>Retention issues</t>
  </si>
  <si>
    <t>Complication costs</t>
  </si>
  <si>
    <t>Retention</t>
  </si>
  <si>
    <t>Stricture</t>
  </si>
  <si>
    <t>Transfusion</t>
  </si>
  <si>
    <t>TUR Syndrome</t>
  </si>
  <si>
    <t>UTI</t>
  </si>
  <si>
    <t>Incontinence</t>
  </si>
  <si>
    <t>Cost per patient per year</t>
  </si>
  <si>
    <t>Stricture issues</t>
  </si>
  <si>
    <t>Transfusion requirements</t>
  </si>
  <si>
    <t>Total retention issue costs</t>
  </si>
  <si>
    <t>Total stricture issue costs</t>
  </si>
  <si>
    <t>Total transfusion costs</t>
  </si>
  <si>
    <t>TUR Syndrome issues</t>
  </si>
  <si>
    <t>Total UTI issues</t>
  </si>
  <si>
    <t>Total incontinence issues</t>
  </si>
  <si>
    <t>Total complication costs</t>
  </si>
  <si>
    <t>Total net resource impact</t>
  </si>
  <si>
    <t>Per HES data</t>
  </si>
  <si>
    <t xml:space="preserve">Future practice based on clinical experts </t>
  </si>
  <si>
    <t>Number of patients per list</t>
  </si>
  <si>
    <t>Patients per list</t>
  </si>
  <si>
    <t>Current practice - patients per list if BPH list only</t>
  </si>
  <si>
    <t>Future practice - patients per list if BPH list only</t>
  </si>
  <si>
    <t>Number of theoretical theatre lists per patient type (assuming BPH list only)</t>
  </si>
  <si>
    <t>Total incontinence costs</t>
  </si>
  <si>
    <t>Total UTI costs</t>
  </si>
  <si>
    <t>Total TUR syndrome costs</t>
  </si>
  <si>
    <t>Unit Cost per UTI issue (local input)</t>
  </si>
  <si>
    <t>© NICE 2022. All rights reserved. Subject to Notice of rights.</t>
  </si>
  <si>
    <t>Based on clinical experts</t>
  </si>
  <si>
    <t>Cost of dressing incl. VAT £</t>
  </si>
  <si>
    <t>Bed day costs</t>
  </si>
  <si>
    <t>Theatre costs (theatre minutes and costs)</t>
  </si>
  <si>
    <t>Bed day costs (bed days and costs)</t>
  </si>
  <si>
    <t>Total bed day saving</t>
  </si>
  <si>
    <t>Unit cost per theatre minute (local input)</t>
  </si>
  <si>
    <t>Unit cost per bed day (local input)</t>
  </si>
  <si>
    <t>Unit cost per retention issue (local input)</t>
  </si>
  <si>
    <t>Unit cost per stricture issue (local input)</t>
  </si>
  <si>
    <t>Unit cost per transfusion issue (local input)</t>
  </si>
  <si>
    <t>Unit cost per TUR Syndrome issue (local input)</t>
  </si>
  <si>
    <t>Unit cost per incontinence issue (local input)</t>
  </si>
  <si>
    <t>TUR syndrome issues</t>
  </si>
  <si>
    <t>Eligible population for benign prostatic hyperplasia</t>
  </si>
  <si>
    <t>Reference</t>
  </si>
  <si>
    <t>Based on clinical expert opintion</t>
  </si>
  <si>
    <t>Cost per minute based on Economic model</t>
  </si>
  <si>
    <t>Cost per patient based on Economic model</t>
  </si>
  <si>
    <t>NHSE regions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</si>
  <si>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</si>
  <si>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</si>
  <si>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</si>
  <si>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</si>
  <si>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</si>
  <si>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</si>
  <si>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</si>
  <si>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</si>
  <si>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</si>
  <si>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</si>
  <si>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</si>
  <si>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</si>
  <si>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</si>
  <si>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</si>
  <si>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</si>
  <si>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</si>
  <si>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</si>
  <si>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</si>
  <si>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</si>
  <si>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</si>
  <si>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</si>
  <si>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</si>
  <si>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</si>
  <si>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</si>
  <si>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</si>
  <si>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</si>
  <si>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</si>
  <si>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</si>
  <si>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</si>
  <si>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</si>
  <si>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</si>
  <si>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</si>
  <si>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</si>
  <si>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</si>
  <si>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</si>
  <si>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</si>
  <si>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</si>
  <si>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</si>
  <si>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</si>
  <si>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</si>
  <si>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</si>
  <si>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</si>
  <si>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</si>
  <si>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</si>
  <si>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</si>
  <si>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</si>
  <si>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</si>
  <si>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</si>
  <si>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</si>
  <si>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</si>
  <si>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</si>
  <si>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</si>
  <si>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</si>
  <si>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</si>
  <si>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</si>
  <si>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</si>
  <si>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</si>
  <si>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</si>
  <si>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</si>
  <si>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</si>
  <si>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</si>
  <si>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</si>
  <si>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</si>
  <si>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</si>
  <si>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</si>
  <si>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</si>
  <si>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</si>
  <si>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</si>
  <si>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</si>
  <si>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</si>
  <si>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</si>
  <si>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</si>
  <si>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</si>
  <si>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</si>
  <si>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</si>
  <si>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</si>
  <si>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</si>
  <si>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</si>
  <si>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</si>
  <si>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</si>
  <si>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</si>
  <si>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</si>
  <si>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</si>
  <si>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</si>
  <si>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</si>
  <si>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</si>
  <si>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</si>
  <si>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</si>
  <si>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</si>
  <si>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</si>
  <si>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</si>
  <si>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</si>
  <si>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</si>
  <si>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</si>
  <si>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</si>
  <si>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</si>
  <si>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</si>
  <si>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</si>
  <si>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</si>
  <si>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</si>
  <si>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</si>
  <si>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</si>
  <si>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</si>
  <si>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</si>
  <si>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</si>
  <si>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</si>
  <si>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</si>
  <si>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North West London</t>
  </si>
  <si>
    <t>Staffodshire and Stoke-on-Trent</t>
  </si>
  <si>
    <t>Sussex and Health Care Partnership</t>
  </si>
  <si>
    <t>The Black Country</t>
  </si>
  <si>
    <t>West Yorkshire and Harrogate</t>
  </si>
  <si>
    <t>NHSENGRE</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</si>
  <si>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</si>
  <si>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</si>
  <si>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</si>
  <si>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</si>
  <si>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</si>
  <si>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</si>
  <si>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</si>
  <si>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</si>
  <si>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</si>
  <si>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</si>
  <si>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</si>
  <si>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</si>
  <si>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</si>
  <si>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</si>
  <si>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</si>
  <si>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</si>
  <si>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</si>
  <si>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</si>
  <si>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</si>
  <si>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</si>
  <si>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</si>
  <si>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</si>
  <si>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 xml:space="preserve">Benign prostatic technologies - Greenlight (MTG74), Rezum (MTG49), UroLift (MTG58), Plasma system (MTG53) and mTURP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</si>
</sst>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1"/>
      <name val="Calibri"/>
      <family val="2"/>
      <scheme val="minor"/>
    </font>
    <font>
      <u/>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FF0000"/>
        <bgColor indexed="64"/>
      </patternFill>
    </fill>
    <fill>
      <patternFill patternType="solid">
        <fgColor theme="0" tint="-0.34998626667073579"/>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7" applyNumberFormat="0" applyFill="0" applyAlignment="0" applyProtection="0"/>
    <xf numFmtId="0" fontId="21" fillId="0" borderId="47" applyNumberFormat="0" applyFill="0" applyAlignment="0" applyProtection="0"/>
  </cellStyleXfs>
  <cellXfs count="488">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1"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2"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3" xfId="0" applyFont="1" applyBorder="1" applyAlignment="1">
      <alignment horizontal="left"/>
    </xf>
    <xf numFmtId="166"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7" xfId="0" applyFont="1" applyBorder="1"/>
    <xf numFmtId="3" fontId="8" fillId="0" borderId="10" xfId="0" applyNumberFormat="1" applyFont="1" applyBorder="1"/>
    <xf numFmtId="3" fontId="8" fillId="0" borderId="37" xfId="0" applyNumberFormat="1" applyFont="1" applyBorder="1"/>
    <xf numFmtId="3" fontId="37" fillId="0" borderId="10" xfId="0" applyNumberFormat="1" applyFont="1" applyBorder="1"/>
    <xf numFmtId="3" fontId="37" fillId="0" borderId="37" xfId="0" applyNumberFormat="1" applyFont="1" applyBorder="1"/>
    <xf numFmtId="0" fontId="7" fillId="0" borderId="24" xfId="0" applyFont="1" applyBorder="1"/>
    <xf numFmtId="0" fontId="7" fillId="0" borderId="37" xfId="0" applyFont="1" applyBorder="1"/>
    <xf numFmtId="0" fontId="33" fillId="0" borderId="10" xfId="0" applyFont="1" applyBorder="1"/>
    <xf numFmtId="0" fontId="33" fillId="0" borderId="37" xfId="0" applyFont="1" applyBorder="1"/>
    <xf numFmtId="3" fontId="33" fillId="0" borderId="10" xfId="0" applyNumberFormat="1" applyFont="1" applyBorder="1"/>
    <xf numFmtId="3" fontId="33" fillId="0" borderId="37"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7" xfId="0" applyNumberFormat="1" applyFont="1" applyBorder="1"/>
    <xf numFmtId="0" fontId="33" fillId="0" borderId="24" xfId="0" applyFont="1" applyBorder="1"/>
    <xf numFmtId="0" fontId="33" fillId="36" borderId="16" xfId="0" applyFont="1" applyFill="1" applyBorder="1"/>
    <xf numFmtId="0" fontId="7" fillId="0" borderId="35" xfId="0" applyFont="1" applyBorder="1"/>
    <xf numFmtId="3" fontId="7" fillId="0" borderId="38" xfId="0" applyNumberFormat="1" applyFont="1" applyBorder="1"/>
    <xf numFmtId="3" fontId="7" fillId="0" borderId="35" xfId="0" applyNumberFormat="1" applyFont="1" applyBorder="1"/>
    <xf numFmtId="3" fontId="33" fillId="0" borderId="38" xfId="0" applyNumberFormat="1" applyFont="1" applyBorder="1"/>
    <xf numFmtId="3" fontId="33" fillId="0" borderId="35"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3" fillId="0" borderId="15" xfId="0" applyFont="1" applyBorder="1"/>
    <xf numFmtId="0" fontId="37" fillId="33" borderId="15" xfId="0" applyFont="1" applyFill="1" applyBorder="1"/>
    <xf numFmtId="0" fontId="8" fillId="0" borderId="35" xfId="0" applyFont="1" applyBorder="1"/>
    <xf numFmtId="3" fontId="8" fillId="0" borderId="38" xfId="0" applyNumberFormat="1" applyFont="1" applyBorder="1"/>
    <xf numFmtId="3" fontId="37" fillId="0" borderId="38" xfId="0" applyNumberFormat="1" applyFont="1" applyBorder="1"/>
    <xf numFmtId="3" fontId="37" fillId="0" borderId="35" xfId="0" applyNumberFormat="1" applyFont="1" applyBorder="1"/>
    <xf numFmtId="3" fontId="8" fillId="0" borderId="35"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5" xfId="0" applyFont="1" applyBorder="1"/>
    <xf numFmtId="0" fontId="33" fillId="0" borderId="38"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8" xfId="0" applyFont="1" applyFill="1" applyBorder="1" applyAlignment="1">
      <alignment horizontal="left"/>
    </xf>
    <xf numFmtId="0" fontId="33" fillId="26" borderId="38" xfId="0" applyFont="1" applyFill="1" applyBorder="1"/>
    <xf numFmtId="0" fontId="33" fillId="26" borderId="35"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9"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7"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39"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7" fillId="0" borderId="28" xfId="82" applyFont="1" applyBorder="1"/>
    <xf numFmtId="0" fontId="7" fillId="0" borderId="17" xfId="82" applyFont="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39"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9" xfId="0" applyFont="1" applyBorder="1"/>
    <xf numFmtId="0" fontId="8" fillId="0" borderId="28" xfId="0" applyFont="1" applyBorder="1"/>
    <xf numFmtId="0" fontId="8" fillId="0" borderId="12" xfId="0" applyFont="1" applyBorder="1"/>
    <xf numFmtId="0" fontId="2" fillId="28" borderId="50" xfId="87" applyFont="1" applyFill="1" applyBorder="1" applyAlignment="1">
      <alignment horizontal="left" vertical="center" wrapText="1"/>
    </xf>
    <xf numFmtId="0" fontId="40" fillId="28" borderId="50" xfId="72" applyFont="1" applyFill="1" applyBorder="1" applyAlignment="1" applyProtection="1">
      <alignment horizontal="left" vertical="top" wrapText="1"/>
    </xf>
    <xf numFmtId="0" fontId="40" fillId="28" borderId="50" xfId="72" applyFont="1" applyFill="1" applyBorder="1" applyAlignment="1" applyProtection="1">
      <alignment horizontal="left" vertical="center" wrapText="1"/>
    </xf>
    <xf numFmtId="0" fontId="2" fillId="28" borderId="50" xfId="87" applyFont="1" applyFill="1" applyBorder="1" applyAlignment="1">
      <alignment horizontal="left" vertical="top" wrapText="1"/>
    </xf>
    <xf numFmtId="0" fontId="48" fillId="37" borderId="11" xfId="0" applyFont="1" applyFill="1" applyBorder="1" applyAlignment="1">
      <alignment vertical="center"/>
    </xf>
    <xf numFmtId="0" fontId="4" fillId="25" borderId="0" xfId="0" applyFont="1" applyFill="1" applyAlignment="1">
      <alignment vertical="center"/>
    </xf>
    <xf numFmtId="3" fontId="36" fillId="29" borderId="0" xfId="0" applyNumberFormat="1" applyFont="1" applyFill="1"/>
    <xf numFmtId="0" fontId="37" fillId="27" borderId="38" xfId="0" applyFont="1" applyFill="1" applyBorder="1"/>
    <xf numFmtId="0" fontId="37" fillId="27" borderId="35"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5"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1" xfId="0" applyFont="1" applyBorder="1"/>
    <xf numFmtId="0" fontId="33" fillId="0" borderId="0" xfId="0" applyFont="1" applyAlignment="1">
      <alignment vertical="center"/>
    </xf>
    <xf numFmtId="0" fontId="48" fillId="37" borderId="12" xfId="0" applyFont="1" applyFill="1" applyBorder="1" applyAlignment="1">
      <alignment horizontal="left" vertical="center"/>
    </xf>
    <xf numFmtId="0" fontId="11" fillId="28" borderId="49" xfId="87" applyFont="1" applyFill="1" applyBorder="1" applyAlignment="1">
      <alignment horizontal="left" vertical="top" wrapText="1"/>
    </xf>
    <xf numFmtId="0" fontId="5" fillId="28" borderId="50" xfId="72" applyFont="1" applyFill="1" applyBorder="1" applyAlignment="1" applyProtection="1">
      <alignment horizontal="left" vertical="center" wrapText="1"/>
    </xf>
    <xf numFmtId="0" fontId="2" fillId="28" borderId="50" xfId="72" applyFont="1" applyFill="1" applyBorder="1" applyAlignment="1" applyProtection="1">
      <alignment horizontal="left" vertical="center" wrapText="1"/>
    </xf>
    <xf numFmtId="3" fontId="0" fillId="0" borderId="0" xfId="0" applyNumberFormat="1"/>
    <xf numFmtId="0" fontId="8" fillId="24" borderId="59"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0"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165" fontId="0" fillId="24" borderId="29" xfId="0" applyNumberFormat="1" applyFill="1" applyBorder="1" applyAlignment="1">
      <alignment wrapText="1"/>
    </xf>
    <xf numFmtId="3" fontId="0" fillId="0" borderId="11" xfId="0" applyNumberFormat="1" applyBorder="1"/>
    <xf numFmtId="165" fontId="0" fillId="0" borderId="11" xfId="0" applyNumberFormat="1" applyBorder="1"/>
    <xf numFmtId="165" fontId="0" fillId="0" borderId="55" xfId="0" applyNumberFormat="1" applyBorder="1"/>
    <xf numFmtId="3" fontId="55" fillId="28" borderId="53" xfId="0" applyNumberFormat="1" applyFont="1" applyFill="1" applyBorder="1"/>
    <xf numFmtId="165" fontId="55" fillId="28" borderId="53" xfId="0" applyNumberFormat="1" applyFont="1" applyFill="1" applyBorder="1"/>
    <xf numFmtId="165" fontId="55" fillId="28" borderId="51" xfId="0" applyNumberFormat="1" applyFont="1" applyFill="1" applyBorder="1"/>
    <xf numFmtId="3" fontId="55" fillId="0" borderId="0" xfId="0" applyNumberFormat="1" applyFont="1"/>
    <xf numFmtId="0" fontId="55" fillId="0" borderId="0" xfId="0" applyFont="1"/>
    <xf numFmtId="0" fontId="55" fillId="0" borderId="63" xfId="0" applyFont="1" applyBorder="1"/>
    <xf numFmtId="0" fontId="0" fillId="25" borderId="0" xfId="0" applyFill="1"/>
    <xf numFmtId="0" fontId="40" fillId="28" borderId="50"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4" xfId="92" applyFont="1" applyFill="1" applyBorder="1" applyAlignment="1" applyProtection="1">
      <alignment horizontal="center" vertical="center"/>
      <protection locked="0"/>
    </xf>
    <xf numFmtId="0" fontId="37" fillId="40" borderId="52" xfId="0" applyFont="1" applyFill="1" applyBorder="1" applyAlignment="1" applyProtection="1">
      <alignment vertical="center" wrapText="1"/>
      <protection locked="0"/>
    </xf>
    <xf numFmtId="3" fontId="33" fillId="40" borderId="51"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165" fontId="0" fillId="0" borderId="15" xfId="0" applyNumberFormat="1" applyBorder="1"/>
    <xf numFmtId="0" fontId="53" fillId="24" borderId="0" xfId="0" applyFont="1" applyFill="1"/>
    <xf numFmtId="0" fontId="4" fillId="25" borderId="0" xfId="0" applyFont="1" applyFill="1" applyAlignment="1">
      <alignment horizontal="left" vertical="center" wrapText="1"/>
    </xf>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2" fillId="37" borderId="65"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2" xfId="0" applyFont="1" applyFill="1" applyBorder="1" applyAlignment="1">
      <alignment vertical="center"/>
    </xf>
    <xf numFmtId="0" fontId="52" fillId="37" borderId="58" xfId="0" applyFont="1" applyFill="1" applyBorder="1" applyAlignment="1">
      <alignment horizontal="center" vertical="center" wrapText="1"/>
    </xf>
    <xf numFmtId="0" fontId="8" fillId="24" borderId="65" xfId="0" applyFont="1" applyFill="1" applyBorder="1" applyAlignment="1">
      <alignment horizontal="left" vertical="center" wrapText="1"/>
    </xf>
    <xf numFmtId="0" fontId="59" fillId="25" borderId="0" xfId="82" applyFont="1" applyFill="1"/>
    <xf numFmtId="0" fontId="59" fillId="0" borderId="0" xfId="82" applyFont="1"/>
    <xf numFmtId="0" fontId="47" fillId="0" borderId="0" xfId="0" applyFont="1"/>
    <xf numFmtId="0" fontId="52" fillId="0" borderId="0" xfId="82" applyFont="1"/>
    <xf numFmtId="3" fontId="0" fillId="0" borderId="12" xfId="0" applyNumberFormat="1" applyBorder="1"/>
    <xf numFmtId="3" fontId="55" fillId="28" borderId="66" xfId="0" applyNumberFormat="1" applyFont="1" applyFill="1" applyBorder="1"/>
    <xf numFmtId="3" fontId="0" fillId="0" borderId="41" xfId="0" applyNumberFormat="1" applyBorder="1"/>
    <xf numFmtId="3" fontId="55" fillId="28" borderId="52" xfId="0" applyNumberFormat="1" applyFont="1" applyFill="1" applyBorder="1"/>
    <xf numFmtId="165" fontId="0" fillId="0" borderId="41" xfId="0" applyNumberFormat="1" applyBorder="1"/>
    <xf numFmtId="165" fontId="55" fillId="28" borderId="52" xfId="0" applyNumberFormat="1" applyFont="1" applyFill="1" applyBorder="1"/>
    <xf numFmtId="3" fontId="0" fillId="0" borderId="17" xfId="0" applyNumberFormat="1" applyBorder="1"/>
    <xf numFmtId="3" fontId="55" fillId="28" borderId="67" xfId="0" applyNumberFormat="1" applyFont="1" applyFill="1" applyBorder="1"/>
    <xf numFmtId="0" fontId="0" fillId="0" borderId="50" xfId="0" applyBorder="1"/>
    <xf numFmtId="0" fontId="55" fillId="0" borderId="48" xfId="0" applyFont="1"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3" fillId="0" borderId="12" xfId="0" applyNumberFormat="1" applyFont="1" applyBorder="1"/>
    <xf numFmtId="3" fontId="33" fillId="0" borderId="50"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0" xfId="0" applyNumberFormat="1" applyFont="1" applyFill="1" applyBorder="1" applyAlignment="1">
      <alignment horizontal="right"/>
    </xf>
    <xf numFmtId="165" fontId="37" fillId="24" borderId="60" xfId="0" applyNumberFormat="1" applyFont="1" applyFill="1" applyBorder="1"/>
    <xf numFmtId="0" fontId="33" fillId="0" borderId="31" xfId="0" applyFont="1" applyBorder="1" applyAlignment="1">
      <alignment vertical="center"/>
    </xf>
    <xf numFmtId="165" fontId="33" fillId="24" borderId="60" xfId="0" applyNumberFormat="1" applyFont="1" applyFill="1" applyBorder="1" applyAlignment="1">
      <alignment horizontal="right" vertical="center"/>
    </xf>
    <xf numFmtId="3" fontId="33" fillId="24" borderId="59" xfId="0" applyNumberFormat="1" applyFont="1" applyFill="1" applyBorder="1" applyAlignment="1">
      <alignment vertical="center"/>
    </xf>
    <xf numFmtId="3" fontId="33" fillId="24" borderId="60" xfId="0" applyNumberFormat="1" applyFont="1" applyFill="1" applyBorder="1" applyAlignment="1">
      <alignment vertical="center"/>
    </xf>
    <xf numFmtId="3" fontId="33" fillId="0" borderId="50" xfId="0" applyNumberFormat="1" applyFont="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0"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8" xfId="0" applyFont="1" applyBorder="1"/>
    <xf numFmtId="0" fontId="7" fillId="0" borderId="0" xfId="0" applyFont="1"/>
    <xf numFmtId="0" fontId="32" fillId="0" borderId="0" xfId="72" applyFill="1" applyAlignment="1" applyProtection="1">
      <alignment wrapText="1"/>
    </xf>
    <xf numFmtId="4" fontId="59" fillId="25" borderId="0" xfId="82" applyNumberFormat="1" applyFont="1" applyFill="1"/>
    <xf numFmtId="0" fontId="2" fillId="0" borderId="0" xfId="82"/>
    <xf numFmtId="0" fontId="33" fillId="0" borderId="41" xfId="0" applyFont="1" applyBorder="1" applyAlignment="1">
      <alignment wrapText="1"/>
    </xf>
    <xf numFmtId="0" fontId="37" fillId="0" borderId="0" xfId="0" applyFont="1" applyAlignment="1">
      <alignment vertical="center"/>
    </xf>
    <xf numFmtId="3" fontId="0" fillId="0" borderId="55" xfId="0" applyNumberFormat="1" applyBorder="1"/>
    <xf numFmtId="165" fontId="52" fillId="0" borderId="17" xfId="0" applyNumberFormat="1" applyFont="1" applyBorder="1" applyAlignment="1">
      <alignment horizontal="center"/>
    </xf>
    <xf numFmtId="165" fontId="52" fillId="0" borderId="11" xfId="0" applyNumberFormat="1" applyFont="1" applyBorder="1" applyAlignment="1">
      <alignment horizontal="center"/>
    </xf>
    <xf numFmtId="165" fontId="52" fillId="0" borderId="12" xfId="0" applyNumberFormat="1" applyFont="1" applyBorder="1" applyAlignment="1">
      <alignment horizontal="center"/>
    </xf>
    <xf numFmtId="0" fontId="52" fillId="39" borderId="26" xfId="0" applyFont="1" applyFill="1" applyBorder="1" applyAlignment="1">
      <alignment horizontal="center" vertical="center" wrapText="1"/>
    </xf>
    <xf numFmtId="0" fontId="52" fillId="39" borderId="69" xfId="0" applyFont="1" applyFill="1" applyBorder="1" applyAlignment="1">
      <alignment horizontal="center" vertical="center" wrapText="1"/>
    </xf>
    <xf numFmtId="0" fontId="52" fillId="39" borderId="20" xfId="0" applyFont="1" applyFill="1" applyBorder="1" applyAlignment="1">
      <alignment horizontal="center" vertical="center" wrapText="1"/>
    </xf>
    <xf numFmtId="0" fontId="52" fillId="39" borderId="70" xfId="0" applyFont="1" applyFill="1" applyBorder="1" applyAlignment="1">
      <alignment horizontal="center" vertical="center" wrapText="1"/>
    </xf>
    <xf numFmtId="0" fontId="52"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0"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0" xfId="0" applyFont="1" applyFill="1" applyBorder="1" applyAlignment="1">
      <alignment horizontal="center" wrapText="1"/>
    </xf>
    <xf numFmtId="0" fontId="33" fillId="38" borderId="27" xfId="0" applyFont="1" applyFill="1" applyBorder="1" applyAlignment="1">
      <alignment horizontal="center" wrapText="1"/>
    </xf>
    <xf numFmtId="3" fontId="55" fillId="28" borderId="52" xfId="0" applyNumberFormat="1" applyFont="1" applyFill="1" applyBorder="1" applyAlignment="1">
      <alignment horizontal="center"/>
    </xf>
    <xf numFmtId="3" fontId="55" fillId="28" borderId="53" xfId="0" applyNumberFormat="1" applyFont="1" applyFill="1" applyBorder="1" applyAlignment="1">
      <alignment horizontal="center"/>
    </xf>
    <xf numFmtId="3" fontId="55" fillId="28" borderId="66" xfId="0" applyNumberFormat="1" applyFont="1" applyFill="1" applyBorder="1" applyAlignment="1">
      <alignment horizontal="center"/>
    </xf>
    <xf numFmtId="0" fontId="37" fillId="0" borderId="41" xfId="0" applyFont="1" applyBorder="1"/>
    <xf numFmtId="0" fontId="4" fillId="0" borderId="0" xfId="0" applyFont="1" applyAlignment="1">
      <alignment vertical="center"/>
    </xf>
    <xf numFmtId="0" fontId="0" fillId="0" borderId="14" xfId="0" applyBorder="1" applyAlignment="1">
      <alignment vertical="center"/>
    </xf>
    <xf numFmtId="0" fontId="0" fillId="0" borderId="0" xfId="0"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0" xfId="0" applyFont="1" applyBorder="1" applyAlignment="1">
      <alignment vertical="center"/>
    </xf>
    <xf numFmtId="0" fontId="37" fillId="0" borderId="41"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24" borderId="46" xfId="0" applyFont="1" applyFill="1" applyBorder="1" applyAlignment="1">
      <alignment vertical="center" wrapText="1"/>
    </xf>
    <xf numFmtId="0" fontId="49" fillId="37" borderId="12" xfId="0" applyFont="1" applyFill="1" applyBorder="1" applyAlignment="1">
      <alignment vertical="center"/>
    </xf>
    <xf numFmtId="3" fontId="33" fillId="0" borderId="55" xfId="0" applyNumberFormat="1" applyFont="1" applyBorder="1"/>
    <xf numFmtId="0" fontId="33" fillId="0" borderId="41" xfId="0" applyFont="1" applyBorder="1" applyAlignment="1">
      <alignment vertical="center" wrapText="1"/>
    </xf>
    <xf numFmtId="0" fontId="33" fillId="0" borderId="25" xfId="0" applyFont="1" applyBorder="1"/>
    <xf numFmtId="0" fontId="52" fillId="0" borderId="0" xfId="0" applyFont="1" applyAlignment="1">
      <alignment vertical="center" wrapText="1"/>
    </xf>
    <xf numFmtId="10" fontId="33" fillId="0" borderId="41" xfId="0" applyNumberFormat="1" applyFont="1" applyBorder="1"/>
    <xf numFmtId="0" fontId="0" fillId="0" borderId="0" xfId="0" applyAlignment="1">
      <alignment wrapText="1"/>
    </xf>
    <xf numFmtId="0" fontId="0" fillId="0" borderId="0" xfId="0" applyAlignment="1">
      <alignment horizontal="left" vertical="center" wrapText="1"/>
    </xf>
    <xf numFmtId="0" fontId="5" fillId="28" borderId="50" xfId="0" applyFont="1" applyFill="1" applyBorder="1" applyAlignment="1">
      <alignment horizontal="left" vertical="center" wrapText="1"/>
    </xf>
    <xf numFmtId="0" fontId="5" fillId="28" borderId="50" xfId="82" applyFont="1" applyFill="1" applyBorder="1" applyAlignment="1">
      <alignment horizontal="left" vertical="center" wrapText="1"/>
    </xf>
    <xf numFmtId="0" fontId="44" fillId="28" borderId="50" xfId="0" applyFont="1" applyFill="1" applyBorder="1" applyAlignment="1">
      <alignment wrapText="1"/>
    </xf>
    <xf numFmtId="0" fontId="5" fillId="28" borderId="50" xfId="105" applyFont="1" applyFill="1" applyBorder="1" applyAlignment="1">
      <alignment vertical="center" wrapText="1"/>
    </xf>
    <xf numFmtId="0" fontId="39" fillId="28" borderId="48" xfId="0" applyFont="1" applyFill="1" applyBorder="1" applyAlignment="1">
      <alignment wrapText="1"/>
    </xf>
    <xf numFmtId="10" fontId="33" fillId="40" borderId="11" xfId="0" applyNumberFormat="1" applyFont="1" applyFill="1" applyBorder="1" applyProtection="1">
      <protection locked="0"/>
    </xf>
    <xf numFmtId="0" fontId="56" fillId="40" borderId="31" xfId="0" applyFont="1" applyFill="1" applyBorder="1" applyAlignment="1" applyProtection="1">
      <alignment horizontal="left" vertical="center" wrapText="1"/>
      <protection locked="0"/>
    </xf>
    <xf numFmtId="9" fontId="0" fillId="40" borderId="57" xfId="92" applyFont="1" applyFill="1" applyBorder="1" applyProtection="1">
      <protection locked="0"/>
    </xf>
    <xf numFmtId="9" fontId="0" fillId="40" borderId="38" xfId="92" applyFont="1" applyFill="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55" xfId="0" applyNumberFormat="1" applyFont="1" applyBorder="1"/>
    <xf numFmtId="0" fontId="37" fillId="40" borderId="55" xfId="0" applyFont="1" applyFill="1" applyBorder="1" applyAlignment="1" applyProtection="1">
      <alignment horizontal="center" vertical="center" wrapText="1"/>
      <protection locked="0"/>
    </xf>
    <xf numFmtId="0" fontId="2" fillId="0" borderId="11" xfId="82" applyBorder="1" applyAlignment="1">
      <alignment horizontal="center" vertical="top" wrapText="1"/>
    </xf>
    <xf numFmtId="0" fontId="7" fillId="0" borderId="12" xfId="82" applyFont="1" applyBorder="1" applyAlignment="1">
      <alignment horizontal="left"/>
    </xf>
    <xf numFmtId="164" fontId="34" fillId="0" borderId="0" xfId="0" applyNumberFormat="1" applyFont="1"/>
    <xf numFmtId="164" fontId="50" fillId="37" borderId="11" xfId="0" applyNumberFormat="1" applyFont="1" applyFill="1" applyBorder="1"/>
    <xf numFmtId="164" fontId="52" fillId="0" borderId="0" xfId="82" applyNumberFormat="1" applyFont="1"/>
    <xf numFmtId="164" fontId="2" fillId="0" borderId="11" xfId="82" applyNumberFormat="1" applyBorder="1" applyAlignment="1">
      <alignment horizontal="center" vertical="top" wrapText="1"/>
    </xf>
    <xf numFmtId="164" fontId="7" fillId="0" borderId="0" xfId="82" applyNumberFormat="1" applyFont="1"/>
    <xf numFmtId="164" fontId="2" fillId="24" borderId="0" xfId="82" applyNumberFormat="1" applyFill="1"/>
    <xf numFmtId="164" fontId="59" fillId="25" borderId="0" xfId="82" applyNumberFormat="1" applyFont="1" applyFill="1"/>
    <xf numFmtId="164" fontId="59" fillId="0" borderId="0" xfId="82" applyNumberFormat="1" applyFont="1"/>
    <xf numFmtId="0" fontId="4" fillId="0" borderId="0" xfId="82" applyFont="1"/>
    <xf numFmtId="164" fontId="2" fillId="0" borderId="0" xfId="82" applyNumberFormat="1" applyAlignment="1">
      <alignment horizontal="center" vertical="top" wrapText="1"/>
    </xf>
    <xf numFmtId="0" fontId="2" fillId="0" borderId="0" xfId="82" applyAlignment="1">
      <alignment horizontal="center" vertical="top" wrapText="1"/>
    </xf>
    <xf numFmtId="164" fontId="2" fillId="0" borderId="15" xfId="82" applyNumberFormat="1" applyBorder="1" applyAlignment="1">
      <alignment horizontal="center" vertical="top" wrapText="1"/>
    </xf>
    <xf numFmtId="0" fontId="2" fillId="0" borderId="15" xfId="82" applyBorder="1" applyAlignment="1">
      <alignment horizontal="center" vertical="top" wrapText="1"/>
    </xf>
    <xf numFmtId="164" fontId="7" fillId="0" borderId="11" xfId="82" applyNumberFormat="1" applyFont="1" applyBorder="1"/>
    <xf numFmtId="164" fontId="7" fillId="0" borderId="28" xfId="82" applyNumberFormat="1" applyFont="1" applyBorder="1"/>
    <xf numFmtId="165" fontId="37" fillId="24" borderId="53" xfId="0" applyNumberFormat="1" applyFont="1" applyFill="1" applyBorder="1"/>
    <xf numFmtId="165" fontId="33" fillId="24" borderId="22" xfId="0" applyNumberFormat="1" applyFont="1" applyFill="1" applyBorder="1" applyAlignment="1">
      <alignment horizontal="center" vertical="center" wrapText="1"/>
    </xf>
    <xf numFmtId="164" fontId="33" fillId="40" borderId="12" xfId="0" applyNumberFormat="1" applyFont="1" applyFill="1" applyBorder="1" applyAlignment="1" applyProtection="1">
      <alignment horizontal="right"/>
      <protection locked="0"/>
    </xf>
    <xf numFmtId="164" fontId="33" fillId="0" borderId="12" xfId="0" applyNumberFormat="1" applyFont="1" applyBorder="1" applyAlignment="1" applyProtection="1">
      <alignment horizontal="right"/>
      <protection locked="0"/>
    </xf>
    <xf numFmtId="3" fontId="33" fillId="0" borderId="41" xfId="0" applyNumberFormat="1" applyFont="1" applyBorder="1"/>
    <xf numFmtId="0" fontId="37" fillId="24" borderId="42" xfId="0" applyFont="1" applyFill="1" applyBorder="1" applyAlignment="1">
      <alignment horizontal="left"/>
    </xf>
    <xf numFmtId="9" fontId="0" fillId="40" borderId="13" xfId="0" applyNumberFormat="1" applyFill="1" applyBorder="1" applyProtection="1">
      <protection locked="0"/>
    </xf>
    <xf numFmtId="9" fontId="0" fillId="40" borderId="57" xfId="0" applyNumberFormat="1" applyFill="1" applyBorder="1" applyProtection="1">
      <protection locked="0"/>
    </xf>
    <xf numFmtId="9" fontId="0" fillId="40" borderId="33" xfId="0" applyNumberFormat="1" applyFill="1" applyBorder="1" applyProtection="1">
      <protection locked="0"/>
    </xf>
    <xf numFmtId="0" fontId="0" fillId="0" borderId="13" xfId="0" applyBorder="1" applyProtection="1">
      <protection locked="0"/>
    </xf>
    <xf numFmtId="0" fontId="0" fillId="0" borderId="38" xfId="0" applyBorder="1" applyProtection="1">
      <protection locked="0"/>
    </xf>
    <xf numFmtId="9" fontId="0" fillId="0" borderId="57" xfId="92" applyFont="1" applyFill="1" applyBorder="1" applyProtection="1">
      <protection locked="0"/>
    </xf>
    <xf numFmtId="9" fontId="0" fillId="0" borderId="38" xfId="92" applyFont="1" applyFill="1" applyBorder="1" applyProtection="1">
      <protection locked="0"/>
    </xf>
    <xf numFmtId="0" fontId="0" fillId="0" borderId="57" xfId="0" applyBorder="1" applyProtection="1">
      <protection locked="0"/>
    </xf>
    <xf numFmtId="0" fontId="0" fillId="0" borderId="36" xfId="0" applyBorder="1" applyProtection="1">
      <protection locked="0"/>
    </xf>
    <xf numFmtId="9" fontId="0" fillId="40" borderId="13" xfId="92" applyFont="1" applyFill="1" applyBorder="1" applyProtection="1">
      <protection locked="0"/>
    </xf>
    <xf numFmtId="9" fontId="0" fillId="40" borderId="38" xfId="0" applyNumberFormat="1" applyFill="1" applyBorder="1" applyProtection="1">
      <protection locked="0"/>
    </xf>
    <xf numFmtId="0" fontId="0" fillId="0" borderId="68" xfId="0" applyBorder="1"/>
    <xf numFmtId="3" fontId="60" fillId="0" borderId="11" xfId="0" applyNumberFormat="1" applyFont="1" applyBorder="1"/>
    <xf numFmtId="3" fontId="60" fillId="0" borderId="12" xfId="0" applyNumberFormat="1" applyFont="1" applyBorder="1"/>
    <xf numFmtId="3" fontId="60" fillId="0" borderId="41" xfId="0" applyNumberFormat="1" applyFont="1" applyBorder="1"/>
    <xf numFmtId="3" fontId="60" fillId="0" borderId="55" xfId="0" applyNumberFormat="1" applyFont="1" applyBorder="1"/>
    <xf numFmtId="0" fontId="60" fillId="0" borderId="50" xfId="0" applyFont="1" applyBorder="1"/>
    <xf numFmtId="3" fontId="60" fillId="0" borderId="17" xfId="0" applyNumberFormat="1" applyFont="1" applyBorder="1"/>
    <xf numFmtId="165" fontId="0" fillId="0" borderId="41" xfId="0" quotePrefix="1" applyNumberFormat="1" applyBorder="1" applyAlignment="1">
      <alignment horizontal="right"/>
    </xf>
    <xf numFmtId="165" fontId="0" fillId="0" borderId="11" xfId="0" applyNumberFormat="1" applyBorder="1" applyAlignment="1">
      <alignment horizontal="right"/>
    </xf>
    <xf numFmtId="165" fontId="0" fillId="0" borderId="55" xfId="0" applyNumberFormat="1" applyBorder="1" applyAlignment="1">
      <alignment horizontal="right"/>
    </xf>
    <xf numFmtId="165" fontId="0" fillId="0" borderId="41" xfId="0" applyNumberFormat="1" applyBorder="1" applyAlignment="1">
      <alignment horizontal="right"/>
    </xf>
    <xf numFmtId="10" fontId="33" fillId="0" borderId="17" xfId="0" applyNumberFormat="1" applyFont="1" applyBorder="1"/>
    <xf numFmtId="3" fontId="33" fillId="24" borderId="52" xfId="0" applyNumberFormat="1" applyFont="1" applyFill="1" applyBorder="1"/>
    <xf numFmtId="3" fontId="33" fillId="24" borderId="53" xfId="0" applyNumberFormat="1" applyFont="1" applyFill="1" applyBorder="1"/>
    <xf numFmtId="3" fontId="33" fillId="24" borderId="51" xfId="0" applyNumberFormat="1" applyFont="1" applyFill="1" applyBorder="1"/>
    <xf numFmtId="0" fontId="33" fillId="38" borderId="65" xfId="0" applyFont="1" applyFill="1" applyBorder="1" applyAlignment="1">
      <alignment horizontal="center" wrapText="1"/>
    </xf>
    <xf numFmtId="0" fontId="33" fillId="0" borderId="40" xfId="0" applyFont="1" applyBorder="1"/>
    <xf numFmtId="3" fontId="33" fillId="0" borderId="64" xfId="0" applyNumberFormat="1" applyFont="1" applyBorder="1"/>
    <xf numFmtId="10" fontId="33" fillId="0" borderId="41" xfId="0" applyNumberFormat="1" applyFont="1" applyBorder="1" applyProtection="1">
      <protection locked="0"/>
    </xf>
    <xf numFmtId="10" fontId="37" fillId="0" borderId="52" xfId="0" applyNumberFormat="1" applyFont="1" applyBorder="1" applyProtection="1">
      <protection locked="0"/>
    </xf>
    <xf numFmtId="3" fontId="37" fillId="0" borderId="51" xfId="0" applyNumberFormat="1" applyFont="1" applyBorder="1"/>
    <xf numFmtId="10" fontId="37" fillId="0" borderId="53" xfId="0" applyNumberFormat="1" applyFont="1" applyBorder="1" applyProtection="1">
      <protection locked="0"/>
    </xf>
    <xf numFmtId="0" fontId="33" fillId="0" borderId="71" xfId="0" applyFont="1" applyBorder="1" applyAlignment="1">
      <alignment vertical="center" wrapText="1"/>
    </xf>
    <xf numFmtId="0" fontId="33" fillId="0" borderId="33" xfId="0" applyFont="1" applyBorder="1" applyAlignment="1">
      <alignment vertical="center" wrapText="1"/>
    </xf>
    <xf numFmtId="0" fontId="33" fillId="0" borderId="62" xfId="0" applyFont="1" applyBorder="1"/>
    <xf numFmtId="0" fontId="52" fillId="39" borderId="34" xfId="0" applyFont="1" applyFill="1" applyBorder="1" applyAlignment="1">
      <alignment horizontal="center" vertical="center" wrapText="1"/>
    </xf>
    <xf numFmtId="0" fontId="52" fillId="39" borderId="72" xfId="0" applyFont="1" applyFill="1" applyBorder="1" applyAlignment="1">
      <alignment horizontal="center" vertical="center" wrapText="1"/>
    </xf>
    <xf numFmtId="0" fontId="33" fillId="24" borderId="65" xfId="0" applyFont="1" applyFill="1" applyBorder="1" applyAlignment="1">
      <alignment horizontal="center" wrapText="1"/>
    </xf>
    <xf numFmtId="0" fontId="33" fillId="24" borderId="72" xfId="0" applyFont="1" applyFill="1" applyBorder="1" applyAlignment="1">
      <alignment horizontal="center" wrapText="1"/>
    </xf>
    <xf numFmtId="0" fontId="33" fillId="0" borderId="61" xfId="0" applyFont="1" applyBorder="1"/>
    <xf numFmtId="0" fontId="33" fillId="0" borderId="56" xfId="0" applyFont="1" applyBorder="1"/>
    <xf numFmtId="10" fontId="33" fillId="0" borderId="31" xfId="0" applyNumberFormat="1" applyFont="1" applyBorder="1"/>
    <xf numFmtId="10" fontId="33" fillId="40" borderId="41" xfId="0" applyNumberFormat="1" applyFont="1" applyFill="1" applyBorder="1" applyProtection="1">
      <protection locked="0"/>
    </xf>
    <xf numFmtId="0" fontId="38" fillId="0" borderId="12" xfId="0" applyFont="1" applyBorder="1" applyAlignment="1">
      <alignment horizontal="left" vertical="center"/>
    </xf>
    <xf numFmtId="4" fontId="2" fillId="0" borderId="0" xfId="82" applyNumberFormat="1" applyProtection="1">
      <protection locked="0"/>
    </xf>
    <xf numFmtId="164" fontId="52" fillId="0" borderId="17" xfId="82" applyNumberFormat="1" applyFont="1" applyBorder="1"/>
    <xf numFmtId="0" fontId="7" fillId="0" borderId="13" xfId="82" applyFont="1" applyBorder="1" applyAlignment="1">
      <alignment horizontal="left"/>
    </xf>
    <xf numFmtId="164" fontId="7" fillId="0" borderId="38" xfId="82" applyNumberFormat="1" applyFont="1" applyBorder="1"/>
    <xf numFmtId="0" fontId="7" fillId="0" borderId="38" xfId="82" applyFont="1" applyBorder="1"/>
    <xf numFmtId="0" fontId="7" fillId="0" borderId="35" xfId="82" applyFont="1" applyBorder="1"/>
    <xf numFmtId="10" fontId="37" fillId="0" borderId="41" xfId="0" applyNumberFormat="1" applyFont="1" applyBorder="1" applyProtection="1">
      <protection locked="0"/>
    </xf>
    <xf numFmtId="0" fontId="37" fillId="0" borderId="33" xfId="0" applyFont="1" applyBorder="1" applyAlignment="1">
      <alignment vertical="center" wrapText="1"/>
    </xf>
    <xf numFmtId="0" fontId="7" fillId="0" borderId="0" xfId="0" applyFont="1" applyAlignment="1">
      <alignment vertical="center"/>
    </xf>
    <xf numFmtId="0" fontId="61" fillId="0" borderId="0" xfId="72" applyFont="1" applyFill="1" applyAlignment="1" applyProtection="1">
      <alignment wrapText="1"/>
    </xf>
    <xf numFmtId="0" fontId="7" fillId="0" borderId="31" xfId="0" applyFont="1" applyBorder="1" applyAlignment="1" applyProtection="1">
      <alignment horizontal="left" vertical="center" wrapText="1"/>
      <protection locked="0"/>
    </xf>
    <xf numFmtId="10" fontId="33" fillId="41" borderId="41" xfId="0" applyNumberFormat="1" applyFont="1" applyFill="1" applyBorder="1" applyProtection="1">
      <protection locked="0"/>
    </xf>
    <xf numFmtId="10" fontId="33" fillId="41" borderId="11" xfId="0" applyNumberFormat="1" applyFont="1" applyFill="1" applyBorder="1" applyProtection="1">
      <protection locked="0"/>
    </xf>
    <xf numFmtId="0" fontId="8" fillId="0" borderId="32" xfId="0" applyFont="1" applyBorder="1" applyAlignment="1">
      <alignment horizontal="left" vertical="center" wrapText="1"/>
    </xf>
    <xf numFmtId="165" fontId="33" fillId="0" borderId="26" xfId="0" applyNumberFormat="1" applyFont="1" applyBorder="1" applyAlignment="1">
      <alignment horizontal="right" vertical="center"/>
    </xf>
    <xf numFmtId="3" fontId="33" fillId="0" borderId="32" xfId="0" applyNumberFormat="1" applyFont="1" applyBorder="1" applyAlignment="1">
      <alignment horizontal="center" vertical="center"/>
    </xf>
    <xf numFmtId="3" fontId="33" fillId="0" borderId="26" xfId="0" applyNumberFormat="1" applyFont="1" applyBorder="1" applyAlignment="1">
      <alignment horizontal="center" vertical="center"/>
    </xf>
    <xf numFmtId="165" fontId="37" fillId="0" borderId="26" xfId="0" applyNumberFormat="1" applyFont="1" applyBorder="1" applyAlignment="1">
      <alignment vertical="center"/>
    </xf>
    <xf numFmtId="165" fontId="37" fillId="0" borderId="27" xfId="0" applyNumberFormat="1" applyFont="1" applyBorder="1" applyAlignment="1">
      <alignment vertical="center"/>
    </xf>
    <xf numFmtId="0" fontId="0" fillId="0" borderId="11" xfId="0" applyBorder="1" applyAlignment="1">
      <alignment wrapText="1"/>
    </xf>
    <xf numFmtId="0" fontId="0" fillId="0" borderId="11" xfId="0" applyBorder="1" applyAlignment="1">
      <alignment vertical="center" wrapText="1"/>
    </xf>
    <xf numFmtId="0" fontId="32" fillId="0" borderId="11" xfId="72" applyFill="1" applyBorder="1" applyAlignment="1" applyProtection="1">
      <alignment wrapText="1"/>
    </xf>
    <xf numFmtId="3" fontId="55" fillId="28" borderId="53" xfId="0" applyNumberFormat="1" applyFont="1" applyFill="1" applyBorder="1" applyAlignment="1">
      <alignment horizontal="right"/>
    </xf>
    <xf numFmtId="3" fontId="55" fillId="28" borderId="66" xfId="0" applyNumberFormat="1" applyFont="1" applyFill="1" applyBorder="1" applyAlignment="1">
      <alignment horizontal="right"/>
    </xf>
    <xf numFmtId="0" fontId="0" fillId="0" borderId="31" xfId="0" applyBorder="1"/>
    <xf numFmtId="0" fontId="60" fillId="0" borderId="31" xfId="0" applyFont="1" applyBorder="1"/>
    <xf numFmtId="3" fontId="0" fillId="0" borderId="40" xfId="0" applyNumberFormat="1" applyBorder="1"/>
    <xf numFmtId="3" fontId="55" fillId="28" borderId="52" xfId="0" applyNumberFormat="1" applyFont="1" applyFill="1" applyBorder="1" applyAlignment="1">
      <alignment horizontal="right"/>
    </xf>
    <xf numFmtId="3" fontId="7" fillId="0" borderId="12" xfId="0" applyNumberFormat="1" applyFont="1" applyBorder="1"/>
    <xf numFmtId="3" fontId="7" fillId="0" borderId="50" xfId="0" applyNumberFormat="1" applyFont="1" applyBorder="1"/>
    <xf numFmtId="165" fontId="7" fillId="0" borderId="17" xfId="0" applyNumberFormat="1" applyFont="1" applyBorder="1"/>
    <xf numFmtId="165" fontId="7" fillId="0" borderId="11" xfId="0" applyNumberFormat="1" applyFont="1" applyBorder="1"/>
    <xf numFmtId="165" fontId="7" fillId="0" borderId="12" xfId="0" applyNumberFormat="1" applyFont="1" applyBorder="1"/>
    <xf numFmtId="165" fontId="48" fillId="0" borderId="0" xfId="0" applyNumberFormat="1" applyFont="1" applyAlignment="1">
      <alignment vertical="center" wrapText="1"/>
    </xf>
    <xf numFmtId="165" fontId="47" fillId="0" borderId="0" xfId="0" applyNumberFormat="1" applyFont="1"/>
    <xf numFmtId="165" fontId="52" fillId="0" borderId="0" xfId="82" applyNumberFormat="1" applyFont="1"/>
    <xf numFmtId="165" fontId="0" fillId="0" borderId="0" xfId="0" applyNumberFormat="1"/>
    <xf numFmtId="165" fontId="55" fillId="28" borderId="54" xfId="0" applyNumberFormat="1" applyFont="1" applyFill="1" applyBorder="1"/>
    <xf numFmtId="165" fontId="55" fillId="28" borderId="63" xfId="0" applyNumberFormat="1" applyFont="1" applyFill="1" applyBorder="1"/>
    <xf numFmtId="0" fontId="8" fillId="42" borderId="32" xfId="0" applyFont="1" applyFill="1" applyBorder="1" applyAlignment="1">
      <alignment horizontal="left" vertical="center" wrapText="1"/>
    </xf>
    <xf numFmtId="165" fontId="0" fillId="42" borderId="26" xfId="0" applyNumberFormat="1" applyFill="1" applyBorder="1"/>
    <xf numFmtId="0" fontId="0" fillId="42" borderId="26" xfId="0" applyFill="1" applyBorder="1"/>
    <xf numFmtId="165" fontId="55" fillId="42" borderId="19" xfId="0" applyNumberFormat="1" applyFont="1" applyFill="1" applyBorder="1"/>
    <xf numFmtId="165" fontId="55" fillId="0" borderId="0" xfId="0" applyNumberFormat="1" applyFont="1"/>
    <xf numFmtId="3" fontId="55" fillId="0" borderId="73" xfId="0" applyNumberFormat="1" applyFont="1" applyBorder="1"/>
    <xf numFmtId="0" fontId="55" fillId="0" borderId="73" xfId="0" applyFont="1" applyBorder="1"/>
    <xf numFmtId="0" fontId="8" fillId="0" borderId="38" xfId="0" applyFont="1" applyBorder="1" applyAlignment="1">
      <alignment horizontal="left" vertical="center" wrapText="1"/>
    </xf>
    <xf numFmtId="165" fontId="55" fillId="0" borderId="73" xfId="0" applyNumberFormat="1" applyFont="1" applyBorder="1"/>
    <xf numFmtId="2" fontId="7" fillId="0" borderId="11" xfId="82" applyNumberFormat="1" applyFont="1" applyBorder="1"/>
    <xf numFmtId="165" fontId="0" fillId="0" borderId="26" xfId="0" applyNumberFormat="1" applyBorder="1"/>
    <xf numFmtId="0" fontId="0" fillId="0" borderId="26" xfId="0" applyBorder="1"/>
    <xf numFmtId="165" fontId="55" fillId="0" borderId="19" xfId="0" applyNumberFormat="1" applyFont="1" applyBorder="1"/>
    <xf numFmtId="165" fontId="55" fillId="0" borderId="20" xfId="0" applyNumberFormat="1" applyFont="1" applyBorder="1"/>
    <xf numFmtId="165" fontId="55" fillId="0" borderId="23" xfId="0" applyNumberFormat="1" applyFont="1" applyBorder="1"/>
    <xf numFmtId="168" fontId="33" fillId="0" borderId="12" xfId="0" applyNumberFormat="1" applyFont="1" applyBorder="1" applyAlignment="1" applyProtection="1">
      <alignment horizontal="right"/>
      <protection locked="0"/>
    </xf>
    <xf numFmtId="3" fontId="33" fillId="0" borderId="31" xfId="0" applyNumberFormat="1" applyFont="1" applyBorder="1" applyAlignment="1">
      <alignment horizontal="center" vertical="center" wrapText="1"/>
    </xf>
    <xf numFmtId="3" fontId="33" fillId="0" borderId="31" xfId="0" applyNumberFormat="1" applyFont="1" applyBorder="1"/>
    <xf numFmtId="0" fontId="52" fillId="0" borderId="0" xfId="0" applyFont="1" applyAlignment="1">
      <alignment horizontal="center" vertical="center" wrapText="1"/>
    </xf>
    <xf numFmtId="0" fontId="33" fillId="0" borderId="0" xfId="0" applyFont="1" applyAlignment="1">
      <alignment horizontal="center" vertical="center" wrapText="1"/>
    </xf>
    <xf numFmtId="3" fontId="33" fillId="0" borderId="0" xfId="0" applyNumberFormat="1" applyFont="1" applyAlignment="1">
      <alignment horizontal="center" vertical="center" wrapText="1"/>
    </xf>
    <xf numFmtId="165" fontId="37" fillId="0" borderId="0" xfId="0" applyNumberFormat="1" applyFont="1"/>
    <xf numFmtId="164" fontId="7" fillId="40" borderId="11" xfId="82" applyNumberFormat="1" applyFont="1" applyFill="1" applyBorder="1" applyProtection="1">
      <protection locked="0"/>
    </xf>
    <xf numFmtId="9" fontId="7" fillId="0" borderId="11" xfId="82" applyNumberFormat="1" applyFont="1" applyBorder="1"/>
    <xf numFmtId="4" fontId="7" fillId="0" borderId="11" xfId="82" applyNumberFormat="1" applyFont="1" applyBorder="1"/>
    <xf numFmtId="164" fontId="7" fillId="0" borderId="11" xfId="82" applyNumberFormat="1" applyFont="1" applyBorder="1" applyAlignment="1">
      <alignment horizontal="right"/>
    </xf>
    <xf numFmtId="4" fontId="7" fillId="0" borderId="11" xfId="82" applyNumberFormat="1" applyFont="1" applyBorder="1" applyProtection="1">
      <protection locked="0"/>
    </xf>
    <xf numFmtId="0" fontId="0" fillId="28" borderId="38" xfId="0" applyFill="1" applyBorder="1" applyProtection="1">
      <protection locked="0"/>
    </xf>
    <xf numFmtId="0" fontId="0" fillId="28" borderId="11" xfId="0" applyFill="1" applyBorder="1" applyProtection="1">
      <protection locked="0"/>
    </xf>
    <xf numFmtId="0" fontId="0" fillId="28" borderId="57" xfId="0" applyFill="1" applyBorder="1" applyProtection="1">
      <protection locked="0"/>
    </xf>
    <xf numFmtId="0" fontId="0" fillId="28" borderId="36" xfId="0" applyFill="1" applyBorder="1" applyProtection="1">
      <protection locked="0"/>
    </xf>
    <xf numFmtId="165" fontId="55" fillId="42" borderId="46" xfId="0" applyNumberFormat="1" applyFont="1" applyFill="1" applyBorder="1"/>
    <xf numFmtId="164" fontId="2" fillId="40" borderId="11" xfId="82" applyNumberFormat="1" applyFill="1" applyBorder="1" applyProtection="1">
      <protection locked="0"/>
    </xf>
    <xf numFmtId="164" fontId="2" fillId="40" borderId="39" xfId="82" applyNumberFormat="1" applyFill="1" applyBorder="1" applyProtection="1">
      <protection locked="0"/>
    </xf>
    <xf numFmtId="168" fontId="7" fillId="40" borderId="11" xfId="82" applyNumberFormat="1" applyFont="1" applyFill="1" applyBorder="1" applyProtection="1">
      <protection locked="0"/>
    </xf>
    <xf numFmtId="164" fontId="7" fillId="0" borderId="0" xfId="82" applyNumberFormat="1" applyFont="1" applyProtection="1">
      <protection locked="0"/>
    </xf>
    <xf numFmtId="2" fontId="7" fillId="40" borderId="11" xfId="82" applyNumberFormat="1" applyFont="1" applyFill="1" applyBorder="1" applyProtection="1">
      <protection locked="0"/>
    </xf>
    <xf numFmtId="9" fontId="0" fillId="0" borderId="13" xfId="0" applyNumberFormat="1" applyBorder="1" applyProtection="1">
      <protection locked="0"/>
    </xf>
    <xf numFmtId="9" fontId="0" fillId="0" borderId="38" xfId="0" applyNumberFormat="1" applyBorder="1" applyProtection="1">
      <protection locked="0"/>
    </xf>
    <xf numFmtId="9" fontId="0" fillId="0" borderId="28" xfId="0" applyNumberFormat="1" applyBorder="1" applyProtection="1">
      <protection locked="0"/>
    </xf>
    <xf numFmtId="9" fontId="0" fillId="0" borderId="28" xfId="92" applyFont="1" applyFill="1" applyBorder="1" applyProtection="1">
      <protection locked="0"/>
    </xf>
    <xf numFmtId="0" fontId="2" fillId="0" borderId="11" xfId="82" applyBorder="1"/>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0</xdr:row>
          <xdr:rowOff>137160</xdr:rowOff>
        </xdr:from>
        <xdr:to>
          <xdr:col>10</xdr:col>
          <xdr:colOff>388620</xdr:colOff>
          <xdr:row>51</xdr:row>
          <xdr:rowOff>45720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154781</xdr:rowOff>
    </xdr:from>
    <xdr:to>
      <xdr:col>2</xdr:col>
      <xdr:colOff>1771650</xdr:colOff>
      <xdr:row>13</xdr:row>
      <xdr:rowOff>23812</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5915025" y="8382000"/>
          <a:ext cx="1762125" cy="631031"/>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1092200</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1019968</xdr:colOff>
      <xdr:row>0</xdr:row>
      <xdr:rowOff>114037</xdr:rowOff>
    </xdr:from>
    <xdr:to>
      <xdr:col>8</xdr:col>
      <xdr:colOff>786424</xdr:colOff>
      <xdr:row>1</xdr:row>
      <xdr:rowOff>281253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031" y="114037"/>
          <a:ext cx="3346268"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0</xdr:row>
      <xdr:rowOff>521109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J2" sqref="J2"/>
    </sheetView>
  </sheetViews>
  <sheetFormatPr defaultColWidth="9.109375" defaultRowHeight="14.4" x14ac:dyDescent="0.3"/>
  <sheetData/>
  <sheetProtection algorithmName="SHA-512" hashValue="zZSarK6+qZs1TK58jwaxam0gksafy/XwggT5lJKqnJ8T/sZP5d4jWKnxLn092MuZrggywp6tnyGe9i+sjAi9YQ==" saltValue="BPxxToZbQZc/uRTLF8fShA==" spinCount="100000" sheet="1" objects="1" scenarios="1"/>
  <pageMargins left="0.25" right="0.25" top="0.75" bottom="0.75" header="0.3" footer="0.3"/>
  <pageSetup paperSize="9" scale="97"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137160</xdr:colOff>
                <xdr:row>0</xdr:row>
                <xdr:rowOff>137160</xdr:rowOff>
              </from>
              <to>
                <xdr:col>10</xdr:col>
                <xdr:colOff>388620</xdr:colOff>
                <xdr:row>51</xdr:row>
                <xdr:rowOff>45720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09375" defaultRowHeight="13.8" x14ac:dyDescent="0.25"/>
  <cols>
    <col min="1" max="1" width="85.109375" style="14" customWidth="1"/>
    <col min="2" max="2" width="3.44140625" style="14" customWidth="1"/>
    <col min="3" max="3" width="26.5546875" style="14" customWidth="1"/>
    <col min="4" max="5" width="9.109375" style="14"/>
    <col min="6" max="6" width="34.44140625" style="14" customWidth="1"/>
    <col min="7" max="16384" width="9.109375" style="14"/>
  </cols>
  <sheetData>
    <row r="1" spans="1:5" s="1" customFormat="1" ht="35.1" customHeight="1" x14ac:dyDescent="0.25">
      <c r="A1" s="103" t="s">
        <v>16</v>
      </c>
      <c r="B1" s="223" t="s">
        <v>3</v>
      </c>
      <c r="C1" s="223" t="s">
        <v>3</v>
      </c>
      <c r="D1" s="223" t="s">
        <v>3</v>
      </c>
      <c r="E1" s="223" t="s">
        <v>3</v>
      </c>
    </row>
    <row r="2" spans="1:5" s="1" customFormat="1" ht="15" x14ac:dyDescent="0.25">
      <c r="A2" s="224" t="s">
        <v>3</v>
      </c>
      <c r="B2" s="225" t="s">
        <v>3</v>
      </c>
      <c r="C2" s="225" t="s">
        <v>3</v>
      </c>
      <c r="D2" s="225" t="s">
        <v>3</v>
      </c>
      <c r="E2" s="225" t="s">
        <v>3</v>
      </c>
    </row>
    <row r="3" spans="1:5" s="1" customFormat="1" ht="55.2" x14ac:dyDescent="0.25">
      <c r="A3" s="9" t="s">
        <v>419</v>
      </c>
      <c r="B3" s="223" t="s">
        <v>3</v>
      </c>
      <c r="C3" s="223" t="s">
        <v>3</v>
      </c>
      <c r="D3" s="223" t="s">
        <v>3</v>
      </c>
      <c r="E3" s="223" t="s">
        <v>3</v>
      </c>
    </row>
    <row r="4" spans="1:5" s="1" customFormat="1" ht="15" x14ac:dyDescent="0.25">
      <c r="A4" s="224" t="s">
        <v>3</v>
      </c>
      <c r="B4" s="225" t="s">
        <v>3</v>
      </c>
      <c r="C4" s="225" t="s">
        <v>3</v>
      </c>
      <c r="D4" s="225" t="s">
        <v>3</v>
      </c>
      <c r="E4" s="225" t="s">
        <v>3</v>
      </c>
    </row>
    <row r="5" spans="1:5" s="1" customFormat="1" ht="41.4" x14ac:dyDescent="0.25">
      <c r="A5" s="218" t="s">
        <v>456</v>
      </c>
      <c r="B5" s="223" t="s">
        <v>3</v>
      </c>
      <c r="C5" s="223" t="s">
        <v>3</v>
      </c>
      <c r="D5" s="223" t="s">
        <v>3</v>
      </c>
      <c r="E5" s="223" t="s">
        <v>3</v>
      </c>
    </row>
    <row r="6" spans="1:5" s="1" customFormat="1" ht="15" x14ac:dyDescent="0.25">
      <c r="A6" s="224" t="s">
        <v>3</v>
      </c>
      <c r="B6" s="225" t="s">
        <v>3</v>
      </c>
      <c r="C6" s="225" t="s">
        <v>3</v>
      </c>
      <c r="D6" s="225" t="s">
        <v>3</v>
      </c>
      <c r="E6" s="225" t="s">
        <v>3</v>
      </c>
    </row>
    <row r="7" spans="1:5" s="275" customFormat="1" ht="234.6" x14ac:dyDescent="0.3">
      <c r="A7" s="13" t="s">
        <v>460</v>
      </c>
      <c r="B7" s="222" t="s">
        <v>3</v>
      </c>
      <c r="C7" s="222" t="s">
        <v>3</v>
      </c>
      <c r="D7" s="222" t="s">
        <v>3</v>
      </c>
      <c r="E7" s="222" t="s">
        <v>3</v>
      </c>
    </row>
    <row r="8" spans="1:5" ht="30" customHeight="1" x14ac:dyDescent="0.25">
      <c r="A8" s="224" t="s">
        <v>3</v>
      </c>
      <c r="B8" s="225" t="s">
        <v>3</v>
      </c>
      <c r="C8" s="225" t="s">
        <v>3</v>
      </c>
      <c r="D8" s="225" t="s">
        <v>3</v>
      </c>
      <c r="E8" s="225" t="s">
        <v>3</v>
      </c>
    </row>
    <row r="9" spans="1:5" s="104" customFormat="1" ht="40.35" customHeight="1" x14ac:dyDescent="0.3">
      <c r="A9" s="13" t="s">
        <v>421</v>
      </c>
      <c r="B9" s="222" t="s">
        <v>3</v>
      </c>
      <c r="C9" s="222" t="s">
        <v>3</v>
      </c>
      <c r="D9" s="222" t="s">
        <v>3</v>
      </c>
      <c r="E9" s="222" t="s">
        <v>3</v>
      </c>
    </row>
    <row r="10" spans="1:5" ht="30" customHeight="1" x14ac:dyDescent="0.25">
      <c r="A10" s="224" t="s">
        <v>3</v>
      </c>
      <c r="B10" s="225" t="s">
        <v>3</v>
      </c>
      <c r="C10" s="225" t="s">
        <v>3</v>
      </c>
      <c r="D10" s="225" t="s">
        <v>3</v>
      </c>
      <c r="E10" s="225" t="s">
        <v>3</v>
      </c>
    </row>
    <row r="11" spans="1:5" ht="111" customHeight="1" x14ac:dyDescent="0.25">
      <c r="A11" s="13" t="s">
        <v>459</v>
      </c>
      <c r="B11" s="223" t="s">
        <v>3</v>
      </c>
      <c r="C11" s="223" t="s">
        <v>3</v>
      </c>
      <c r="D11" s="223" t="s">
        <v>3</v>
      </c>
      <c r="E11" s="223" t="s">
        <v>3</v>
      </c>
    </row>
    <row r="12" spans="1:5" ht="15" x14ac:dyDescent="0.25">
      <c r="A12" s="224" t="s">
        <v>3</v>
      </c>
      <c r="B12" s="225" t="s">
        <v>3</v>
      </c>
      <c r="C12" s="225" t="s">
        <v>3</v>
      </c>
      <c r="D12" s="225" t="s">
        <v>3</v>
      </c>
      <c r="E12" s="225" t="s">
        <v>3</v>
      </c>
    </row>
    <row r="13" spans="1:5" ht="45" customHeight="1" x14ac:dyDescent="0.25">
      <c r="A13" s="13" t="s">
        <v>458</v>
      </c>
      <c r="B13" s="223" t="s">
        <v>3</v>
      </c>
      <c r="C13" s="223" t="s">
        <v>3</v>
      </c>
      <c r="D13" s="223" t="s">
        <v>3</v>
      </c>
      <c r="E13" s="223" t="s">
        <v>3</v>
      </c>
    </row>
    <row r="14" spans="1:5" ht="15" x14ac:dyDescent="0.25">
      <c r="A14" s="224" t="s">
        <v>3</v>
      </c>
      <c r="B14" s="225" t="s">
        <v>3</v>
      </c>
      <c r="C14" s="225" t="s">
        <v>3</v>
      </c>
      <c r="D14" s="225" t="s">
        <v>3</v>
      </c>
      <c r="E14" s="225" t="s">
        <v>3</v>
      </c>
    </row>
    <row r="15" spans="1:5" x14ac:dyDescent="0.25">
      <c r="A15" s="6" t="s">
        <v>353</v>
      </c>
      <c r="B15" s="223" t="s">
        <v>3</v>
      </c>
      <c r="C15" s="223" t="s">
        <v>3</v>
      </c>
      <c r="D15" s="223" t="s">
        <v>3</v>
      </c>
      <c r="E15" s="223" t="s">
        <v>3</v>
      </c>
    </row>
    <row r="16" spans="1:5" ht="27.6" x14ac:dyDescent="0.25">
      <c r="A16" s="7" t="s">
        <v>272</v>
      </c>
      <c r="B16" s="223" t="s">
        <v>3</v>
      </c>
      <c r="C16" s="223" t="s">
        <v>3</v>
      </c>
      <c r="D16" s="223" t="s">
        <v>3</v>
      </c>
      <c r="E16" s="223" t="s">
        <v>3</v>
      </c>
    </row>
    <row r="17" spans="1:5" x14ac:dyDescent="0.25">
      <c r="A17" s="5" t="s">
        <v>17</v>
      </c>
      <c r="B17" s="223" t="s">
        <v>3</v>
      </c>
      <c r="C17" s="223" t="s">
        <v>3</v>
      </c>
      <c r="D17" s="223" t="s">
        <v>3</v>
      </c>
      <c r="E17" s="223" t="s">
        <v>3</v>
      </c>
    </row>
    <row r="18" spans="1:5" x14ac:dyDescent="0.25">
      <c r="A18" s="8" t="s">
        <v>354</v>
      </c>
      <c r="B18" s="223" t="s">
        <v>3</v>
      </c>
      <c r="C18" s="223" t="s">
        <v>3</v>
      </c>
      <c r="D18" s="223" t="s">
        <v>3</v>
      </c>
      <c r="E18" s="223" t="s">
        <v>3</v>
      </c>
    </row>
    <row r="19" spans="1:5" x14ac:dyDescent="0.25">
      <c r="A19" s="5" t="s">
        <v>18</v>
      </c>
      <c r="B19" s="223" t="s">
        <v>3</v>
      </c>
      <c r="C19" s="223" t="s">
        <v>3</v>
      </c>
      <c r="D19" s="223" t="s">
        <v>3</v>
      </c>
      <c r="E19" s="223" t="s">
        <v>3</v>
      </c>
    </row>
    <row r="20" spans="1:5" x14ac:dyDescent="0.25">
      <c r="A20" s="10" t="s">
        <v>355</v>
      </c>
      <c r="B20" s="223" t="s">
        <v>3</v>
      </c>
      <c r="C20" s="223" t="s">
        <v>3</v>
      </c>
      <c r="D20" s="223" t="s">
        <v>3</v>
      </c>
      <c r="E20" s="223" t="s">
        <v>3</v>
      </c>
    </row>
    <row r="21" spans="1:5" ht="15" x14ac:dyDescent="0.25">
      <c r="A21" s="224" t="s">
        <v>3</v>
      </c>
      <c r="B21" s="225" t="s">
        <v>3</v>
      </c>
      <c r="C21" s="225" t="s">
        <v>3</v>
      </c>
      <c r="D21" s="225" t="s">
        <v>3</v>
      </c>
      <c r="E21" s="225" t="s">
        <v>3</v>
      </c>
    </row>
    <row r="22" spans="1:5" s="104" customFormat="1" ht="30" customHeight="1" x14ac:dyDescent="0.25">
      <c r="A22" s="211" t="s">
        <v>572</v>
      </c>
      <c r="B22" s="223" t="s">
        <v>3</v>
      </c>
      <c r="C22" s="223" t="s">
        <v>3</v>
      </c>
      <c r="D22" s="223" t="s">
        <v>3</v>
      </c>
      <c r="E22" s="223" t="s">
        <v>3</v>
      </c>
    </row>
    <row r="23" spans="1:5" ht="14.4" x14ac:dyDescent="0.3">
      <c r="C23" s="182"/>
    </row>
    <row r="25" spans="1:5" x14ac:dyDescent="0.25">
      <c r="C25" s="104"/>
    </row>
  </sheetData>
  <sheetProtection algorithmName="SHA-512" hashValue="waVPEHed3m5qN6ef8QftFSuy7RTFsj4OhfN83pJApLSzrCeSpTDG7D7oLQV1rYYpnArgqr9X50it9v1c9iv8QA==" saltValue="C5aIcHEf8BqSXuIiH41jk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7" ySplit="25" topLeftCell="I151" activePane="bottomRight" state="frozen"/>
      <selection activeCell="A9" sqref="A9"/>
      <selection pane="topRight" activeCell="H9" sqref="H9"/>
      <selection pane="bottomLeft" activeCell="A34" sqref="A34"/>
      <selection pane="bottomRight" activeCell="D207" sqref="D207:D208"/>
    </sheetView>
  </sheetViews>
  <sheetFormatPr defaultColWidth="9.109375" defaultRowHeight="13.8" x14ac:dyDescent="0.25"/>
  <cols>
    <col min="1" max="1" width="16.88671875" style="19" customWidth="1"/>
    <col min="2" max="2" width="49.44140625" style="19" customWidth="1"/>
    <col min="3" max="3" width="63.5546875" style="23" customWidth="1"/>
    <col min="4" max="4" width="20.44140625" style="19" customWidth="1"/>
    <col min="5" max="12" width="21" style="19" customWidth="1"/>
    <col min="13" max="13" width="18.88671875" style="19" customWidth="1"/>
    <col min="14" max="14" width="22.5546875" style="19" customWidth="1"/>
    <col min="15" max="15" width="25.88671875" style="19" customWidth="1"/>
    <col min="16" max="16" width="10.88671875" style="19" customWidth="1"/>
    <col min="17" max="42" width="10.88671875" style="20" customWidth="1"/>
    <col min="43" max="50" width="10.88671875" style="21" customWidth="1"/>
    <col min="51" max="106" width="10.88671875" style="2" customWidth="1"/>
    <col min="107" max="193" width="10.88671875" style="19" customWidth="1"/>
    <col min="194" max="194" width="10.44140625" style="19" customWidth="1"/>
    <col min="195" max="16384" width="9.109375" style="19"/>
  </cols>
  <sheetData>
    <row r="1" spans="2:106" x14ac:dyDescent="0.25">
      <c r="B1" s="17" t="s">
        <v>361</v>
      </c>
      <c r="C1" s="135"/>
      <c r="D1" s="37"/>
      <c r="E1" s="18" t="s">
        <v>279</v>
      </c>
      <c r="F1" s="15"/>
      <c r="G1" s="15"/>
    </row>
    <row r="3" spans="2:106" x14ac:dyDescent="0.25">
      <c r="B3" s="123" t="s">
        <v>423</v>
      </c>
      <c r="C3" s="124"/>
      <c r="D3" s="125"/>
      <c r="E3" s="125"/>
      <c r="F3" s="125"/>
      <c r="G3" s="126"/>
    </row>
    <row r="4" spans="2:106" x14ac:dyDescent="0.25">
      <c r="B4" s="127"/>
      <c r="C4" s="128"/>
      <c r="D4" s="15"/>
      <c r="E4" s="15"/>
      <c r="F4" s="15"/>
      <c r="G4" s="129"/>
    </row>
    <row r="5" spans="2:106" x14ac:dyDescent="0.25">
      <c r="B5" s="130" t="s">
        <v>424</v>
      </c>
      <c r="C5" s="128"/>
      <c r="D5" s="15"/>
      <c r="E5" s="15"/>
      <c r="F5" s="15"/>
      <c r="G5" s="129"/>
    </row>
    <row r="6" spans="2:106" x14ac:dyDescent="0.25">
      <c r="B6" s="127"/>
      <c r="C6" s="128"/>
      <c r="D6" s="15"/>
      <c r="E6" s="15"/>
      <c r="F6" s="15"/>
      <c r="G6" s="129"/>
      <c r="J6" s="274"/>
    </row>
    <row r="7" spans="2:106" x14ac:dyDescent="0.25">
      <c r="B7" s="130" t="s">
        <v>425</v>
      </c>
      <c r="C7" s="128"/>
      <c r="D7" s="15"/>
      <c r="E7" s="15"/>
      <c r="F7" s="15"/>
      <c r="G7" s="129"/>
    </row>
    <row r="8" spans="2:106" ht="19.5" customHeight="1" x14ac:dyDescent="0.25">
      <c r="B8" s="131" t="s">
        <v>426</v>
      </c>
      <c r="C8" s="132"/>
      <c r="D8" s="133"/>
      <c r="E8" s="133"/>
      <c r="F8" s="133"/>
      <c r="G8" s="134"/>
    </row>
    <row r="9" spans="2:106" ht="14.4" x14ac:dyDescent="0.3">
      <c r="B9" s="22"/>
      <c r="K9" s="42"/>
      <c r="L9" s="42"/>
    </row>
    <row r="10" spans="2:106" x14ac:dyDescent="0.25">
      <c r="B10" s="17" t="s">
        <v>27</v>
      </c>
      <c r="C10" s="42"/>
      <c r="D10" s="42"/>
      <c r="E10" s="42"/>
      <c r="K10" s="42"/>
      <c r="L10" s="174"/>
      <c r="M10" s="17"/>
      <c r="N10" s="17"/>
      <c r="O10" s="17"/>
    </row>
    <row r="11" spans="2:106" ht="43.5" customHeight="1" thickBot="1" x14ac:dyDescent="0.3">
      <c r="B11" s="23"/>
      <c r="D11" s="44" t="s">
        <v>8</v>
      </c>
      <c r="E11" s="44" t="s">
        <v>8</v>
      </c>
      <c r="H11" s="44" t="s">
        <v>8</v>
      </c>
      <c r="I11" s="44" t="s">
        <v>8</v>
      </c>
      <c r="L11" s="17"/>
      <c r="M11" s="17" t="s">
        <v>270</v>
      </c>
      <c r="N11" s="17" t="s">
        <v>271</v>
      </c>
      <c r="O11" s="17" t="s">
        <v>271</v>
      </c>
      <c r="P11" s="17" t="s">
        <v>13</v>
      </c>
    </row>
    <row r="12" spans="2:106" s="29" customFormat="1" ht="41.4" x14ac:dyDescent="0.25">
      <c r="B12" s="24" t="s">
        <v>4</v>
      </c>
      <c r="C12" s="25" t="s">
        <v>7</v>
      </c>
      <c r="D12" s="43" t="s">
        <v>19</v>
      </c>
      <c r="E12" s="44" t="s">
        <v>20</v>
      </c>
      <c r="F12" s="25" t="s">
        <v>6</v>
      </c>
      <c r="G12" s="25" t="s">
        <v>10</v>
      </c>
      <c r="H12" s="43" t="s">
        <v>19</v>
      </c>
      <c r="I12" s="44" t="s">
        <v>20</v>
      </c>
      <c r="J12" s="25" t="s">
        <v>359</v>
      </c>
      <c r="K12" s="19"/>
      <c r="L12" s="26" t="s">
        <v>265</v>
      </c>
      <c r="M12" s="26" t="s">
        <v>267</v>
      </c>
      <c r="N12" s="26" t="s">
        <v>26</v>
      </c>
      <c r="O12" s="26" t="s">
        <v>268</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5">
      <c r="B13" s="30" t="str">
        <f>IF((OR('Assumptions input'!$B5="&lt;select&gt;", 'Assumptions input'!$B5="")), "-", 'Assumptions input'!$B6)</f>
        <v>England</v>
      </c>
      <c r="C13" s="31">
        <f>IF(OR(B13="", B13="-"), "",VLOOKUP((CONCATENATE($N13," - ",$B13)),$C$30:$GL$557,4,FALSE))</f>
        <v>56550138</v>
      </c>
      <c r="D13" s="121">
        <f>IF(OR(C13="", C13="-"), "",VLOOKUP((CONCATENATE($N13," - ",$B13)),$C$30:$GL$557,2,FALSE))</f>
        <v>10123863</v>
      </c>
      <c r="E13" s="121"/>
      <c r="F13" s="32">
        <f>IF(B13="", "", 'Assumptions input'!B4)</f>
        <v>1</v>
      </c>
      <c r="G13" s="31">
        <f t="shared" ref="G13:I14" si="0">IFERROR(C13*$F13, "")</f>
        <v>56550138</v>
      </c>
      <c r="H13" s="121">
        <f>IFERROR(D13*$F13, "")</f>
        <v>10123863</v>
      </c>
      <c r="I13" s="121">
        <f t="shared" si="0"/>
        <v>0</v>
      </c>
      <c r="J13" s="31">
        <f>IFERROR(H13+I13, "")</f>
        <v>10123863</v>
      </c>
      <c r="L13" s="33" t="s">
        <v>264</v>
      </c>
      <c r="M13" s="33" t="s">
        <v>266</v>
      </c>
      <c r="N13" s="33" t="str">
        <f>'Assumptions input'!$B$5</f>
        <v>National</v>
      </c>
      <c r="O13" s="33" t="str">
        <f>IFERROR(VLOOKUP('Assumptions input'!$B$5, $L$12:$M$22, 2, FALSE), "-")</f>
        <v>NATIONAL</v>
      </c>
      <c r="P13" s="26" t="b">
        <f>ISTEXT(#REF!)</f>
        <v>0</v>
      </c>
    </row>
    <row r="14" spans="2:106" x14ac:dyDescent="0.25">
      <c r="B14" s="30" t="str">
        <f>'Assumptions input'!A7</f>
        <v>Manual input (total population, all ages)</v>
      </c>
      <c r="C14" s="31" t="str">
        <f>IF(OR('Assumptions input'!B7="", 'Assumptions input'!B7="-"), "", 'Assumptions input'!B7)</f>
        <v/>
      </c>
      <c r="D14" s="121" t="str">
        <f>IFERROR(C14*($D$30/100000), "")</f>
        <v/>
      </c>
      <c r="E14" s="121" t="str">
        <f>IFERROR(C14*($E$30/100000), "")</f>
        <v/>
      </c>
      <c r="F14" s="32">
        <f>IF(B14="", "", 'Assumptions input'!B4)</f>
        <v>1</v>
      </c>
      <c r="G14" s="31" t="str">
        <f t="shared" si="0"/>
        <v/>
      </c>
      <c r="H14" s="121" t="str">
        <f>IFERROR(D14*$F14, "")</f>
        <v/>
      </c>
      <c r="I14" s="121" t="str">
        <f>IFERROR(E14*$F14, "")</f>
        <v/>
      </c>
      <c r="J14" s="31" t="str">
        <f>IFERROR(H14+I14, "")</f>
        <v/>
      </c>
      <c r="L14" s="33" t="s">
        <v>275</v>
      </c>
      <c r="M14" s="33" t="s">
        <v>261</v>
      </c>
      <c r="N14" s="33" t="str">
        <f>'Assumptions input'!$B$5</f>
        <v>National</v>
      </c>
      <c r="O14" s="33" t="str">
        <f>IFERROR(VLOOKUP('Assumptions input'!$B$5, $L$12:$M$22, 2, FALSE), "-")</f>
        <v>NATIONAL</v>
      </c>
      <c r="P14" s="26" t="b">
        <f>ISTEXT(#REF!)</f>
        <v>0</v>
      </c>
    </row>
    <row r="15" spans="2:106" x14ac:dyDescent="0.25">
      <c r="B15" s="30"/>
      <c r="C15" s="31"/>
      <c r="D15" s="121"/>
      <c r="E15" s="121"/>
      <c r="F15" s="32"/>
      <c r="G15" s="31"/>
      <c r="H15" s="121"/>
      <c r="I15" s="121"/>
      <c r="J15" s="31"/>
      <c r="L15" s="33" t="s">
        <v>276</v>
      </c>
      <c r="M15" s="33" t="s">
        <v>263</v>
      </c>
      <c r="N15" s="33" t="str">
        <f>'Assumptions input'!$B$5</f>
        <v>National</v>
      </c>
      <c r="O15" s="33" t="str">
        <f>IFERROR(VLOOKUP('Assumptions input'!$B$5, $L$12:$M$22, 2, FALSE), "-")</f>
        <v>NATIONAL</v>
      </c>
      <c r="P15" s="26" t="b">
        <f>ISTEXT(#REF!)</f>
        <v>0</v>
      </c>
    </row>
    <row r="16" spans="2:106" x14ac:dyDescent="0.25">
      <c r="B16" s="30"/>
      <c r="C16" s="31"/>
      <c r="D16" s="121"/>
      <c r="E16" s="121"/>
      <c r="F16" s="32"/>
      <c r="G16" s="31"/>
      <c r="H16" s="121"/>
      <c r="I16" s="121"/>
      <c r="J16" s="31"/>
      <c r="L16" s="33" t="s">
        <v>277</v>
      </c>
      <c r="M16" s="33" t="s">
        <v>262</v>
      </c>
      <c r="N16" s="33" t="str">
        <f>'Assumptions input'!$B$5</f>
        <v>National</v>
      </c>
      <c r="O16" s="33" t="str">
        <f>IFERROR(VLOOKUP('Assumptions input'!$B$5, $L$12:$M$22, 2, FALSE), "-")</f>
        <v>NATIONAL</v>
      </c>
      <c r="P16" s="26" t="b">
        <f>ISTEXT(#REF!)</f>
        <v>0</v>
      </c>
    </row>
    <row r="17" spans="1:194" x14ac:dyDescent="0.25">
      <c r="B17" s="30"/>
      <c r="C17" s="31"/>
      <c r="D17" s="121"/>
      <c r="E17" s="121"/>
      <c r="F17" s="32"/>
      <c r="G17" s="31"/>
      <c r="H17" s="121"/>
      <c r="I17" s="121"/>
      <c r="J17" s="31"/>
      <c r="L17" s="33" t="s">
        <v>592</v>
      </c>
      <c r="M17" s="33" t="s">
        <v>705</v>
      </c>
      <c r="N17" s="33" t="str">
        <f>'Assumptions input'!$B$5</f>
        <v>National</v>
      </c>
      <c r="O17" s="33" t="str">
        <f>IFERROR(VLOOKUP('Assumptions input'!$B$5, $L$12:$M$22, 2, FALSE), "-")</f>
        <v>NATIONAL</v>
      </c>
      <c r="P17" s="26" t="b">
        <f>ISTEXT(#REF!)</f>
        <v>0</v>
      </c>
    </row>
    <row r="18" spans="1:194" x14ac:dyDescent="0.25">
      <c r="B18" s="30"/>
      <c r="C18" s="31"/>
      <c r="D18" s="121"/>
      <c r="E18" s="121"/>
      <c r="F18" s="32"/>
      <c r="G18" s="31"/>
      <c r="H18" s="121"/>
      <c r="I18" s="121"/>
      <c r="J18" s="31"/>
      <c r="L18" s="33" t="s">
        <v>436</v>
      </c>
      <c r="M18" s="33" t="s">
        <v>435</v>
      </c>
      <c r="N18" s="33" t="str">
        <f>'Assumptions input'!$B$5</f>
        <v>National</v>
      </c>
      <c r="O18" s="33" t="str">
        <f>IFERROR(VLOOKUP('Assumptions input'!$B$5, $L$12:$M$22, 2, FALSE), "-")</f>
        <v>NATIONAL</v>
      </c>
      <c r="P18" s="26" t="b">
        <f>ISTEXT(#REF!)</f>
        <v>0</v>
      </c>
    </row>
    <row r="19" spans="1:194" x14ac:dyDescent="0.25">
      <c r="B19" s="30"/>
      <c r="C19" s="31"/>
      <c r="D19" s="121"/>
      <c r="E19" s="121"/>
      <c r="F19" s="32"/>
      <c r="G19" s="31"/>
      <c r="H19" s="121"/>
      <c r="I19" s="121"/>
      <c r="J19" s="31"/>
      <c r="L19" s="152" t="s">
        <v>440</v>
      </c>
      <c r="M19" s="33" t="s">
        <v>438</v>
      </c>
      <c r="N19" s="33" t="str">
        <f>'Assumptions input'!$B$5</f>
        <v>National</v>
      </c>
      <c r="O19" s="33" t="str">
        <f>IFERROR(VLOOKUP('Assumptions input'!$B$5, $L$12:$M$22, 2, FALSE), "-")</f>
        <v>NATIONAL</v>
      </c>
      <c r="P19" s="26" t="b">
        <f>ISTEXT(#REF!)</f>
        <v>0</v>
      </c>
    </row>
    <row r="20" spans="1:194" x14ac:dyDescent="0.25">
      <c r="B20" s="30"/>
      <c r="C20" s="31"/>
      <c r="D20" s="121"/>
      <c r="E20" s="121"/>
      <c r="F20" s="32"/>
      <c r="G20" s="31"/>
      <c r="H20" s="121"/>
      <c r="I20" s="121"/>
      <c r="J20" s="31"/>
      <c r="L20" s="33" t="s">
        <v>441</v>
      </c>
      <c r="M20" s="33" t="s">
        <v>443</v>
      </c>
      <c r="N20" s="33" t="str">
        <f>'Assumptions input'!$B$5</f>
        <v>National</v>
      </c>
      <c r="O20" s="33" t="str">
        <f>IFERROR(VLOOKUP('Assumptions input'!$B$5, $L$12:$M$22, 2, FALSE), "-")</f>
        <v>NATIONAL</v>
      </c>
      <c r="P20" s="26" t="b">
        <f>ISTEXT(#REF!)</f>
        <v>0</v>
      </c>
    </row>
    <row r="21" spans="1:194" x14ac:dyDescent="0.25">
      <c r="B21" s="30"/>
      <c r="C21" s="31"/>
      <c r="D21" s="121"/>
      <c r="E21" s="121"/>
      <c r="F21" s="32"/>
      <c r="G21" s="31"/>
      <c r="H21" s="121"/>
      <c r="I21" s="121"/>
      <c r="J21" s="31"/>
      <c r="L21" s="33" t="s">
        <v>442</v>
      </c>
      <c r="M21" s="33" t="s">
        <v>437</v>
      </c>
      <c r="N21" s="33" t="str">
        <f>'Assumptions input'!$B$5</f>
        <v>National</v>
      </c>
      <c r="O21" s="33" t="str">
        <f>IFERROR(VLOOKUP('Assumptions input'!$B$5, $L$12:$M$22, 2, FALSE), "-")</f>
        <v>NATIONAL</v>
      </c>
      <c r="P21" s="26" t="b">
        <f>ISTEXT(#REF!)</f>
        <v>0</v>
      </c>
    </row>
    <row r="22" spans="1:194" ht="14.4" thickBot="1" x14ac:dyDescent="0.3">
      <c r="B22" s="34"/>
      <c r="C22" s="35"/>
      <c r="D22" s="136"/>
      <c r="E22" s="136"/>
      <c r="F22" s="36"/>
      <c r="G22" s="35"/>
      <c r="H22" s="35"/>
      <c r="I22" s="35"/>
      <c r="J22" s="35"/>
      <c r="K22" s="19">
        <f>IFERROR(I22+J22, "")</f>
        <v>0</v>
      </c>
      <c r="L22" s="33"/>
      <c r="M22" s="33"/>
      <c r="N22" s="33" t="str">
        <f>'Assumptions input'!$B$5</f>
        <v>National</v>
      </c>
      <c r="O22" s="33" t="str">
        <f>IFERROR(VLOOKUP('Assumptions input'!$B$5, $L$12:$M$22, 2, FALSE), "-")</f>
        <v>NATIONAL</v>
      </c>
      <c r="P22" s="26" t="e">
        <f>IF(OR(#REF!="",#REF!= "-",#REF!= "0")=TRUE, FALSE, TRUE)</f>
        <v>#REF!</v>
      </c>
    </row>
    <row r="23" spans="1:194" s="37" customFormat="1" ht="15" thickTop="1" thickBot="1" x14ac:dyDescent="0.3">
      <c r="B23" s="38" t="s">
        <v>427</v>
      </c>
      <c r="C23" s="39">
        <f>SUM(C13:C22)</f>
        <v>56550138</v>
      </c>
      <c r="D23" s="39">
        <f>SUM(D13:D22)</f>
        <v>10123863</v>
      </c>
      <c r="E23" s="39">
        <f>SUM(E13:E22)</f>
        <v>0</v>
      </c>
      <c r="F23" s="39"/>
      <c r="G23" s="39">
        <f>SUM(G13:G22)</f>
        <v>56550138</v>
      </c>
      <c r="H23" s="39">
        <f>SUM(H13:H22)</f>
        <v>10123863</v>
      </c>
      <c r="I23" s="39">
        <f>SUM(I13:I22)</f>
        <v>0</v>
      </c>
      <c r="J23" s="39">
        <f>(SUM(J13:J22))</f>
        <v>10123863</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5">
      <c r="B24" s="119"/>
      <c r="C24" s="119"/>
      <c r="D24" s="119"/>
      <c r="E24" s="119"/>
      <c r="F24" s="119"/>
      <c r="G24" s="119"/>
      <c r="H24" s="119"/>
      <c r="I24" s="119"/>
      <c r="J24" s="119"/>
    </row>
    <row r="25" spans="1:194" ht="27.6" x14ac:dyDescent="0.25">
      <c r="B25" s="120"/>
      <c r="C25" s="120"/>
      <c r="D25" s="44" t="s">
        <v>8</v>
      </c>
      <c r="E25" s="44" t="s">
        <v>8</v>
      </c>
      <c r="F25" s="120"/>
      <c r="I25" s="120"/>
      <c r="J25" s="120"/>
      <c r="K25" s="42"/>
      <c r="N25" s="42"/>
    </row>
    <row r="26" spans="1:194" x14ac:dyDescent="0.25">
      <c r="D26" s="122">
        <v>2</v>
      </c>
      <c r="E26" s="122">
        <v>3</v>
      </c>
      <c r="F26" s="122">
        <v>4</v>
      </c>
      <c r="G26" s="122">
        <v>5</v>
      </c>
      <c r="H26" s="122">
        <v>6</v>
      </c>
      <c r="K26" s="42"/>
    </row>
    <row r="27" spans="1:194" s="2" customFormat="1" ht="48" customHeight="1" x14ac:dyDescent="0.25">
      <c r="A27" s="178" t="s">
        <v>26</v>
      </c>
      <c r="B27" s="177" t="s">
        <v>5</v>
      </c>
      <c r="C27" s="177" t="s">
        <v>269</v>
      </c>
      <c r="D27" s="111" t="s">
        <v>358</v>
      </c>
      <c r="E27" s="111" t="s">
        <v>358</v>
      </c>
      <c r="F27" s="111" t="s">
        <v>0</v>
      </c>
      <c r="G27" s="111" t="s">
        <v>0</v>
      </c>
      <c r="H27" s="111" t="s">
        <v>0</v>
      </c>
      <c r="I27" s="177" t="s">
        <v>511</v>
      </c>
      <c r="J27" s="177" t="s">
        <v>511</v>
      </c>
      <c r="K27" s="177" t="s">
        <v>360</v>
      </c>
      <c r="L27" s="177" t="s">
        <v>360</v>
      </c>
      <c r="M27" s="179" t="s">
        <v>1</v>
      </c>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1"/>
      <c r="CZ27" s="175" t="s">
        <v>2</v>
      </c>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c r="FJ27" s="175"/>
      <c r="FK27" s="175"/>
      <c r="FL27" s="175"/>
      <c r="FM27" s="175"/>
      <c r="FN27" s="175"/>
      <c r="FO27" s="175"/>
      <c r="FP27" s="175"/>
      <c r="FQ27" s="175"/>
      <c r="FR27" s="175"/>
      <c r="FS27" s="175"/>
      <c r="FT27" s="175"/>
      <c r="FU27" s="175"/>
      <c r="FV27" s="175"/>
      <c r="FW27" s="175"/>
      <c r="FX27" s="175"/>
      <c r="FY27" s="175"/>
      <c r="FZ27" s="175"/>
      <c r="GA27" s="175"/>
      <c r="GB27" s="175"/>
      <c r="GC27" s="175"/>
      <c r="GD27" s="175"/>
      <c r="GE27" s="175"/>
      <c r="GF27" s="175"/>
      <c r="GG27" s="175"/>
      <c r="GH27" s="175"/>
      <c r="GI27" s="175"/>
      <c r="GJ27" s="175"/>
      <c r="GK27" s="175"/>
      <c r="GL27" s="176"/>
    </row>
    <row r="28" spans="1:194" s="16" customFormat="1" ht="27.6" x14ac:dyDescent="0.25">
      <c r="A28" s="178"/>
      <c r="B28" s="177"/>
      <c r="C28" s="177"/>
      <c r="D28" s="43" t="s">
        <v>19</v>
      </c>
      <c r="E28" s="44" t="s">
        <v>20</v>
      </c>
      <c r="F28" s="111" t="s">
        <v>11</v>
      </c>
      <c r="G28" s="110" t="s">
        <v>1</v>
      </c>
      <c r="H28" s="110" t="s">
        <v>2</v>
      </c>
      <c r="I28" s="111" t="s">
        <v>1</v>
      </c>
      <c r="J28" s="110" t="s">
        <v>2</v>
      </c>
      <c r="K28" s="111"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379</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379</v>
      </c>
    </row>
    <row r="29" spans="1:194" s="2" customFormat="1" x14ac:dyDescent="0.25">
      <c r="A29" s="48"/>
      <c r="B29" s="92"/>
      <c r="C29" s="78"/>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0" customFormat="1" ht="21.75" customHeight="1" x14ac:dyDescent="0.25">
      <c r="A30" s="85" t="s">
        <v>265</v>
      </c>
      <c r="B30" s="86" t="s">
        <v>265</v>
      </c>
      <c r="C30" s="87" t="str">
        <f>CONCATENATE(A30, " - ", B30)</f>
        <v>Per 100,000 population - Per 100,000 population</v>
      </c>
      <c r="D30" s="89">
        <f>ROUND((SUM(D32:D34)/SUM($F$32:$F$34))*100000,0)</f>
        <v>17963</v>
      </c>
      <c r="E30" s="89">
        <f>(SUM(E32:E34)/SUM($F$32:$F$34))*100000</f>
        <v>40125.031416743463</v>
      </c>
      <c r="F30" s="88">
        <f>SUM(G30:H30)</f>
        <v>100000</v>
      </c>
      <c r="G30" s="88">
        <f>ROUND((SUM(G32:G34)/SUM($F$32:$F$34))*100000,0)</f>
        <v>49469</v>
      </c>
      <c r="H30" s="89">
        <f>ROUND((SUM(H32:H34)/SUM($F$32:$F$34))*100000,0)</f>
        <v>50531</v>
      </c>
      <c r="I30" s="89">
        <f>ROUND((SUM(I32:I34)/SUM($F$32:$F$34))*100000,0)</f>
        <v>17963</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25">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x14ac:dyDescent="0.25">
      <c r="A32" s="95" t="s">
        <v>264</v>
      </c>
      <c r="B32" s="105" t="s">
        <v>14</v>
      </c>
      <c r="C32" s="96" t="s">
        <v>280</v>
      </c>
      <c r="D32" s="100">
        <f t="shared" ref="D32:E34" si="4">I32</f>
        <v>10123863</v>
      </c>
      <c r="E32" s="100">
        <f t="shared" si="4"/>
        <v>22677552</v>
      </c>
      <c r="F32" s="98">
        <f>G32+H32</f>
        <v>56550138</v>
      </c>
      <c r="G32" s="98">
        <f>SUM(M32:CY32)</f>
        <v>27982818</v>
      </c>
      <c r="H32" s="99">
        <f>SUM(CZ32:GL32)</f>
        <v>28567320</v>
      </c>
      <c r="I32" s="99">
        <f>SUM(BK32:CY32)</f>
        <v>10123863</v>
      </c>
      <c r="J32" s="99">
        <f>SUM(DR32:GL32)</f>
        <v>22677552</v>
      </c>
      <c r="K32" s="97">
        <f>SUM(M32:AD32)</f>
        <v>6203520</v>
      </c>
      <c r="L32" s="100">
        <f>SUM(CZ32:DQ32)</f>
        <v>5889768</v>
      </c>
      <c r="M32" s="98">
        <f>SUM(M36:M141)</f>
        <v>308815</v>
      </c>
      <c r="N32" s="98">
        <f t="shared" ref="N32:BY32" si="5">SUM(N36:N141)</f>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si="5"/>
        <v>385952</v>
      </c>
      <c r="AT32" s="98">
        <f t="shared" si="5"/>
        <v>372700</v>
      </c>
      <c r="AU32" s="98">
        <f t="shared" si="5"/>
        <v>380096</v>
      </c>
      <c r="AV32" s="98">
        <f t="shared" si="5"/>
        <v>378573</v>
      </c>
      <c r="AW32" s="98">
        <f t="shared" si="5"/>
        <v>367247</v>
      </c>
      <c r="AX32" s="98">
        <f t="shared" si="5"/>
        <v>369196</v>
      </c>
      <c r="AY32" s="98">
        <f t="shared" si="5"/>
        <v>367387</v>
      </c>
      <c r="AZ32" s="98">
        <f t="shared" si="5"/>
        <v>370566</v>
      </c>
      <c r="BA32" s="98">
        <f t="shared" si="5"/>
        <v>371661</v>
      </c>
      <c r="BB32" s="98">
        <f t="shared" si="5"/>
        <v>358524</v>
      </c>
      <c r="BC32" s="98">
        <f t="shared" si="5"/>
        <v>335609</v>
      </c>
      <c r="BD32" s="98">
        <f t="shared" si="5"/>
        <v>329766</v>
      </c>
      <c r="BE32" s="98">
        <f t="shared" si="5"/>
        <v>334708</v>
      </c>
      <c r="BF32" s="98">
        <f t="shared" si="5"/>
        <v>340715</v>
      </c>
      <c r="BG32" s="98">
        <f t="shared" si="5"/>
        <v>345236</v>
      </c>
      <c r="BH32" s="98">
        <f t="shared" si="5"/>
        <v>359601</v>
      </c>
      <c r="BI32" s="98">
        <f t="shared" si="5"/>
        <v>374360</v>
      </c>
      <c r="BJ32" s="98">
        <f t="shared" si="5"/>
        <v>383296</v>
      </c>
      <c r="BK32" s="98">
        <f t="shared" si="5"/>
        <v>374154</v>
      </c>
      <c r="BL32" s="98">
        <f t="shared" si="5"/>
        <v>382152</v>
      </c>
      <c r="BM32" s="98">
        <f t="shared" si="5"/>
        <v>381638</v>
      </c>
      <c r="BN32" s="98">
        <f t="shared" si="5"/>
        <v>388278</v>
      </c>
      <c r="BO32" s="98">
        <f t="shared" si="5"/>
        <v>385096</v>
      </c>
      <c r="BP32" s="98">
        <f t="shared" si="5"/>
        <v>386043</v>
      </c>
      <c r="BQ32" s="98">
        <f t="shared" si="5"/>
        <v>381939</v>
      </c>
      <c r="BR32" s="98">
        <f t="shared" si="5"/>
        <v>372235</v>
      </c>
      <c r="BS32" s="98">
        <f t="shared" si="5"/>
        <v>363185</v>
      </c>
      <c r="BT32" s="98">
        <f t="shared" si="5"/>
        <v>349191</v>
      </c>
      <c r="BU32" s="98">
        <f t="shared" si="5"/>
        <v>333011</v>
      </c>
      <c r="BV32" s="98">
        <f t="shared" si="5"/>
        <v>324227</v>
      </c>
      <c r="BW32" s="98">
        <f t="shared" si="5"/>
        <v>316683</v>
      </c>
      <c r="BX32" s="98">
        <f t="shared" si="5"/>
        <v>303232</v>
      </c>
      <c r="BY32" s="98">
        <f t="shared" si="5"/>
        <v>291336</v>
      </c>
      <c r="BZ32" s="98">
        <f t="shared" ref="BZ32:EK32" si="6">SUM(BZ36:BZ141)</f>
        <v>278378</v>
      </c>
      <c r="CA32" s="98">
        <f t="shared" si="6"/>
        <v>276173</v>
      </c>
      <c r="CB32" s="98">
        <f t="shared" si="6"/>
        <v>271510</v>
      </c>
      <c r="CC32" s="98">
        <f t="shared" si="6"/>
        <v>260801</v>
      </c>
      <c r="CD32" s="98">
        <f t="shared" si="6"/>
        <v>260852</v>
      </c>
      <c r="CE32" s="98">
        <f t="shared" si="6"/>
        <v>263006</v>
      </c>
      <c r="CF32" s="98">
        <f t="shared" si="6"/>
        <v>268821</v>
      </c>
      <c r="CG32" s="98">
        <f t="shared" si="6"/>
        <v>280766</v>
      </c>
      <c r="CH32" s="98">
        <f t="shared" si="6"/>
        <v>302439</v>
      </c>
      <c r="CI32" s="98">
        <f t="shared" si="6"/>
        <v>228895</v>
      </c>
      <c r="CJ32" s="98">
        <f t="shared" si="6"/>
        <v>217830</v>
      </c>
      <c r="CK32" s="98">
        <f t="shared" si="6"/>
        <v>213013</v>
      </c>
      <c r="CL32" s="98">
        <f t="shared" si="6"/>
        <v>192013</v>
      </c>
      <c r="CM32" s="98">
        <f t="shared" si="6"/>
        <v>166567</v>
      </c>
      <c r="CN32" s="98">
        <f t="shared" si="6"/>
        <v>144651</v>
      </c>
      <c r="CO32" s="98">
        <f t="shared" si="6"/>
        <v>146189</v>
      </c>
      <c r="CP32" s="98">
        <f t="shared" si="6"/>
        <v>139908</v>
      </c>
      <c r="CQ32" s="98">
        <f t="shared" si="6"/>
        <v>130442</v>
      </c>
      <c r="CR32" s="98">
        <f t="shared" si="6"/>
        <v>118033</v>
      </c>
      <c r="CS32" s="98">
        <f t="shared" si="6"/>
        <v>105446</v>
      </c>
      <c r="CT32" s="98">
        <f t="shared" si="6"/>
        <v>93860</v>
      </c>
      <c r="CU32" s="98">
        <f t="shared" si="6"/>
        <v>80158</v>
      </c>
      <c r="CV32" s="98">
        <f t="shared" si="6"/>
        <v>69745</v>
      </c>
      <c r="CW32" s="98">
        <f t="shared" si="6"/>
        <v>60874</v>
      </c>
      <c r="CX32" s="98">
        <f t="shared" si="6"/>
        <v>51545</v>
      </c>
      <c r="CY32" s="98">
        <f t="shared" si="6"/>
        <v>169548</v>
      </c>
      <c r="CZ32" s="98">
        <f t="shared" si="6"/>
        <v>293098</v>
      </c>
      <c r="DA32" s="98">
        <f t="shared" si="6"/>
        <v>304098</v>
      </c>
      <c r="DB32" s="98">
        <f t="shared" si="6"/>
        <v>316666</v>
      </c>
      <c r="DC32" s="98">
        <f t="shared" si="6"/>
        <v>326927</v>
      </c>
      <c r="DD32" s="98">
        <f t="shared" si="6"/>
        <v>336364</v>
      </c>
      <c r="DE32" s="98">
        <f t="shared" si="6"/>
        <v>335535</v>
      </c>
      <c r="DF32" s="98">
        <f t="shared" si="6"/>
        <v>338730</v>
      </c>
      <c r="DG32" s="98">
        <f t="shared" si="6"/>
        <v>345954</v>
      </c>
      <c r="DH32" s="98">
        <f t="shared" si="6"/>
        <v>356419</v>
      </c>
      <c r="DI32" s="98">
        <f t="shared" si="6"/>
        <v>348459</v>
      </c>
      <c r="DJ32" s="98">
        <f t="shared" si="6"/>
        <v>342943</v>
      </c>
      <c r="DK32" s="98">
        <f t="shared" si="6"/>
        <v>337660</v>
      </c>
      <c r="DL32" s="98">
        <f t="shared" si="6"/>
        <v>340266</v>
      </c>
      <c r="DM32" s="98">
        <f t="shared" si="6"/>
        <v>329091</v>
      </c>
      <c r="DN32" s="98">
        <f t="shared" si="6"/>
        <v>323745</v>
      </c>
      <c r="DO32" s="98">
        <f t="shared" si="6"/>
        <v>310632</v>
      </c>
      <c r="DP32" s="98">
        <f t="shared" si="6"/>
        <v>305653</v>
      </c>
      <c r="DQ32" s="98">
        <f t="shared" si="6"/>
        <v>297528</v>
      </c>
      <c r="DR32" s="98">
        <f t="shared" si="6"/>
        <v>293850</v>
      </c>
      <c r="DS32" s="98">
        <f t="shared" si="6"/>
        <v>306756</v>
      </c>
      <c r="DT32" s="98">
        <f t="shared" si="6"/>
        <v>315496</v>
      </c>
      <c r="DU32" s="98">
        <f t="shared" si="6"/>
        <v>328567</v>
      </c>
      <c r="DV32" s="98">
        <f t="shared" si="6"/>
        <v>335796</v>
      </c>
      <c r="DW32" s="98">
        <f t="shared" si="6"/>
        <v>349599</v>
      </c>
      <c r="DX32" s="98">
        <f t="shared" si="6"/>
        <v>351363</v>
      </c>
      <c r="DY32" s="98">
        <f t="shared" si="6"/>
        <v>353228</v>
      </c>
      <c r="DZ32" s="98">
        <f t="shared" si="6"/>
        <v>363407</v>
      </c>
      <c r="EA32" s="98">
        <f t="shared" si="6"/>
        <v>365436</v>
      </c>
      <c r="EB32" s="98">
        <f t="shared" si="6"/>
        <v>379850</v>
      </c>
      <c r="EC32" s="98">
        <f t="shared" si="6"/>
        <v>385156</v>
      </c>
      <c r="ED32" s="98">
        <f t="shared" si="6"/>
        <v>379113</v>
      </c>
      <c r="EE32" s="98">
        <f t="shared" si="6"/>
        <v>379925</v>
      </c>
      <c r="EF32" s="98">
        <f t="shared" si="6"/>
        <v>387224</v>
      </c>
      <c r="EG32" s="98">
        <f t="shared" si="6"/>
        <v>381253</v>
      </c>
      <c r="EH32" s="98">
        <f t="shared" si="6"/>
        <v>380725</v>
      </c>
      <c r="EI32" s="98">
        <f t="shared" si="6"/>
        <v>380382</v>
      </c>
      <c r="EJ32" s="98">
        <f t="shared" si="6"/>
        <v>373787</v>
      </c>
      <c r="EK32" s="98">
        <f t="shared" si="6"/>
        <v>376713</v>
      </c>
      <c r="EL32" s="98">
        <f t="shared" ref="EL32:GL32" si="7">SUM(EL36:EL141)</f>
        <v>376427</v>
      </c>
      <c r="EM32" s="98">
        <f t="shared" si="7"/>
        <v>377931</v>
      </c>
      <c r="EN32" s="98">
        <f t="shared" si="7"/>
        <v>378222</v>
      </c>
      <c r="EO32" s="98">
        <f t="shared" si="7"/>
        <v>361624</v>
      </c>
      <c r="EP32" s="98">
        <f t="shared" si="7"/>
        <v>336647</v>
      </c>
      <c r="EQ32" s="98">
        <f t="shared" si="7"/>
        <v>331442</v>
      </c>
      <c r="ER32" s="98">
        <f t="shared" si="7"/>
        <v>338100</v>
      </c>
      <c r="ES32" s="98">
        <f t="shared" si="7"/>
        <v>344586</v>
      </c>
      <c r="ET32" s="98">
        <f t="shared" si="7"/>
        <v>350995</v>
      </c>
      <c r="EU32" s="98">
        <f t="shared" si="7"/>
        <v>365074</v>
      </c>
      <c r="EV32" s="98">
        <f t="shared" si="7"/>
        <v>380075</v>
      </c>
      <c r="EW32" s="98">
        <f t="shared" si="7"/>
        <v>394701</v>
      </c>
      <c r="EX32" s="98">
        <f t="shared" si="7"/>
        <v>384751</v>
      </c>
      <c r="EY32" s="98">
        <f t="shared" si="7"/>
        <v>393563</v>
      </c>
      <c r="EZ32" s="98">
        <f t="shared" si="7"/>
        <v>392445</v>
      </c>
      <c r="FA32" s="98">
        <f t="shared" si="7"/>
        <v>395838</v>
      </c>
      <c r="FB32" s="98">
        <f t="shared" si="7"/>
        <v>397436</v>
      </c>
      <c r="FC32" s="98">
        <f t="shared" si="7"/>
        <v>398256</v>
      </c>
      <c r="FD32" s="98">
        <f t="shared" si="7"/>
        <v>393381</v>
      </c>
      <c r="FE32" s="98">
        <f t="shared" si="7"/>
        <v>383788</v>
      </c>
      <c r="FF32" s="98">
        <f t="shared" si="7"/>
        <v>373754</v>
      </c>
      <c r="FG32" s="98">
        <f t="shared" si="7"/>
        <v>360010</v>
      </c>
      <c r="FH32" s="98">
        <f t="shared" si="7"/>
        <v>344951</v>
      </c>
      <c r="FI32" s="98">
        <f t="shared" si="7"/>
        <v>336192</v>
      </c>
      <c r="FJ32" s="98">
        <f t="shared" si="7"/>
        <v>328213</v>
      </c>
      <c r="FK32" s="98">
        <f t="shared" si="7"/>
        <v>315661</v>
      </c>
      <c r="FL32" s="98">
        <f t="shared" si="7"/>
        <v>303307</v>
      </c>
      <c r="FM32" s="98">
        <f t="shared" si="7"/>
        <v>292765</v>
      </c>
      <c r="FN32" s="98">
        <f t="shared" si="7"/>
        <v>293735</v>
      </c>
      <c r="FO32" s="98">
        <f t="shared" si="7"/>
        <v>288334</v>
      </c>
      <c r="FP32" s="98">
        <f t="shared" si="7"/>
        <v>280496</v>
      </c>
      <c r="FQ32" s="98">
        <f t="shared" si="7"/>
        <v>281256</v>
      </c>
      <c r="FR32" s="98">
        <f t="shared" si="7"/>
        <v>287053</v>
      </c>
      <c r="FS32" s="98">
        <f t="shared" si="7"/>
        <v>291941</v>
      </c>
      <c r="FT32" s="98">
        <f t="shared" si="7"/>
        <v>307142</v>
      </c>
      <c r="FU32" s="98">
        <f t="shared" si="7"/>
        <v>330413</v>
      </c>
      <c r="FV32" s="98">
        <f t="shared" si="7"/>
        <v>253652</v>
      </c>
      <c r="FW32" s="98">
        <f t="shared" si="7"/>
        <v>244025</v>
      </c>
      <c r="FX32" s="98">
        <f t="shared" si="7"/>
        <v>240429</v>
      </c>
      <c r="FY32" s="98">
        <f t="shared" si="7"/>
        <v>221693</v>
      </c>
      <c r="FZ32" s="98">
        <f t="shared" si="7"/>
        <v>195845</v>
      </c>
      <c r="GA32" s="98">
        <f t="shared" si="7"/>
        <v>173926</v>
      </c>
      <c r="GB32" s="98">
        <f t="shared" si="7"/>
        <v>177589</v>
      </c>
      <c r="GC32" s="98">
        <f t="shared" si="7"/>
        <v>173173</v>
      </c>
      <c r="GD32" s="98">
        <f t="shared" si="7"/>
        <v>164396</v>
      </c>
      <c r="GE32" s="98">
        <f t="shared" si="7"/>
        <v>153030</v>
      </c>
      <c r="GF32" s="98">
        <f t="shared" si="7"/>
        <v>140983</v>
      </c>
      <c r="GG32" s="98">
        <f t="shared" si="7"/>
        <v>129198</v>
      </c>
      <c r="GH32" s="98">
        <f t="shared" si="7"/>
        <v>114852</v>
      </c>
      <c r="GI32" s="98">
        <f t="shared" si="7"/>
        <v>104116</v>
      </c>
      <c r="GJ32" s="98">
        <f t="shared" si="7"/>
        <v>95623</v>
      </c>
      <c r="GK32" s="98">
        <f t="shared" si="7"/>
        <v>85372</v>
      </c>
      <c r="GL32" s="98">
        <f t="shared" si="7"/>
        <v>351519</v>
      </c>
    </row>
    <row r="33" spans="1:194" s="16" customFormat="1" x14ac:dyDescent="0.25">
      <c r="A33" s="50" t="s">
        <v>264</v>
      </c>
      <c r="B33" s="101" t="s">
        <v>15</v>
      </c>
      <c r="C33" s="51" t="s">
        <v>281</v>
      </c>
      <c r="D33" s="53">
        <f t="shared" si="4"/>
        <v>618202</v>
      </c>
      <c r="E33" s="53">
        <f t="shared" si="4"/>
        <v>1299011</v>
      </c>
      <c r="F33" s="54">
        <f>G33+H33</f>
        <v>3169586</v>
      </c>
      <c r="G33" s="54">
        <f>SUM(M33:CY33)</f>
        <v>1563524</v>
      </c>
      <c r="H33" s="55">
        <f>SUM(CZ33:GL33)</f>
        <v>1606062</v>
      </c>
      <c r="I33" s="55">
        <f>SUM(BK33:CY33)</f>
        <v>618202</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x14ac:dyDescent="0.25">
      <c r="A34" s="56" t="s">
        <v>264</v>
      </c>
      <c r="B34" s="102" t="s">
        <v>9</v>
      </c>
      <c r="C34" s="57" t="s">
        <v>282</v>
      </c>
      <c r="D34" s="59">
        <f t="shared" si="4"/>
        <v>325953</v>
      </c>
      <c r="E34" s="59">
        <f t="shared" si="4"/>
        <v>746569</v>
      </c>
      <c r="F34" s="60">
        <f>G34+H34</f>
        <v>1895510</v>
      </c>
      <c r="G34" s="60">
        <f>SUM(M34:CY34)</f>
        <v>934155</v>
      </c>
      <c r="H34" s="61">
        <f>SUM(CZ34:GL34)</f>
        <v>961355</v>
      </c>
      <c r="I34" s="61">
        <f>SUM(BK34:CY34)</f>
        <v>325953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5">
      <c r="A35" s="62"/>
      <c r="B35" s="137"/>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5">
      <c r="A36" s="112" t="s">
        <v>275</v>
      </c>
      <c r="B36" s="276" t="s">
        <v>593</v>
      </c>
      <c r="C36" s="92"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5">
      <c r="A37" s="116" t="s">
        <v>275</v>
      </c>
      <c r="B37" s="276" t="s">
        <v>594</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5">
      <c r="A38" s="116" t="s">
        <v>275</v>
      </c>
      <c r="B38" s="276" t="s">
        <v>595</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5">
      <c r="A39" s="116" t="s">
        <v>275</v>
      </c>
      <c r="B39" s="276" t="s">
        <v>596</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5">
      <c r="A40" s="116" t="s">
        <v>275</v>
      </c>
      <c r="B40" s="276" t="s">
        <v>597</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5">
      <c r="A41" s="116" t="s">
        <v>275</v>
      </c>
      <c r="B41" s="276" t="s">
        <v>598</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5">
      <c r="A42" s="116" t="s">
        <v>275</v>
      </c>
      <c r="B42" s="276" t="s">
        <v>599</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5">
      <c r="A43" s="116" t="s">
        <v>275</v>
      </c>
      <c r="B43" s="276" t="s">
        <v>600</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5">
      <c r="A44" s="116" t="s">
        <v>275</v>
      </c>
      <c r="B44" s="276" t="s">
        <v>601</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5">
      <c r="A45" s="116" t="s">
        <v>275</v>
      </c>
      <c r="B45" s="276" t="s">
        <v>602</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5">
      <c r="A46" s="116" t="s">
        <v>275</v>
      </c>
      <c r="B46" s="276" t="s">
        <v>603</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5">
      <c r="A47" s="116" t="s">
        <v>275</v>
      </c>
      <c r="B47" s="276" t="s">
        <v>604</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5">
      <c r="A48" s="116" t="s">
        <v>275</v>
      </c>
      <c r="B48" s="276" t="s">
        <v>605</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5">
      <c r="A49" s="116" t="s">
        <v>275</v>
      </c>
      <c r="B49" s="276" t="s">
        <v>606</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5">
      <c r="A50" s="116" t="s">
        <v>275</v>
      </c>
      <c r="B50" s="276" t="s">
        <v>607</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5">
      <c r="A51" s="116" t="s">
        <v>275</v>
      </c>
      <c r="B51" s="276" t="s">
        <v>608</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5">
      <c r="A52" s="116" t="s">
        <v>275</v>
      </c>
      <c r="B52" s="276" t="s">
        <v>609</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5">
      <c r="A53" s="116" t="s">
        <v>275</v>
      </c>
      <c r="B53" s="276" t="s">
        <v>610</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5">
      <c r="A54" s="116" t="s">
        <v>275</v>
      </c>
      <c r="B54" s="276" t="s">
        <v>611</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5">
      <c r="A55" s="116" t="s">
        <v>275</v>
      </c>
      <c r="B55" s="276" t="s">
        <v>612</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5">
      <c r="A56" s="116" t="s">
        <v>275</v>
      </c>
      <c r="B56" s="276" t="s">
        <v>613</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5">
      <c r="A57" s="116" t="s">
        <v>275</v>
      </c>
      <c r="B57" s="276" t="s">
        <v>614</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5">
      <c r="A58" s="116" t="s">
        <v>275</v>
      </c>
      <c r="B58" s="276" t="s">
        <v>615</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5">
      <c r="A59" s="116" t="s">
        <v>275</v>
      </c>
      <c r="B59" s="276" t="s">
        <v>616</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5">
      <c r="A60" s="116" t="s">
        <v>275</v>
      </c>
      <c r="B60" s="276" t="s">
        <v>617</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5">
      <c r="A61" s="116" t="s">
        <v>275</v>
      </c>
      <c r="B61" s="276" t="s">
        <v>618</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5">
      <c r="A62" s="116" t="s">
        <v>275</v>
      </c>
      <c r="B62" s="276" t="s">
        <v>619</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5">
      <c r="A63" s="116" t="s">
        <v>275</v>
      </c>
      <c r="B63" s="276" t="s">
        <v>620</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5">
      <c r="A64" s="116" t="s">
        <v>275</v>
      </c>
      <c r="B64" s="276" t="s">
        <v>621</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5">
      <c r="A65" s="116" t="s">
        <v>275</v>
      </c>
      <c r="B65" s="276" t="s">
        <v>622</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5">
      <c r="A66" s="116" t="s">
        <v>275</v>
      </c>
      <c r="B66" s="276" t="s">
        <v>623</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5">
      <c r="A67" s="116" t="s">
        <v>275</v>
      </c>
      <c r="B67" s="276" t="s">
        <v>624</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5">
      <c r="A68" s="116" t="s">
        <v>275</v>
      </c>
      <c r="B68" s="276" t="s">
        <v>625</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5">
      <c r="A69" s="116" t="s">
        <v>275</v>
      </c>
      <c r="B69" s="276" t="s">
        <v>626</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5">
      <c r="A70" s="116" t="s">
        <v>275</v>
      </c>
      <c r="B70" s="276" t="s">
        <v>627</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5">
      <c r="A71" s="116" t="s">
        <v>275</v>
      </c>
      <c r="B71" s="276" t="s">
        <v>628</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5">
      <c r="A72" s="116" t="s">
        <v>275</v>
      </c>
      <c r="B72" s="276" t="s">
        <v>629</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5">
      <c r="A73" s="116" t="s">
        <v>275</v>
      </c>
      <c r="B73" s="276" t="s">
        <v>630</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5">
      <c r="A74" s="116" t="s">
        <v>275</v>
      </c>
      <c r="B74" s="276" t="s">
        <v>631</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5">
      <c r="A75" s="116" t="s">
        <v>275</v>
      </c>
      <c r="B75" s="276" t="s">
        <v>632</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5">
      <c r="A76" s="116" t="s">
        <v>275</v>
      </c>
      <c r="B76" s="276" t="s">
        <v>633</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5">
      <c r="A77" s="116" t="s">
        <v>275</v>
      </c>
      <c r="B77" s="276" t="s">
        <v>634</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5">
      <c r="A78" s="116" t="s">
        <v>275</v>
      </c>
      <c r="B78" s="276" t="s">
        <v>635</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5">
      <c r="A79" s="116" t="s">
        <v>275</v>
      </c>
      <c r="B79" s="276" t="s">
        <v>636</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5">
      <c r="A80" s="116" t="s">
        <v>275</v>
      </c>
      <c r="B80" s="276" t="s">
        <v>637</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5">
      <c r="A81" s="116" t="s">
        <v>275</v>
      </c>
      <c r="B81" s="276" t="s">
        <v>638</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5">
      <c r="A82" s="116" t="s">
        <v>275</v>
      </c>
      <c r="B82" s="276" t="s">
        <v>639</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5">
      <c r="A83" s="116" t="s">
        <v>275</v>
      </c>
      <c r="B83" s="276" t="s">
        <v>640</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5">
      <c r="A84" s="116" t="s">
        <v>275</v>
      </c>
      <c r="B84" s="276" t="s">
        <v>641</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5">
      <c r="A85" s="116" t="s">
        <v>275</v>
      </c>
      <c r="B85" s="276" t="s">
        <v>642</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5">
      <c r="A86" s="116" t="s">
        <v>275</v>
      </c>
      <c r="B86" s="276" t="s">
        <v>643</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5">
      <c r="A87" s="116" t="s">
        <v>275</v>
      </c>
      <c r="B87" s="276" t="s">
        <v>644</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5">
      <c r="A88" s="116" t="s">
        <v>275</v>
      </c>
      <c r="B88" s="276" t="s">
        <v>645</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5">
      <c r="A89" s="116" t="s">
        <v>275</v>
      </c>
      <c r="B89" s="276" t="s">
        <v>646</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5">
      <c r="A90" s="116" t="s">
        <v>275</v>
      </c>
      <c r="B90" s="276" t="s">
        <v>647</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5">
      <c r="A91" s="116" t="s">
        <v>275</v>
      </c>
      <c r="B91" s="276" t="s">
        <v>648</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5">
      <c r="A92" s="116" t="s">
        <v>275</v>
      </c>
      <c r="B92" s="276" t="s">
        <v>649</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5">
      <c r="A93" s="116" t="s">
        <v>275</v>
      </c>
      <c r="B93" s="276" t="s">
        <v>650</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5">
      <c r="A94" s="116" t="s">
        <v>275</v>
      </c>
      <c r="B94" s="276" t="s">
        <v>651</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5">
      <c r="A95" s="116" t="s">
        <v>275</v>
      </c>
      <c r="B95" s="276" t="s">
        <v>652</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5">
      <c r="A96" s="116" t="s">
        <v>275</v>
      </c>
      <c r="B96" s="276" t="s">
        <v>653</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5">
      <c r="A97" s="116" t="s">
        <v>275</v>
      </c>
      <c r="B97" s="276" t="s">
        <v>654</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5">
      <c r="A98" s="116" t="s">
        <v>275</v>
      </c>
      <c r="B98" s="276" t="s">
        <v>655</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5">
      <c r="A99" s="116" t="s">
        <v>275</v>
      </c>
      <c r="B99" s="276" t="s">
        <v>656</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5">
      <c r="A100" s="116" t="s">
        <v>275</v>
      </c>
      <c r="B100" s="276" t="s">
        <v>657</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5">
      <c r="A101" s="116" t="s">
        <v>275</v>
      </c>
      <c r="B101" s="276" t="s">
        <v>658</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5">
      <c r="A102" s="116" t="s">
        <v>275</v>
      </c>
      <c r="B102" s="276" t="s">
        <v>659</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5">
      <c r="A103" s="116" t="s">
        <v>275</v>
      </c>
      <c r="B103" s="276" t="s">
        <v>660</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5">
      <c r="A104" s="116" t="s">
        <v>275</v>
      </c>
      <c r="B104" s="276" t="s">
        <v>661</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5">
      <c r="A105" s="116" t="s">
        <v>275</v>
      </c>
      <c r="B105" s="276" t="s">
        <v>662</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5">
      <c r="A106" s="116" t="s">
        <v>275</v>
      </c>
      <c r="B106" s="276" t="s">
        <v>663</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5">
      <c r="A107" s="116" t="s">
        <v>275</v>
      </c>
      <c r="B107" s="276" t="s">
        <v>664</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5">
      <c r="A108" s="116" t="s">
        <v>275</v>
      </c>
      <c r="B108" s="276" t="s">
        <v>665</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5">
      <c r="A109" s="116" t="s">
        <v>275</v>
      </c>
      <c r="B109" s="276" t="s">
        <v>666</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5">
      <c r="A110" s="116" t="s">
        <v>275</v>
      </c>
      <c r="B110" s="276" t="s">
        <v>667</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5">
      <c r="A111" s="116" t="s">
        <v>275</v>
      </c>
      <c r="B111" s="276" t="s">
        <v>668</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5">
      <c r="A112" s="116" t="s">
        <v>275</v>
      </c>
      <c r="B112" s="276" t="s">
        <v>669</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5">
      <c r="A113" s="116" t="s">
        <v>275</v>
      </c>
      <c r="B113" s="276" t="s">
        <v>670</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5">
      <c r="A114" s="116" t="s">
        <v>275</v>
      </c>
      <c r="B114" s="276" t="s">
        <v>671</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5">
      <c r="A115" s="116" t="s">
        <v>275</v>
      </c>
      <c r="B115" s="276" t="s">
        <v>672</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5">
      <c r="A116" s="116" t="s">
        <v>275</v>
      </c>
      <c r="B116" s="276" t="s">
        <v>673</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5">
      <c r="A117" s="116" t="s">
        <v>275</v>
      </c>
      <c r="B117" s="276" t="s">
        <v>674</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5">
      <c r="A118" s="116" t="s">
        <v>275</v>
      </c>
      <c r="B118" s="276" t="s">
        <v>675</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5">
      <c r="A119" s="116" t="s">
        <v>275</v>
      </c>
      <c r="B119" s="276" t="s">
        <v>676</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5">
      <c r="A120" s="116" t="s">
        <v>275</v>
      </c>
      <c r="B120" s="276" t="s">
        <v>677</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5">
      <c r="A121" s="116" t="s">
        <v>275</v>
      </c>
      <c r="B121" s="276" t="s">
        <v>678</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5">
      <c r="A122" s="116" t="s">
        <v>275</v>
      </c>
      <c r="B122" s="276" t="s">
        <v>679</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5">
      <c r="A123" s="116" t="s">
        <v>275</v>
      </c>
      <c r="B123" s="276" t="s">
        <v>680</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5">
      <c r="A124" s="116" t="s">
        <v>275</v>
      </c>
      <c r="B124" s="276" t="s">
        <v>681</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5">
      <c r="A125" s="116" t="s">
        <v>275</v>
      </c>
      <c r="B125" s="276" t="s">
        <v>682</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5">
      <c r="A126" s="116" t="s">
        <v>275</v>
      </c>
      <c r="B126" s="276" t="s">
        <v>683</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5">
      <c r="A127" s="116" t="s">
        <v>275</v>
      </c>
      <c r="B127" s="276" t="s">
        <v>684</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5">
      <c r="A128" s="116" t="s">
        <v>275</v>
      </c>
      <c r="B128" s="276" t="s">
        <v>685</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5">
      <c r="A129" s="116" t="s">
        <v>275</v>
      </c>
      <c r="B129" s="276" t="s">
        <v>686</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5">
      <c r="A130" s="116" t="s">
        <v>275</v>
      </c>
      <c r="B130" s="276" t="s">
        <v>687</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5">
      <c r="A131" s="116" t="s">
        <v>275</v>
      </c>
      <c r="B131" s="276" t="s">
        <v>688</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5">
      <c r="A132" s="116" t="s">
        <v>275</v>
      </c>
      <c r="B132" s="276" t="s">
        <v>689</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5">
      <c r="A133" s="116" t="s">
        <v>275</v>
      </c>
      <c r="B133" s="276" t="s">
        <v>690</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5">
      <c r="A134" s="116" t="s">
        <v>275</v>
      </c>
      <c r="B134" s="276" t="s">
        <v>691</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5">
      <c r="A135" s="116" t="s">
        <v>275</v>
      </c>
      <c r="B135" s="276" t="s">
        <v>692</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5">
      <c r="A136" s="116" t="s">
        <v>275</v>
      </c>
      <c r="B136" s="276" t="s">
        <v>693</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5">
      <c r="A137" s="116" t="s">
        <v>275</v>
      </c>
      <c r="B137" s="276" t="s">
        <v>694</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5">
      <c r="A138" s="116" t="s">
        <v>275</v>
      </c>
      <c r="B138" s="276" t="s">
        <v>695</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5">
      <c r="A139" s="116" t="s">
        <v>275</v>
      </c>
      <c r="B139" s="276" t="s">
        <v>696</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5">
      <c r="A140" s="116" t="s">
        <v>275</v>
      </c>
      <c r="B140" s="276" t="s">
        <v>697</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5">
      <c r="A141" s="116" t="s">
        <v>275</v>
      </c>
      <c r="B141" s="276" t="s">
        <v>698</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9" customFormat="1" x14ac:dyDescent="0.25">
      <c r="A142" s="155"/>
      <c r="B142" s="156"/>
      <c r="C142" s="155"/>
      <c r="D142" s="158">
        <f t="shared" ref="D142:L142" si="32">SUM(D36:D141)</f>
        <v>21779298</v>
      </c>
      <c r="E142" s="158">
        <f t="shared" si="32"/>
        <v>22677552</v>
      </c>
      <c r="F142" s="158">
        <f t="shared" si="32"/>
        <v>56550138</v>
      </c>
      <c r="G142" s="158">
        <f t="shared" si="32"/>
        <v>27982818</v>
      </c>
      <c r="H142" s="158">
        <f t="shared" si="32"/>
        <v>28567320</v>
      </c>
      <c r="I142" s="158">
        <f t="shared" si="32"/>
        <v>21779298</v>
      </c>
      <c r="J142" s="158">
        <f t="shared" si="32"/>
        <v>22677552</v>
      </c>
      <c r="K142" s="158">
        <f t="shared" si="32"/>
        <v>6203520</v>
      </c>
      <c r="L142" s="158">
        <f t="shared" si="32"/>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5">
      <c r="A143" s="72" t="s">
        <v>276</v>
      </c>
      <c r="B143" s="139" t="s">
        <v>365</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5">
      <c r="A144" s="72" t="s">
        <v>276</v>
      </c>
      <c r="B144" s="140" t="s">
        <v>362</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5">
      <c r="A145" s="72" t="s">
        <v>276</v>
      </c>
      <c r="B145" s="140" t="s">
        <v>366</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5">
      <c r="A146" s="72" t="s">
        <v>276</v>
      </c>
      <c r="B146" s="140" t="s">
        <v>432</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5">
      <c r="A147" s="72" t="s">
        <v>276</v>
      </c>
      <c r="B147" s="140" t="s">
        <v>364</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5">
      <c r="A148" s="72" t="s">
        <v>276</v>
      </c>
      <c r="B148" s="140" t="s">
        <v>363</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5">
      <c r="A149" s="73" t="s">
        <v>276</v>
      </c>
      <c r="B149" s="138" t="s">
        <v>433</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9" customFormat="1" x14ac:dyDescent="0.25">
      <c r="A150" s="160"/>
      <c r="B150" s="161"/>
      <c r="C150" s="160"/>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5">
      <c r="A151" s="77" t="s">
        <v>277</v>
      </c>
      <c r="B151" s="139" t="s">
        <v>21</v>
      </c>
      <c r="C151" s="92"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5">
      <c r="A152" s="77" t="s">
        <v>277</v>
      </c>
      <c r="B152" s="140"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5">
      <c r="A153" s="77" t="s">
        <v>277</v>
      </c>
      <c r="B153" s="140"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5">
      <c r="A154" s="77" t="s">
        <v>277</v>
      </c>
      <c r="B154" s="140"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5">
      <c r="A155" s="83" t="s">
        <v>277</v>
      </c>
      <c r="B155" s="138"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9" customFormat="1" x14ac:dyDescent="0.25">
      <c r="A156" s="160"/>
      <c r="B156" s="161"/>
      <c r="C156" s="160"/>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5">
      <c r="A157" s="93" t="s">
        <v>592</v>
      </c>
      <c r="B157" s="141" t="s">
        <v>464</v>
      </c>
      <c r="C157" s="92"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5">
      <c r="A158" s="84" t="s">
        <v>592</v>
      </c>
      <c r="B158" s="141" t="s">
        <v>465</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5">
      <c r="A159" s="84" t="s">
        <v>592</v>
      </c>
      <c r="B159" s="141" t="s">
        <v>466</v>
      </c>
      <c r="C159" s="48" t="str">
        <f>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5">
      <c r="A160" s="84" t="s">
        <v>592</v>
      </c>
      <c r="B160" s="141" t="s">
        <v>467</v>
      </c>
      <c r="C160" s="48" t="str">
        <f t="shared" ref="C160:C206" si="53">CONCATENATE(A160," - ",B160)</f>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5">
      <c r="A161" s="84" t="s">
        <v>592</v>
      </c>
      <c r="B161" s="141" t="s">
        <v>468</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5">
      <c r="A162" s="84" t="s">
        <v>592</v>
      </c>
      <c r="B162" s="141" t="s">
        <v>469</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5">
      <c r="A163" s="84" t="s">
        <v>592</v>
      </c>
      <c r="B163" s="141" t="s">
        <v>470</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9" customFormat="1" x14ac:dyDescent="0.25">
      <c r="A164" s="162"/>
      <c r="B164" s="163"/>
      <c r="C164" s="155"/>
      <c r="D164" s="164">
        <f>SUM(D157:D163)</f>
        <v>21779298</v>
      </c>
      <c r="E164" s="164">
        <f>SUM(E157:E163)</f>
        <v>22677552</v>
      </c>
      <c r="F164" s="164">
        <f>SUM(F157:F163)</f>
        <v>56550138</v>
      </c>
      <c r="G164" s="164">
        <f t="shared" ref="G164:L164" si="54">SUM(G157:G163)</f>
        <v>27982818</v>
      </c>
      <c r="H164" s="164">
        <f t="shared" si="54"/>
        <v>28567320</v>
      </c>
      <c r="I164" s="164">
        <f t="shared" si="54"/>
        <v>21779298</v>
      </c>
      <c r="J164" s="164">
        <f t="shared" si="54"/>
        <v>22677552</v>
      </c>
      <c r="K164" s="164">
        <f t="shared" si="54"/>
        <v>6203520</v>
      </c>
      <c r="L164" s="164">
        <f t="shared" si="54"/>
        <v>5889768</v>
      </c>
      <c r="M164" s="164"/>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4"/>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5">
      <c r="A165" s="149" t="s">
        <v>436</v>
      </c>
      <c r="B165" s="142" t="s">
        <v>417</v>
      </c>
      <c r="C165" s="279" t="str">
        <f t="shared" si="53"/>
        <v>England ICS - Bath and North East Somerset, Swindon and Wiltshire</v>
      </c>
      <c r="D165" s="108">
        <f>I165</f>
        <v>361510</v>
      </c>
      <c r="E165" s="108">
        <f>J165</f>
        <v>373112</v>
      </c>
      <c r="F165" s="150">
        <f>G165+H165</f>
        <v>929964</v>
      </c>
      <c r="G165" s="81">
        <f>SUM(M165:CY165)</f>
        <v>461582</v>
      </c>
      <c r="H165" s="82">
        <f>SUM(CZ165:GL165)</f>
        <v>468382</v>
      </c>
      <c r="I165" s="81">
        <f>SUM(AE165:CY165)</f>
        <v>361510</v>
      </c>
      <c r="J165" s="145">
        <f>SUM(DR165:GL165)</f>
        <v>373112</v>
      </c>
      <c r="K165" s="147">
        <f>SUM(M165:AD165)</f>
        <v>100072</v>
      </c>
      <c r="L165" s="80">
        <f>SUM(CZ165:DQ165)</f>
        <v>95270</v>
      </c>
      <c r="M165" s="147">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7">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5">
      <c r="A166" s="151" t="s">
        <v>436</v>
      </c>
      <c r="B166" s="143" t="s">
        <v>418</v>
      </c>
      <c r="C166" s="280" t="str">
        <f t="shared" si="53"/>
        <v>England ICS - Bedfordshire, Luton and Milton Keynes</v>
      </c>
      <c r="D166" s="109">
        <f t="shared" ref="D166:D199" si="55">I166</f>
        <v>355949</v>
      </c>
      <c r="E166" s="109">
        <f t="shared" ref="E166:E199" si="56">J166</f>
        <v>367983</v>
      </c>
      <c r="F166" s="144">
        <f t="shared" ref="F166:F199" si="57">G166+H166</f>
        <v>959098</v>
      </c>
      <c r="G166" s="70">
        <f t="shared" ref="G166:G199" si="58">SUM(M166:CY166)</f>
        <v>476424</v>
      </c>
      <c r="H166" s="71">
        <f t="shared" ref="H166:H199" si="59">SUM(CZ166:GL166)</f>
        <v>482674</v>
      </c>
      <c r="I166" s="70">
        <f t="shared" ref="I166:I199" si="60">SUM(AE166:CY166)</f>
        <v>355949</v>
      </c>
      <c r="J166" s="146">
        <f t="shared" ref="J166:J199" si="61">SUM(DR166:GL166)</f>
        <v>367983</v>
      </c>
      <c r="K166" s="148">
        <f t="shared" ref="K166:K199" si="62">SUM(M166:AD166)</f>
        <v>120475</v>
      </c>
      <c r="L166" s="69">
        <f t="shared" ref="L166:L199" si="63">SUM(CZ166:DQ166)</f>
        <v>114691</v>
      </c>
      <c r="M166" s="148">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8">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5">
      <c r="A167" s="151" t="s">
        <v>436</v>
      </c>
      <c r="B167" s="143" t="s">
        <v>699</v>
      </c>
      <c r="C167" s="280" t="str">
        <f t="shared" si="53"/>
        <v>England ICS - Birmingham and Solihull </v>
      </c>
      <c r="D167" s="109">
        <f t="shared" si="55"/>
        <v>431773</v>
      </c>
      <c r="E167" s="109">
        <f t="shared" si="56"/>
        <v>459616</v>
      </c>
      <c r="F167" s="144">
        <f t="shared" si="57"/>
        <v>1179731</v>
      </c>
      <c r="G167" s="70">
        <f t="shared" si="58"/>
        <v>580301</v>
      </c>
      <c r="H167" s="71">
        <f t="shared" si="59"/>
        <v>599430</v>
      </c>
      <c r="I167" s="70">
        <f t="shared" si="60"/>
        <v>431773</v>
      </c>
      <c r="J167" s="146">
        <f t="shared" si="61"/>
        <v>459616</v>
      </c>
      <c r="K167" s="148">
        <f t="shared" si="62"/>
        <v>148528</v>
      </c>
      <c r="L167" s="69">
        <f t="shared" si="63"/>
        <v>139814</v>
      </c>
      <c r="M167" s="148">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8">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5">
      <c r="A168" s="151" t="s">
        <v>436</v>
      </c>
      <c r="B168" s="143" t="s">
        <v>706</v>
      </c>
      <c r="C168" s="280" t="str">
        <f t="shared" ref="C168:C191" si="64">CONCATENATE(A168," - ",B168)</f>
        <v>England ICS - Bristol, North Somerset and South Gloucestershire</v>
      </c>
      <c r="D168" s="109">
        <f t="shared" ref="D168:D191" si="65">I168</f>
        <v>379832</v>
      </c>
      <c r="E168" s="109">
        <f t="shared" ref="E168:E191" si="66">J168</f>
        <v>391270</v>
      </c>
      <c r="F168" s="144">
        <f t="shared" ref="F168:F191" si="67">G168+H168</f>
        <v>969256</v>
      </c>
      <c r="G168" s="70">
        <f t="shared" ref="G168:G191" si="68">SUM(M168:CY168)</f>
        <v>481679</v>
      </c>
      <c r="H168" s="71">
        <f t="shared" ref="H168:H191" si="69">SUM(CZ168:GL168)</f>
        <v>487577</v>
      </c>
      <c r="I168" s="70">
        <f t="shared" ref="I168:I191" si="70">SUM(AE168:CY168)</f>
        <v>379832</v>
      </c>
      <c r="J168" s="146">
        <f t="shared" ref="J168:J191" si="71">SUM(DR168:GL168)</f>
        <v>391270</v>
      </c>
      <c r="K168" s="148">
        <f t="shared" ref="K168:K191" si="72">SUM(M168:AD168)</f>
        <v>101847</v>
      </c>
      <c r="L168" s="69">
        <f t="shared" ref="L168:L191" si="73">SUM(CZ168:DQ168)</f>
        <v>96307</v>
      </c>
      <c r="M168" s="148">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8">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5">
      <c r="A169" s="151" t="s">
        <v>436</v>
      </c>
      <c r="B169" s="143" t="s">
        <v>707</v>
      </c>
      <c r="C169" s="280" t="str">
        <f t="shared" si="64"/>
        <v>England ICS - Buckinghamshire, Oxfordshire and Berkshire West:</v>
      </c>
      <c r="D169" s="109">
        <f t="shared" si="65"/>
        <v>657001</v>
      </c>
      <c r="E169" s="109">
        <f t="shared" si="66"/>
        <v>680525</v>
      </c>
      <c r="F169" s="144">
        <f t="shared" si="67"/>
        <v>1723447</v>
      </c>
      <c r="G169" s="70">
        <f t="shared" si="68"/>
        <v>854789</v>
      </c>
      <c r="H169" s="71">
        <f t="shared" si="69"/>
        <v>868658</v>
      </c>
      <c r="I169" s="70">
        <f t="shared" si="70"/>
        <v>657001</v>
      </c>
      <c r="J169" s="146">
        <f t="shared" si="71"/>
        <v>680525</v>
      </c>
      <c r="K169" s="148">
        <f t="shared" si="72"/>
        <v>197788</v>
      </c>
      <c r="L169" s="69">
        <f t="shared" si="73"/>
        <v>188133</v>
      </c>
      <c r="M169" s="148">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8">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5">
      <c r="A170" s="151" t="s">
        <v>436</v>
      </c>
      <c r="B170" s="143" t="s">
        <v>708</v>
      </c>
      <c r="C170" s="280" t="str">
        <f t="shared" si="64"/>
        <v>England ICS - Cambridgeshire and Peterborough</v>
      </c>
      <c r="D170" s="109">
        <f t="shared" si="65"/>
        <v>346936</v>
      </c>
      <c r="E170" s="109">
        <f t="shared" si="66"/>
        <v>351669</v>
      </c>
      <c r="F170" s="144">
        <f t="shared" si="67"/>
        <v>896725</v>
      </c>
      <c r="G170" s="70">
        <f t="shared" si="68"/>
        <v>449188</v>
      </c>
      <c r="H170" s="71">
        <f t="shared" si="69"/>
        <v>447537</v>
      </c>
      <c r="I170" s="70">
        <f t="shared" si="70"/>
        <v>346936</v>
      </c>
      <c r="J170" s="146">
        <f t="shared" si="71"/>
        <v>351669</v>
      </c>
      <c r="K170" s="148">
        <f t="shared" si="72"/>
        <v>102252</v>
      </c>
      <c r="L170" s="69">
        <f t="shared" si="73"/>
        <v>95868</v>
      </c>
      <c r="M170" s="148">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8">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5">
      <c r="A171" s="151" t="s">
        <v>436</v>
      </c>
      <c r="B171" s="143" t="s">
        <v>709</v>
      </c>
      <c r="C171" s="280" t="str">
        <f t="shared" si="64"/>
        <v>England ICS - Cheshire and Merseyside</v>
      </c>
      <c r="D171" s="109">
        <f t="shared" si="65"/>
        <v>964135</v>
      </c>
      <c r="E171" s="109">
        <f t="shared" si="66"/>
        <v>1029896</v>
      </c>
      <c r="F171" s="144">
        <f t="shared" si="67"/>
        <v>2503902</v>
      </c>
      <c r="G171" s="70">
        <f t="shared" si="68"/>
        <v>1226046</v>
      </c>
      <c r="H171" s="71">
        <f t="shared" si="69"/>
        <v>1277856</v>
      </c>
      <c r="I171" s="70">
        <f t="shared" si="70"/>
        <v>964135</v>
      </c>
      <c r="J171" s="146">
        <f t="shared" si="71"/>
        <v>1029896</v>
      </c>
      <c r="K171" s="148">
        <f t="shared" si="72"/>
        <v>261911</v>
      </c>
      <c r="L171" s="69">
        <f t="shared" si="73"/>
        <v>247960</v>
      </c>
      <c r="M171" s="148">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8">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5">
      <c r="A172" s="151" t="s">
        <v>436</v>
      </c>
      <c r="B172" s="143" t="s">
        <v>710</v>
      </c>
      <c r="C172" s="280" t="str">
        <f t="shared" si="64"/>
        <v xml:space="preserve">England ICS - Cornwall and the Isles of Scilly </v>
      </c>
      <c r="D172" s="109">
        <f t="shared" si="65"/>
        <v>223269</v>
      </c>
      <c r="E172" s="109">
        <f t="shared" si="66"/>
        <v>242963</v>
      </c>
      <c r="F172" s="144">
        <f t="shared" si="67"/>
        <v>575525</v>
      </c>
      <c r="G172" s="70">
        <f t="shared" si="68"/>
        <v>279480</v>
      </c>
      <c r="H172" s="71">
        <f t="shared" si="69"/>
        <v>296045</v>
      </c>
      <c r="I172" s="70">
        <f t="shared" si="70"/>
        <v>223269</v>
      </c>
      <c r="J172" s="146">
        <f t="shared" si="71"/>
        <v>242963</v>
      </c>
      <c r="K172" s="148">
        <f t="shared" si="72"/>
        <v>56211</v>
      </c>
      <c r="L172" s="69">
        <f t="shared" si="73"/>
        <v>53082</v>
      </c>
      <c r="M172" s="148">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8">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5">
      <c r="A173" s="151" t="s">
        <v>436</v>
      </c>
      <c r="B173" s="143" t="s">
        <v>711</v>
      </c>
      <c r="C173" s="280" t="str">
        <f t="shared" si="64"/>
        <v>England ICS - Coventry and Warwickshire</v>
      </c>
      <c r="D173" s="109">
        <f t="shared" si="65"/>
        <v>379115</v>
      </c>
      <c r="E173" s="109">
        <f t="shared" si="66"/>
        <v>384098</v>
      </c>
      <c r="F173" s="144">
        <f t="shared" si="67"/>
        <v>963173</v>
      </c>
      <c r="G173" s="70">
        <f t="shared" si="68"/>
        <v>481624</v>
      </c>
      <c r="H173" s="71">
        <f t="shared" si="69"/>
        <v>481549</v>
      </c>
      <c r="I173" s="70">
        <f t="shared" si="70"/>
        <v>379115</v>
      </c>
      <c r="J173" s="146">
        <f t="shared" si="71"/>
        <v>384098</v>
      </c>
      <c r="K173" s="148">
        <f t="shared" si="72"/>
        <v>102509</v>
      </c>
      <c r="L173" s="69">
        <f t="shared" si="73"/>
        <v>97451</v>
      </c>
      <c r="M173" s="148">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8">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5">
      <c r="A174" s="151" t="s">
        <v>436</v>
      </c>
      <c r="B174" s="143" t="s">
        <v>712</v>
      </c>
      <c r="C174" s="280" t="str">
        <f t="shared" si="64"/>
        <v>England ICS - Derbyshire</v>
      </c>
      <c r="D174" s="109">
        <f t="shared" si="65"/>
        <v>401434</v>
      </c>
      <c r="E174" s="109">
        <f t="shared" si="66"/>
        <v>421207</v>
      </c>
      <c r="F174" s="144">
        <f t="shared" si="67"/>
        <v>1030393</v>
      </c>
      <c r="G174" s="70">
        <f t="shared" si="68"/>
        <v>507654</v>
      </c>
      <c r="H174" s="71">
        <f t="shared" si="69"/>
        <v>522739</v>
      </c>
      <c r="I174" s="70">
        <f t="shared" si="70"/>
        <v>401434</v>
      </c>
      <c r="J174" s="146">
        <f t="shared" si="71"/>
        <v>421207</v>
      </c>
      <c r="K174" s="148">
        <f t="shared" si="72"/>
        <v>106220</v>
      </c>
      <c r="L174" s="69">
        <f t="shared" si="73"/>
        <v>101532</v>
      </c>
      <c r="M174" s="148">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8">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5">
      <c r="A175" s="151" t="s">
        <v>436</v>
      </c>
      <c r="B175" s="143" t="s">
        <v>713</v>
      </c>
      <c r="C175" s="280" t="str">
        <f t="shared" si="64"/>
        <v>England ICS - Devon</v>
      </c>
      <c r="D175" s="109">
        <f t="shared" si="65"/>
        <v>476232</v>
      </c>
      <c r="E175" s="109">
        <f t="shared" si="66"/>
        <v>506690</v>
      </c>
      <c r="F175" s="144">
        <f t="shared" si="67"/>
        <v>1209773</v>
      </c>
      <c r="G175" s="70">
        <f t="shared" si="68"/>
        <v>592841</v>
      </c>
      <c r="H175" s="71">
        <f t="shared" si="69"/>
        <v>616932</v>
      </c>
      <c r="I175" s="70">
        <f t="shared" si="70"/>
        <v>476232</v>
      </c>
      <c r="J175" s="146">
        <f t="shared" si="71"/>
        <v>506690</v>
      </c>
      <c r="K175" s="148">
        <f t="shared" si="72"/>
        <v>116609</v>
      </c>
      <c r="L175" s="69">
        <f t="shared" si="73"/>
        <v>110242</v>
      </c>
      <c r="M175" s="148">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8">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5">
      <c r="A176" s="151" t="s">
        <v>436</v>
      </c>
      <c r="B176" s="143" t="s">
        <v>28</v>
      </c>
      <c r="C176" s="280" t="str">
        <f t="shared" si="64"/>
        <v>England ICS - Dorset</v>
      </c>
      <c r="D176" s="109">
        <f t="shared" si="65"/>
        <v>309517</v>
      </c>
      <c r="E176" s="109">
        <f t="shared" si="66"/>
        <v>323213</v>
      </c>
      <c r="F176" s="144">
        <f t="shared" si="67"/>
        <v>776780</v>
      </c>
      <c r="G176" s="70">
        <f t="shared" si="68"/>
        <v>383364</v>
      </c>
      <c r="H176" s="71">
        <f t="shared" si="69"/>
        <v>393416</v>
      </c>
      <c r="I176" s="70">
        <f t="shared" si="70"/>
        <v>309517</v>
      </c>
      <c r="J176" s="146">
        <f t="shared" si="71"/>
        <v>323213</v>
      </c>
      <c r="K176" s="148">
        <f t="shared" si="72"/>
        <v>73847</v>
      </c>
      <c r="L176" s="69">
        <f t="shared" si="73"/>
        <v>70203</v>
      </c>
      <c r="M176" s="148">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8">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5">
      <c r="A177" s="151" t="s">
        <v>436</v>
      </c>
      <c r="B177" s="143" t="s">
        <v>714</v>
      </c>
      <c r="C177" s="280" t="str">
        <f t="shared" si="64"/>
        <v>England ICS - Frimley</v>
      </c>
      <c r="D177" s="109">
        <f t="shared" si="65"/>
        <v>280610</v>
      </c>
      <c r="E177" s="109">
        <f t="shared" si="66"/>
        <v>289515</v>
      </c>
      <c r="F177" s="144">
        <f t="shared" si="67"/>
        <v>746739</v>
      </c>
      <c r="G177" s="70">
        <f t="shared" si="68"/>
        <v>371630</v>
      </c>
      <c r="H177" s="71">
        <f t="shared" si="69"/>
        <v>375109</v>
      </c>
      <c r="I177" s="70">
        <f t="shared" si="70"/>
        <v>280610</v>
      </c>
      <c r="J177" s="146">
        <f t="shared" si="71"/>
        <v>289515</v>
      </c>
      <c r="K177" s="148">
        <f t="shared" si="72"/>
        <v>91020</v>
      </c>
      <c r="L177" s="69">
        <f t="shared" si="73"/>
        <v>85594</v>
      </c>
      <c r="M177" s="148">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8">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5">
      <c r="A178" s="151" t="s">
        <v>436</v>
      </c>
      <c r="B178" s="143" t="s">
        <v>715</v>
      </c>
      <c r="C178" s="280" t="str">
        <f t="shared" si="64"/>
        <v>England ICS - Gloucestershire</v>
      </c>
      <c r="D178" s="109">
        <f t="shared" si="65"/>
        <v>248138</v>
      </c>
      <c r="E178" s="109">
        <f t="shared" si="66"/>
        <v>262950</v>
      </c>
      <c r="F178" s="144">
        <f t="shared" si="67"/>
        <v>640650</v>
      </c>
      <c r="G178" s="70">
        <f t="shared" si="68"/>
        <v>314175</v>
      </c>
      <c r="H178" s="71">
        <f t="shared" si="69"/>
        <v>326475</v>
      </c>
      <c r="I178" s="70">
        <f t="shared" si="70"/>
        <v>248138</v>
      </c>
      <c r="J178" s="146">
        <f t="shared" si="71"/>
        <v>262950</v>
      </c>
      <c r="K178" s="148">
        <f t="shared" si="72"/>
        <v>66037</v>
      </c>
      <c r="L178" s="69">
        <f t="shared" si="73"/>
        <v>63525</v>
      </c>
      <c r="M178" s="148">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8">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5">
      <c r="A179" s="151" t="s">
        <v>436</v>
      </c>
      <c r="B179" s="143" t="s">
        <v>716</v>
      </c>
      <c r="C179" s="280" t="str">
        <f t="shared" si="64"/>
        <v xml:space="preserve">England ICS - Greater Manchester </v>
      </c>
      <c r="D179" s="109">
        <f t="shared" si="65"/>
        <v>1098593</v>
      </c>
      <c r="E179" s="109">
        <f t="shared" si="66"/>
        <v>1128011</v>
      </c>
      <c r="F179" s="144">
        <f t="shared" si="67"/>
        <v>2881890</v>
      </c>
      <c r="G179" s="70">
        <f t="shared" si="68"/>
        <v>1434728</v>
      </c>
      <c r="H179" s="71">
        <f t="shared" si="69"/>
        <v>1447162</v>
      </c>
      <c r="I179" s="70">
        <f t="shared" si="70"/>
        <v>1098593</v>
      </c>
      <c r="J179" s="146">
        <f t="shared" si="71"/>
        <v>1128011</v>
      </c>
      <c r="K179" s="148">
        <f t="shared" si="72"/>
        <v>336135</v>
      </c>
      <c r="L179" s="69">
        <f t="shared" si="73"/>
        <v>319151</v>
      </c>
      <c r="M179" s="148">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8">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5">
      <c r="A180" s="151" t="s">
        <v>436</v>
      </c>
      <c r="B180" s="143" t="s">
        <v>717</v>
      </c>
      <c r="C180" s="280" t="str">
        <f t="shared" si="64"/>
        <v>England ICS - Hampshire and the Isle of Wight</v>
      </c>
      <c r="D180" s="109">
        <f t="shared" si="65"/>
        <v>715426</v>
      </c>
      <c r="E180" s="109">
        <f t="shared" si="66"/>
        <v>747588</v>
      </c>
      <c r="F180" s="144">
        <f t="shared" si="67"/>
        <v>1831473</v>
      </c>
      <c r="G180" s="70">
        <f t="shared" si="68"/>
        <v>904764</v>
      </c>
      <c r="H180" s="71">
        <f t="shared" si="69"/>
        <v>926709</v>
      </c>
      <c r="I180" s="70">
        <f t="shared" si="70"/>
        <v>715426</v>
      </c>
      <c r="J180" s="146">
        <f t="shared" si="71"/>
        <v>747588</v>
      </c>
      <c r="K180" s="148">
        <f t="shared" si="72"/>
        <v>189338</v>
      </c>
      <c r="L180" s="69">
        <f t="shared" si="73"/>
        <v>179121</v>
      </c>
      <c r="M180" s="148">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8">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5">
      <c r="A181" s="151" t="s">
        <v>436</v>
      </c>
      <c r="B181" s="143" t="s">
        <v>718</v>
      </c>
      <c r="C181" s="280" t="str">
        <f t="shared" si="64"/>
        <v>England ICS - Hertfordshire and West Essex</v>
      </c>
      <c r="D181" s="109">
        <f t="shared" si="65"/>
        <v>552598</v>
      </c>
      <c r="E181" s="109">
        <f t="shared" si="66"/>
        <v>594357</v>
      </c>
      <c r="F181" s="144">
        <f t="shared" si="67"/>
        <v>1488061</v>
      </c>
      <c r="G181" s="70">
        <f t="shared" si="68"/>
        <v>727451</v>
      </c>
      <c r="H181" s="71">
        <f t="shared" si="69"/>
        <v>760610</v>
      </c>
      <c r="I181" s="70">
        <f t="shared" si="70"/>
        <v>552598</v>
      </c>
      <c r="J181" s="146">
        <f t="shared" si="71"/>
        <v>594357</v>
      </c>
      <c r="K181" s="148">
        <f t="shared" si="72"/>
        <v>174853</v>
      </c>
      <c r="L181" s="69">
        <f t="shared" si="73"/>
        <v>166253</v>
      </c>
      <c r="M181" s="148">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8">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5">
      <c r="A182" s="151" t="s">
        <v>436</v>
      </c>
      <c r="B182" s="143" t="s">
        <v>719</v>
      </c>
      <c r="C182" s="280" t="str">
        <f t="shared" si="64"/>
        <v>England ICS - Hertfordshire and Worcestershire</v>
      </c>
      <c r="D182" s="109">
        <f t="shared" si="65"/>
        <v>309932</v>
      </c>
      <c r="E182" s="109">
        <f t="shared" si="66"/>
        <v>326371</v>
      </c>
      <c r="F182" s="144">
        <f t="shared" si="67"/>
        <v>791685</v>
      </c>
      <c r="G182" s="70">
        <f t="shared" si="68"/>
        <v>389585</v>
      </c>
      <c r="H182" s="71">
        <f t="shared" si="69"/>
        <v>402100</v>
      </c>
      <c r="I182" s="70">
        <f t="shared" si="70"/>
        <v>309932</v>
      </c>
      <c r="J182" s="146">
        <f t="shared" si="71"/>
        <v>326371</v>
      </c>
      <c r="K182" s="148">
        <f t="shared" si="72"/>
        <v>79653</v>
      </c>
      <c r="L182" s="69">
        <f t="shared" si="73"/>
        <v>75729</v>
      </c>
      <c r="M182" s="148">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8">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5">
      <c r="A183" s="151" t="s">
        <v>436</v>
      </c>
      <c r="B183" s="143" t="s">
        <v>720</v>
      </c>
      <c r="C183" s="280" t="str">
        <f t="shared" si="64"/>
        <v>England ICS - Humber, Coast and Vale</v>
      </c>
      <c r="D183" s="109">
        <f t="shared" si="65"/>
        <v>671757</v>
      </c>
      <c r="E183" s="109">
        <f t="shared" si="66"/>
        <v>701707</v>
      </c>
      <c r="F183" s="144">
        <f t="shared" si="67"/>
        <v>1708723</v>
      </c>
      <c r="G183" s="70">
        <f t="shared" si="68"/>
        <v>843891</v>
      </c>
      <c r="H183" s="71">
        <f t="shared" si="69"/>
        <v>864832</v>
      </c>
      <c r="I183" s="70">
        <f t="shared" si="70"/>
        <v>671757</v>
      </c>
      <c r="J183" s="146">
        <f t="shared" si="71"/>
        <v>701707</v>
      </c>
      <c r="K183" s="148">
        <f t="shared" si="72"/>
        <v>172134</v>
      </c>
      <c r="L183" s="69">
        <f t="shared" si="73"/>
        <v>163125</v>
      </c>
      <c r="M183" s="148">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8">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5">
      <c r="A184" s="151" t="s">
        <v>436</v>
      </c>
      <c r="B184" s="143" t="s">
        <v>721</v>
      </c>
      <c r="C184" s="280" t="str">
        <f t="shared" si="64"/>
        <v>England ICS - Kent and Medway</v>
      </c>
      <c r="D184" s="109">
        <f t="shared" si="65"/>
        <v>706308</v>
      </c>
      <c r="E184" s="109">
        <f t="shared" si="66"/>
        <v>749879</v>
      </c>
      <c r="F184" s="144">
        <f t="shared" si="67"/>
        <v>1868199</v>
      </c>
      <c r="G184" s="70">
        <f t="shared" si="68"/>
        <v>918033</v>
      </c>
      <c r="H184" s="71">
        <f t="shared" si="69"/>
        <v>950166</v>
      </c>
      <c r="I184" s="70">
        <f t="shared" si="70"/>
        <v>706308</v>
      </c>
      <c r="J184" s="146">
        <f t="shared" si="71"/>
        <v>749879</v>
      </c>
      <c r="K184" s="148">
        <f t="shared" si="72"/>
        <v>211725</v>
      </c>
      <c r="L184" s="69">
        <f t="shared" si="73"/>
        <v>200287</v>
      </c>
      <c r="M184" s="148">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8">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5">
      <c r="A185" s="151" t="s">
        <v>436</v>
      </c>
      <c r="B185" s="143" t="s">
        <v>722</v>
      </c>
      <c r="C185" s="280" t="str">
        <f t="shared" si="64"/>
        <v>England ICS - Lancashire and South Cumbria</v>
      </c>
      <c r="D185" s="109">
        <f t="shared" si="65"/>
        <v>659847</v>
      </c>
      <c r="E185" s="109">
        <f t="shared" si="66"/>
        <v>687755</v>
      </c>
      <c r="F185" s="144">
        <f t="shared" si="67"/>
        <v>1701655</v>
      </c>
      <c r="G185" s="70">
        <f t="shared" si="68"/>
        <v>841367</v>
      </c>
      <c r="H185" s="71">
        <f t="shared" si="69"/>
        <v>860288</v>
      </c>
      <c r="I185" s="70">
        <f t="shared" si="70"/>
        <v>659847</v>
      </c>
      <c r="J185" s="146">
        <f t="shared" si="71"/>
        <v>687755</v>
      </c>
      <c r="K185" s="148">
        <f t="shared" si="72"/>
        <v>181520</v>
      </c>
      <c r="L185" s="69">
        <f t="shared" si="73"/>
        <v>172533</v>
      </c>
      <c r="M185" s="148">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8">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5">
      <c r="A186" s="151" t="s">
        <v>436</v>
      </c>
      <c r="B186" s="143" t="s">
        <v>723</v>
      </c>
      <c r="C186" s="280" t="str">
        <f t="shared" si="64"/>
        <v>England ICS - Leicester, Leicestershire and Rutland</v>
      </c>
      <c r="D186" s="109">
        <f t="shared" si="65"/>
        <v>430266</v>
      </c>
      <c r="E186" s="109">
        <f t="shared" si="66"/>
        <v>442069</v>
      </c>
      <c r="F186" s="144">
        <f t="shared" si="67"/>
        <v>1107597</v>
      </c>
      <c r="G186" s="70">
        <f t="shared" si="68"/>
        <v>551149</v>
      </c>
      <c r="H186" s="71">
        <f t="shared" si="69"/>
        <v>556448</v>
      </c>
      <c r="I186" s="70">
        <f t="shared" si="70"/>
        <v>430266</v>
      </c>
      <c r="J186" s="146">
        <f t="shared" si="71"/>
        <v>442069</v>
      </c>
      <c r="K186" s="148">
        <f t="shared" si="72"/>
        <v>120883</v>
      </c>
      <c r="L186" s="69">
        <f t="shared" si="73"/>
        <v>114379</v>
      </c>
      <c r="M186" s="148">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8">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5">
      <c r="A187" s="151" t="s">
        <v>436</v>
      </c>
      <c r="B187" s="143" t="s">
        <v>724</v>
      </c>
      <c r="C187" s="280" t="str">
        <f t="shared" si="64"/>
        <v>England ICS - Lincolnshire</v>
      </c>
      <c r="D187" s="109">
        <f t="shared" si="65"/>
        <v>300527</v>
      </c>
      <c r="E187" s="109">
        <f t="shared" si="66"/>
        <v>318474</v>
      </c>
      <c r="F187" s="144">
        <f t="shared" si="67"/>
        <v>766333</v>
      </c>
      <c r="G187" s="70">
        <f t="shared" si="68"/>
        <v>375699</v>
      </c>
      <c r="H187" s="71">
        <f t="shared" si="69"/>
        <v>390634</v>
      </c>
      <c r="I187" s="70">
        <f t="shared" si="70"/>
        <v>300527</v>
      </c>
      <c r="J187" s="146">
        <f t="shared" si="71"/>
        <v>318474</v>
      </c>
      <c r="K187" s="148">
        <f t="shared" si="72"/>
        <v>75172</v>
      </c>
      <c r="L187" s="69">
        <f t="shared" si="73"/>
        <v>72160</v>
      </c>
      <c r="M187" s="148">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8">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5">
      <c r="A188" s="151" t="s">
        <v>436</v>
      </c>
      <c r="B188" s="143" t="s">
        <v>725</v>
      </c>
      <c r="C188" s="280" t="str">
        <f t="shared" si="64"/>
        <v xml:space="preserve">England ICS - Mid and South Essex </v>
      </c>
      <c r="D188" s="109">
        <f t="shared" si="65"/>
        <v>452188</v>
      </c>
      <c r="E188" s="109">
        <f t="shared" si="66"/>
        <v>483661</v>
      </c>
      <c r="F188" s="144">
        <f t="shared" si="67"/>
        <v>1199296</v>
      </c>
      <c r="G188" s="70">
        <f t="shared" si="68"/>
        <v>587395</v>
      </c>
      <c r="H188" s="71">
        <f t="shared" si="69"/>
        <v>611901</v>
      </c>
      <c r="I188" s="70">
        <f t="shared" si="70"/>
        <v>452188</v>
      </c>
      <c r="J188" s="146">
        <f t="shared" si="71"/>
        <v>483661</v>
      </c>
      <c r="K188" s="148">
        <f t="shared" si="72"/>
        <v>135207</v>
      </c>
      <c r="L188" s="69">
        <f t="shared" si="73"/>
        <v>128240</v>
      </c>
      <c r="M188" s="148">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8">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5">
      <c r="A189" s="151" t="s">
        <v>436</v>
      </c>
      <c r="B189" s="143" t="s">
        <v>726</v>
      </c>
      <c r="C189" s="280" t="str">
        <f t="shared" si="64"/>
        <v>England ICS - Norfolk and Waveney</v>
      </c>
      <c r="D189" s="109">
        <f t="shared" si="65"/>
        <v>406639</v>
      </c>
      <c r="E189" s="109">
        <f t="shared" si="66"/>
        <v>431328</v>
      </c>
      <c r="F189" s="144">
        <f t="shared" si="67"/>
        <v>1032661</v>
      </c>
      <c r="G189" s="70">
        <f t="shared" si="68"/>
        <v>506595</v>
      </c>
      <c r="H189" s="71">
        <f t="shared" si="69"/>
        <v>526066</v>
      </c>
      <c r="I189" s="70">
        <f t="shared" si="70"/>
        <v>406639</v>
      </c>
      <c r="J189" s="146">
        <f t="shared" si="71"/>
        <v>431328</v>
      </c>
      <c r="K189" s="148">
        <f t="shared" si="72"/>
        <v>99956</v>
      </c>
      <c r="L189" s="69">
        <f t="shared" si="73"/>
        <v>94738</v>
      </c>
      <c r="M189" s="148">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8">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5">
      <c r="A190" s="151" t="s">
        <v>436</v>
      </c>
      <c r="B190" s="143" t="s">
        <v>651</v>
      </c>
      <c r="C190" s="280" t="str">
        <f t="shared" si="64"/>
        <v xml:space="preserve">England ICS - North Central London </v>
      </c>
      <c r="D190" s="109">
        <f t="shared" si="65"/>
        <v>593891</v>
      </c>
      <c r="E190" s="109">
        <f t="shared" si="66"/>
        <v>596826</v>
      </c>
      <c r="F190" s="144">
        <f t="shared" si="67"/>
        <v>1526582</v>
      </c>
      <c r="G190" s="70">
        <f t="shared" si="68"/>
        <v>766256</v>
      </c>
      <c r="H190" s="71">
        <f t="shared" si="69"/>
        <v>760326</v>
      </c>
      <c r="I190" s="70">
        <f t="shared" si="70"/>
        <v>593891</v>
      </c>
      <c r="J190" s="146">
        <f t="shared" si="71"/>
        <v>596826</v>
      </c>
      <c r="K190" s="148">
        <f t="shared" si="72"/>
        <v>172365</v>
      </c>
      <c r="L190" s="69">
        <f t="shared" si="73"/>
        <v>163500</v>
      </c>
      <c r="M190" s="148">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8">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5">
      <c r="A191" s="151" t="s">
        <v>436</v>
      </c>
      <c r="B191" s="143" t="s">
        <v>727</v>
      </c>
      <c r="C191" s="280" t="str">
        <f t="shared" si="64"/>
        <v>England ICS - North East and North Cumbria</v>
      </c>
      <c r="D191" s="109">
        <f t="shared" si="65"/>
        <v>1170091</v>
      </c>
      <c r="E191" s="109">
        <f t="shared" si="66"/>
        <v>1236662</v>
      </c>
      <c r="F191" s="144">
        <f t="shared" si="67"/>
        <v>3000432</v>
      </c>
      <c r="G191" s="70">
        <f t="shared" si="68"/>
        <v>1475310</v>
      </c>
      <c r="H191" s="71">
        <f t="shared" si="69"/>
        <v>1525122</v>
      </c>
      <c r="I191" s="70">
        <f t="shared" si="70"/>
        <v>1170091</v>
      </c>
      <c r="J191" s="146">
        <f t="shared" si="71"/>
        <v>1236662</v>
      </c>
      <c r="K191" s="148">
        <f t="shared" si="72"/>
        <v>305219</v>
      </c>
      <c r="L191" s="69">
        <f t="shared" si="73"/>
        <v>288460</v>
      </c>
      <c r="M191" s="148">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8">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5">
      <c r="A192" s="151" t="s">
        <v>436</v>
      </c>
      <c r="B192" s="143" t="s">
        <v>655</v>
      </c>
      <c r="C192" s="280" t="str">
        <f t="shared" si="53"/>
        <v xml:space="preserve">England ICS - North East London </v>
      </c>
      <c r="D192" s="109">
        <f t="shared" si="55"/>
        <v>784566</v>
      </c>
      <c r="E192" s="109">
        <f t="shared" si="56"/>
        <v>758991</v>
      </c>
      <c r="F192" s="144">
        <f t="shared" si="57"/>
        <v>2036470</v>
      </c>
      <c r="G192" s="70">
        <f t="shared" si="58"/>
        <v>1037604</v>
      </c>
      <c r="H192" s="71">
        <f t="shared" si="59"/>
        <v>998866</v>
      </c>
      <c r="I192" s="70">
        <f t="shared" si="60"/>
        <v>784566</v>
      </c>
      <c r="J192" s="146">
        <f t="shared" si="61"/>
        <v>758991</v>
      </c>
      <c r="K192" s="148">
        <f t="shared" si="62"/>
        <v>253038</v>
      </c>
      <c r="L192" s="69">
        <f t="shared" si="63"/>
        <v>239875</v>
      </c>
      <c r="M192" s="148">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8">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5">
      <c r="A193" s="151" t="s">
        <v>436</v>
      </c>
      <c r="B193" s="143" t="s">
        <v>700</v>
      </c>
      <c r="C193" s="280" t="str">
        <f t="shared" si="53"/>
        <v>England ICS - North West London</v>
      </c>
      <c r="D193" s="109">
        <f t="shared" si="55"/>
        <v>828249</v>
      </c>
      <c r="E193" s="109">
        <f t="shared" si="56"/>
        <v>805826</v>
      </c>
      <c r="F193" s="144">
        <f t="shared" si="57"/>
        <v>2111469</v>
      </c>
      <c r="G193" s="70">
        <f t="shared" si="58"/>
        <v>1073359</v>
      </c>
      <c r="H193" s="71">
        <f t="shared" si="59"/>
        <v>1038110</v>
      </c>
      <c r="I193" s="70">
        <f t="shared" si="60"/>
        <v>828249</v>
      </c>
      <c r="J193" s="146">
        <f t="shared" si="61"/>
        <v>805826</v>
      </c>
      <c r="K193" s="148">
        <f t="shared" si="62"/>
        <v>245110</v>
      </c>
      <c r="L193" s="69">
        <f t="shared" si="63"/>
        <v>232284</v>
      </c>
      <c r="M193" s="148">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8">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5">
      <c r="A194" s="151" t="s">
        <v>436</v>
      </c>
      <c r="B194" s="143" t="s">
        <v>375</v>
      </c>
      <c r="C194" s="280" t="str">
        <f t="shared" si="53"/>
        <v>England ICS - Northamptonshire</v>
      </c>
      <c r="D194" s="109">
        <f t="shared" si="55"/>
        <v>280031</v>
      </c>
      <c r="E194" s="109">
        <f t="shared" si="56"/>
        <v>290793</v>
      </c>
      <c r="F194" s="144">
        <f t="shared" si="57"/>
        <v>740111</v>
      </c>
      <c r="G194" s="70">
        <f t="shared" si="58"/>
        <v>366197</v>
      </c>
      <c r="H194" s="71">
        <f t="shared" si="59"/>
        <v>373914</v>
      </c>
      <c r="I194" s="70">
        <f t="shared" si="60"/>
        <v>280031</v>
      </c>
      <c r="J194" s="146">
        <f t="shared" si="61"/>
        <v>290793</v>
      </c>
      <c r="K194" s="148">
        <f t="shared" si="62"/>
        <v>86166</v>
      </c>
      <c r="L194" s="69">
        <f t="shared" si="63"/>
        <v>83121</v>
      </c>
      <c r="M194" s="148">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8">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5">
      <c r="A195" s="151" t="s">
        <v>436</v>
      </c>
      <c r="B195" s="143" t="s">
        <v>376</v>
      </c>
      <c r="C195" s="280" t="str">
        <f t="shared" si="53"/>
        <v>England ICS - Nottinghamshire</v>
      </c>
      <c r="D195" s="109">
        <f t="shared" si="55"/>
        <v>413641</v>
      </c>
      <c r="E195" s="109">
        <f t="shared" si="56"/>
        <v>424616</v>
      </c>
      <c r="F195" s="144">
        <f t="shared" si="57"/>
        <v>1052195</v>
      </c>
      <c r="G195" s="70">
        <f t="shared" si="58"/>
        <v>523505</v>
      </c>
      <c r="H195" s="71">
        <f t="shared" si="59"/>
        <v>528690</v>
      </c>
      <c r="I195" s="70">
        <f t="shared" si="60"/>
        <v>413641</v>
      </c>
      <c r="J195" s="146">
        <f t="shared" si="61"/>
        <v>424616</v>
      </c>
      <c r="K195" s="148">
        <f t="shared" si="62"/>
        <v>109864</v>
      </c>
      <c r="L195" s="69">
        <f t="shared" si="63"/>
        <v>104074</v>
      </c>
      <c r="M195" s="148">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8">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5">
      <c r="A196" s="151" t="s">
        <v>436</v>
      </c>
      <c r="B196" s="143" t="s">
        <v>380</v>
      </c>
      <c r="C196" s="280" t="str">
        <f t="shared" si="53"/>
        <v>England ICS - Shropshire and Telford and Wrekin</v>
      </c>
      <c r="D196" s="109">
        <f t="shared" si="55"/>
        <v>199279</v>
      </c>
      <c r="E196" s="109">
        <f t="shared" si="56"/>
        <v>205519</v>
      </c>
      <c r="F196" s="144">
        <f t="shared" si="57"/>
        <v>506737</v>
      </c>
      <c r="G196" s="70">
        <f t="shared" si="58"/>
        <v>251214</v>
      </c>
      <c r="H196" s="71">
        <f t="shared" si="59"/>
        <v>255523</v>
      </c>
      <c r="I196" s="70">
        <f t="shared" si="60"/>
        <v>199279</v>
      </c>
      <c r="J196" s="146">
        <f t="shared" si="61"/>
        <v>205519</v>
      </c>
      <c r="K196" s="148">
        <f t="shared" si="62"/>
        <v>51935</v>
      </c>
      <c r="L196" s="69">
        <f t="shared" si="63"/>
        <v>50004</v>
      </c>
      <c r="M196" s="148">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8">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5">
      <c r="A197" s="151" t="s">
        <v>436</v>
      </c>
      <c r="B197" s="143" t="s">
        <v>29</v>
      </c>
      <c r="C197" s="280" t="str">
        <f t="shared" si="53"/>
        <v>England ICS - Somerset</v>
      </c>
      <c r="D197" s="109">
        <f t="shared" si="55"/>
        <v>218431</v>
      </c>
      <c r="E197" s="109">
        <f t="shared" si="56"/>
        <v>234127</v>
      </c>
      <c r="F197" s="144">
        <f t="shared" si="57"/>
        <v>563851</v>
      </c>
      <c r="G197" s="70">
        <f t="shared" si="58"/>
        <v>275288</v>
      </c>
      <c r="H197" s="71">
        <f t="shared" si="59"/>
        <v>288563</v>
      </c>
      <c r="I197" s="70">
        <f t="shared" si="60"/>
        <v>218431</v>
      </c>
      <c r="J197" s="146">
        <f t="shared" si="61"/>
        <v>234127</v>
      </c>
      <c r="K197" s="148">
        <f t="shared" si="62"/>
        <v>56857</v>
      </c>
      <c r="L197" s="69">
        <f t="shared" si="63"/>
        <v>54436</v>
      </c>
      <c r="M197" s="148">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8">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5">
      <c r="A198" s="151" t="s">
        <v>436</v>
      </c>
      <c r="B198" s="143" t="s">
        <v>382</v>
      </c>
      <c r="C198" s="280" t="str">
        <f t="shared" si="53"/>
        <v>England ICS - South East London</v>
      </c>
      <c r="D198" s="109">
        <f t="shared" si="55"/>
        <v>697479</v>
      </c>
      <c r="E198" s="109">
        <f t="shared" si="56"/>
        <v>722545</v>
      </c>
      <c r="F198" s="144">
        <f t="shared" si="57"/>
        <v>1818226</v>
      </c>
      <c r="G198" s="70">
        <f t="shared" si="58"/>
        <v>901719</v>
      </c>
      <c r="H198" s="71">
        <f t="shared" si="59"/>
        <v>916507</v>
      </c>
      <c r="I198" s="70">
        <f t="shared" si="60"/>
        <v>697479</v>
      </c>
      <c r="J198" s="146">
        <f t="shared" si="61"/>
        <v>722545</v>
      </c>
      <c r="K198" s="148">
        <f t="shared" si="62"/>
        <v>204240</v>
      </c>
      <c r="L198" s="69">
        <f t="shared" si="63"/>
        <v>193962</v>
      </c>
      <c r="M198" s="148">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8">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5">
      <c r="A199" s="151" t="s">
        <v>436</v>
      </c>
      <c r="B199" s="143" t="s">
        <v>383</v>
      </c>
      <c r="C199" s="280" t="str">
        <f t="shared" si="53"/>
        <v>England ICS - South West London</v>
      </c>
      <c r="D199" s="109">
        <f t="shared" si="55"/>
        <v>560076</v>
      </c>
      <c r="E199" s="109">
        <f t="shared" si="56"/>
        <v>606444</v>
      </c>
      <c r="F199" s="144">
        <f t="shared" si="57"/>
        <v>1509741</v>
      </c>
      <c r="G199" s="70">
        <f t="shared" si="58"/>
        <v>735440</v>
      </c>
      <c r="H199" s="71">
        <f t="shared" si="59"/>
        <v>774301</v>
      </c>
      <c r="I199" s="70">
        <f t="shared" si="60"/>
        <v>560076</v>
      </c>
      <c r="J199" s="146">
        <f t="shared" si="61"/>
        <v>606444</v>
      </c>
      <c r="K199" s="148">
        <f t="shared" si="62"/>
        <v>175364</v>
      </c>
      <c r="L199" s="69">
        <f t="shared" si="63"/>
        <v>167857</v>
      </c>
      <c r="M199" s="148">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8">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5">
      <c r="A200" s="151" t="s">
        <v>436</v>
      </c>
      <c r="B200" s="143" t="s">
        <v>278</v>
      </c>
      <c r="C200" s="280" t="str">
        <f t="shared" si="53"/>
        <v>England ICS - South Yorkshire and Bassetlaw</v>
      </c>
      <c r="D200" s="109">
        <f t="shared" ref="D200:D205" si="74">I200</f>
        <v>597392</v>
      </c>
      <c r="E200" s="109">
        <f t="shared" ref="E200:E205" si="75">J200</f>
        <v>617280</v>
      </c>
      <c r="F200" s="144">
        <f t="shared" ref="F200:F205" si="76">G200+H200</f>
        <v>1533334</v>
      </c>
      <c r="G200" s="70">
        <f t="shared" ref="G200:G205" si="77">SUM(M200:CY200)</f>
        <v>760543</v>
      </c>
      <c r="H200" s="71">
        <f t="shared" ref="H200:H205" si="78">SUM(CZ200:GL200)</f>
        <v>772791</v>
      </c>
      <c r="I200" s="70">
        <f t="shared" ref="I200:I205" si="79">SUM(AE200:CY200)</f>
        <v>597392</v>
      </c>
      <c r="J200" s="146">
        <f t="shared" ref="J200:J205" si="80">SUM(DR200:GL200)</f>
        <v>617280</v>
      </c>
      <c r="K200" s="148">
        <f t="shared" ref="K200:K205" si="81">SUM(M200:AD200)</f>
        <v>163151</v>
      </c>
      <c r="L200" s="69">
        <f t="shared" ref="L200:L205" si="82">SUM(CZ200:DQ200)</f>
        <v>155511</v>
      </c>
      <c r="M200" s="148">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8">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5">
      <c r="A201" s="151" t="s">
        <v>436</v>
      </c>
      <c r="B201" s="143" t="s">
        <v>701</v>
      </c>
      <c r="C201" s="280" t="str">
        <f t="shared" si="53"/>
        <v>England ICS - Staffodshire and Stoke-on-Trent</v>
      </c>
      <c r="D201" s="109">
        <f t="shared" si="74"/>
        <v>450150</v>
      </c>
      <c r="E201" s="109">
        <f t="shared" si="75"/>
        <v>460064</v>
      </c>
      <c r="F201" s="144">
        <f t="shared" si="76"/>
        <v>1139794</v>
      </c>
      <c r="G201" s="70">
        <f t="shared" si="77"/>
        <v>568006</v>
      </c>
      <c r="H201" s="71">
        <f t="shared" si="78"/>
        <v>571788</v>
      </c>
      <c r="I201" s="70">
        <f t="shared" si="79"/>
        <v>450150</v>
      </c>
      <c r="J201" s="146">
        <f t="shared" si="80"/>
        <v>460064</v>
      </c>
      <c r="K201" s="148">
        <f t="shared" si="81"/>
        <v>117856</v>
      </c>
      <c r="L201" s="69">
        <f t="shared" si="82"/>
        <v>111724</v>
      </c>
      <c r="M201" s="148">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8">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5">
      <c r="A202" s="151" t="s">
        <v>436</v>
      </c>
      <c r="B202" s="143" t="s">
        <v>381</v>
      </c>
      <c r="C202" s="280" t="str">
        <f t="shared" si="53"/>
        <v>England ICS - Suffolk and North East Essex</v>
      </c>
      <c r="D202" s="109">
        <f t="shared" si="74"/>
        <v>385963</v>
      </c>
      <c r="E202" s="109">
        <f t="shared" si="75"/>
        <v>402853</v>
      </c>
      <c r="F202" s="144">
        <f t="shared" si="76"/>
        <v>987177</v>
      </c>
      <c r="G202" s="70">
        <f t="shared" si="77"/>
        <v>487631</v>
      </c>
      <c r="H202" s="71">
        <f t="shared" si="78"/>
        <v>499546</v>
      </c>
      <c r="I202" s="70">
        <f t="shared" si="79"/>
        <v>385963</v>
      </c>
      <c r="J202" s="146">
        <f t="shared" si="80"/>
        <v>402853</v>
      </c>
      <c r="K202" s="148">
        <f t="shared" si="81"/>
        <v>101668</v>
      </c>
      <c r="L202" s="69">
        <f t="shared" si="82"/>
        <v>96693</v>
      </c>
      <c r="M202" s="148">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8">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5">
      <c r="A203" s="151" t="s">
        <v>436</v>
      </c>
      <c r="B203" s="143" t="s">
        <v>463</v>
      </c>
      <c r="C203" s="280" t="str">
        <f t="shared" si="53"/>
        <v>England ICS - Surrey Heartlands</v>
      </c>
      <c r="D203" s="109">
        <f t="shared" si="74"/>
        <v>396737</v>
      </c>
      <c r="E203" s="109">
        <f t="shared" si="75"/>
        <v>421113</v>
      </c>
      <c r="F203" s="144">
        <f t="shared" si="76"/>
        <v>1052425</v>
      </c>
      <c r="G203" s="70">
        <f t="shared" si="77"/>
        <v>516937</v>
      </c>
      <c r="H203" s="71">
        <f t="shared" si="78"/>
        <v>535488</v>
      </c>
      <c r="I203" s="70">
        <f t="shared" si="79"/>
        <v>396737</v>
      </c>
      <c r="J203" s="146">
        <f t="shared" si="80"/>
        <v>421113</v>
      </c>
      <c r="K203" s="148">
        <f t="shared" si="81"/>
        <v>120200</v>
      </c>
      <c r="L203" s="69">
        <f t="shared" si="82"/>
        <v>114375</v>
      </c>
      <c r="M203" s="148">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8">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5">
      <c r="A204" s="151" t="s">
        <v>436</v>
      </c>
      <c r="B204" s="143" t="s">
        <v>702</v>
      </c>
      <c r="C204" s="280" t="str">
        <f t="shared" si="53"/>
        <v>England ICS - Sussex and Health Care Partnership</v>
      </c>
      <c r="D204" s="109">
        <f t="shared" si="74"/>
        <v>664808</v>
      </c>
      <c r="E204" s="109">
        <f t="shared" si="75"/>
        <v>714065</v>
      </c>
      <c r="F204" s="144">
        <f t="shared" si="76"/>
        <v>1711539</v>
      </c>
      <c r="G204" s="70">
        <f t="shared" si="77"/>
        <v>836321</v>
      </c>
      <c r="H204" s="71">
        <f t="shared" si="78"/>
        <v>875218</v>
      </c>
      <c r="I204" s="70">
        <f t="shared" si="79"/>
        <v>664808</v>
      </c>
      <c r="J204" s="146">
        <f t="shared" si="80"/>
        <v>714065</v>
      </c>
      <c r="K204" s="148">
        <f t="shared" si="81"/>
        <v>171513</v>
      </c>
      <c r="L204" s="69">
        <f t="shared" si="82"/>
        <v>161153</v>
      </c>
      <c r="M204" s="148">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8">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5">
      <c r="A205" s="151" t="s">
        <v>436</v>
      </c>
      <c r="B205" s="143" t="s">
        <v>703</v>
      </c>
      <c r="C205" s="280" t="str">
        <f t="shared" si="53"/>
        <v>England ICS - The Black Country</v>
      </c>
      <c r="D205" s="109">
        <f t="shared" si="74"/>
        <v>516421</v>
      </c>
      <c r="E205" s="109">
        <f t="shared" si="75"/>
        <v>533261</v>
      </c>
      <c r="F205" s="144">
        <f t="shared" si="76"/>
        <v>1380809</v>
      </c>
      <c r="G205" s="70">
        <f t="shared" si="77"/>
        <v>686215</v>
      </c>
      <c r="H205" s="71">
        <f t="shared" si="78"/>
        <v>694594</v>
      </c>
      <c r="I205" s="70">
        <f t="shared" si="79"/>
        <v>516421</v>
      </c>
      <c r="J205" s="146">
        <f t="shared" si="80"/>
        <v>533261</v>
      </c>
      <c r="K205" s="148">
        <f t="shared" si="81"/>
        <v>169794</v>
      </c>
      <c r="L205" s="69">
        <f t="shared" si="82"/>
        <v>161333</v>
      </c>
      <c r="M205" s="148">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8">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5">
      <c r="A206" s="151" t="s">
        <v>436</v>
      </c>
      <c r="B206" s="143" t="s">
        <v>704</v>
      </c>
      <c r="C206" s="280" t="str">
        <f t="shared" si="53"/>
        <v>England ICS - West Yorkshire and Harrogate</v>
      </c>
      <c r="D206" s="109">
        <f>I206</f>
        <v>902561</v>
      </c>
      <c r="E206" s="109">
        <f>J206</f>
        <v>950660</v>
      </c>
      <c r="F206" s="144">
        <f>G206+H206</f>
        <v>2396517</v>
      </c>
      <c r="G206" s="70">
        <f>SUM(M206:CY206)</f>
        <v>1179839</v>
      </c>
      <c r="H206" s="71">
        <f>SUM(CZ206:GL206)</f>
        <v>1216678</v>
      </c>
      <c r="I206" s="70">
        <f>SUM(AE206:CY206)</f>
        <v>902561</v>
      </c>
      <c r="J206" s="146">
        <f>SUM(DR206:GL206)</f>
        <v>950660</v>
      </c>
      <c r="K206" s="148">
        <f>SUM(M206:AD206)</f>
        <v>277278</v>
      </c>
      <c r="L206" s="69">
        <f>SUM(CZ206:DQ206)</f>
        <v>266018</v>
      </c>
      <c r="M206" s="148">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8">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9" customFormat="1" x14ac:dyDescent="0.25">
      <c r="A207" s="165"/>
      <c r="B207" s="155"/>
      <c r="C207" s="166"/>
      <c r="D207" s="277">
        <f t="shared" ref="D207:L207" si="83">SUM(D165:D206)</f>
        <v>21779298</v>
      </c>
      <c r="E207" s="277">
        <f t="shared" si="83"/>
        <v>22677552</v>
      </c>
      <c r="F207" s="277">
        <f t="shared" si="83"/>
        <v>56550138</v>
      </c>
      <c r="G207" s="277">
        <f t="shared" si="83"/>
        <v>27982818</v>
      </c>
      <c r="H207" s="277">
        <f t="shared" si="83"/>
        <v>28567320</v>
      </c>
      <c r="I207" s="277">
        <f t="shared" si="83"/>
        <v>21779298</v>
      </c>
      <c r="J207" s="277">
        <f t="shared" si="83"/>
        <v>22677552</v>
      </c>
      <c r="K207" s="277">
        <f t="shared" si="83"/>
        <v>6203520</v>
      </c>
      <c r="L207" s="277">
        <f t="shared" si="83"/>
        <v>5889768</v>
      </c>
      <c r="M207" s="277"/>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78"/>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5">
      <c r="A208" s="94" t="s">
        <v>442</v>
      </c>
      <c r="B208" s="2" t="s">
        <v>251</v>
      </c>
      <c r="C208" s="92"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5">
      <c r="A209" s="49" t="s">
        <v>442</v>
      </c>
      <c r="B209" s="2" t="s">
        <v>102</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5">
      <c r="A210" s="49" t="s">
        <v>442</v>
      </c>
      <c r="B210" s="2" t="s">
        <v>108</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5">
      <c r="A211" s="49" t="s">
        <v>442</v>
      </c>
      <c r="B211" s="2" t="s">
        <v>252</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5">
      <c r="A212" s="49" t="s">
        <v>442</v>
      </c>
      <c r="B212" s="2" t="s">
        <v>214</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5">
      <c r="A213" s="49" t="s">
        <v>442</v>
      </c>
      <c r="B213" s="2" t="s">
        <v>161</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5">
      <c r="A214" s="49" t="s">
        <v>442</v>
      </c>
      <c r="B214" s="2" t="s">
        <v>235</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5">
      <c r="A215" s="49" t="s">
        <v>442</v>
      </c>
      <c r="B215" s="2" t="s">
        <v>31</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5">
      <c r="A216" s="49" t="s">
        <v>442</v>
      </c>
      <c r="B216" s="2" t="s">
        <v>32</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5">
      <c r="A217" s="49" t="s">
        <v>442</v>
      </c>
      <c r="B217" s="2" t="s">
        <v>76</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5">
      <c r="A218" s="49" t="s">
        <v>442</v>
      </c>
      <c r="B218" s="2" t="s">
        <v>103</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5">
      <c r="A219" s="49" t="s">
        <v>442</v>
      </c>
      <c r="B219" s="2" t="s">
        <v>126</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5">
      <c r="A220" s="49" t="s">
        <v>442</v>
      </c>
      <c r="B220" s="2" t="s">
        <v>143</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5">
      <c r="A221" s="49" t="s">
        <v>442</v>
      </c>
      <c r="B221" s="2" t="s">
        <v>215</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5">
      <c r="A222" s="49" t="s">
        <v>442</v>
      </c>
      <c r="B222" s="2" t="s">
        <v>296</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5">
      <c r="A223" s="49" t="s">
        <v>442</v>
      </c>
      <c r="B223" s="2" t="s">
        <v>322</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5">
      <c r="A224" s="49" t="s">
        <v>442</v>
      </c>
      <c r="B224" s="2" t="s">
        <v>33</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5">
      <c r="A225" s="49" t="s">
        <v>442</v>
      </c>
      <c r="B225" s="2" t="s">
        <v>85</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5">
      <c r="A226" s="49" t="s">
        <v>442</v>
      </c>
      <c r="B226" s="2" t="s">
        <v>181</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5">
      <c r="A227" s="49" t="s">
        <v>442</v>
      </c>
      <c r="B227" s="2" t="s">
        <v>285</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5">
      <c r="A228" s="49" t="s">
        <v>442</v>
      </c>
      <c r="B228" s="2" t="s">
        <v>286</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5">
      <c r="A229" s="49" t="s">
        <v>442</v>
      </c>
      <c r="B229" s="2" t="s">
        <v>109</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5">
      <c r="A230" s="49" t="s">
        <v>442</v>
      </c>
      <c r="B230" s="2" t="s">
        <v>62</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5">
      <c r="A231" s="49" t="s">
        <v>442</v>
      </c>
      <c r="B231" s="2" t="s">
        <v>188</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5">
      <c r="A232" s="49" t="s">
        <v>442</v>
      </c>
      <c r="B232" s="2" t="s">
        <v>428</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5">
      <c r="A233" s="49" t="s">
        <v>442</v>
      </c>
      <c r="B233" s="2" t="s">
        <v>326</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5">
      <c r="A234" s="49" t="s">
        <v>442</v>
      </c>
      <c r="B234" s="2" t="s">
        <v>92</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5">
      <c r="A235" s="49" t="s">
        <v>442</v>
      </c>
      <c r="B235" s="2" t="s">
        <v>127</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5">
      <c r="A236" s="49" t="s">
        <v>442</v>
      </c>
      <c r="B236" s="2" t="s">
        <v>194</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5">
      <c r="A237" s="49" t="s">
        <v>442</v>
      </c>
      <c r="B237" s="2" t="s">
        <v>34</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5">
      <c r="A238" s="49" t="s">
        <v>442</v>
      </c>
      <c r="B238" s="2" t="s">
        <v>128</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5">
      <c r="A239" s="49" t="s">
        <v>442</v>
      </c>
      <c r="B239" s="2" t="s">
        <v>327</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5">
      <c r="A240" s="49" t="s">
        <v>442</v>
      </c>
      <c r="B240" s="2" t="s">
        <v>329</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5">
      <c r="A241" s="49" t="s">
        <v>442</v>
      </c>
      <c r="B241" s="2" t="s">
        <v>195</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5">
      <c r="A242" s="49" t="s">
        <v>442</v>
      </c>
      <c r="B242" s="2" t="s">
        <v>35</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5">
      <c r="A243" s="49" t="s">
        <v>442</v>
      </c>
      <c r="B243" s="2" t="s">
        <v>257</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5">
      <c r="A244" s="49" t="s">
        <v>442</v>
      </c>
      <c r="B244" s="2" t="s">
        <v>153</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5">
      <c r="A245" s="49" t="s">
        <v>442</v>
      </c>
      <c r="B245" s="2" t="s">
        <v>216</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5">
      <c r="A246" s="49" t="s">
        <v>442</v>
      </c>
      <c r="B246" s="2" t="s">
        <v>462</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5">
      <c r="A247" s="49" t="s">
        <v>442</v>
      </c>
      <c r="B247" s="2" t="s">
        <v>170</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5">
      <c r="A248" s="49" t="s">
        <v>442</v>
      </c>
      <c r="B248" s="2" t="s">
        <v>63</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5">
      <c r="A249" s="49" t="s">
        <v>442</v>
      </c>
      <c r="B249" s="2" t="s">
        <v>93</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5">
      <c r="A250" s="49" t="s">
        <v>442</v>
      </c>
      <c r="B250" s="2" t="s">
        <v>97</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5">
      <c r="A251" s="49" t="s">
        <v>442</v>
      </c>
      <c r="B251" s="2" t="s">
        <v>36</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5">
      <c r="A252" s="49" t="s">
        <v>442</v>
      </c>
      <c r="B252" s="2" t="s">
        <v>227</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5">
      <c r="A253" s="49" t="s">
        <v>442</v>
      </c>
      <c r="B253" s="2" t="s">
        <v>162</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5">
      <c r="A254" s="49" t="s">
        <v>442</v>
      </c>
      <c r="B254" s="2" t="s">
        <v>104</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5">
      <c r="A255" s="49" t="s">
        <v>442</v>
      </c>
      <c r="B255" s="2" t="s">
        <v>129</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5">
      <c r="A256" s="49" t="s">
        <v>442</v>
      </c>
      <c r="B256" s="2" t="s">
        <v>323</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5">
      <c r="A257" s="49" t="s">
        <v>442</v>
      </c>
      <c r="B257" s="2" t="s">
        <v>182</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5">
      <c r="A258" s="49" t="s">
        <v>442</v>
      </c>
      <c r="B258" s="2" t="s">
        <v>130</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5">
      <c r="A259" s="49" t="s">
        <v>442</v>
      </c>
      <c r="B259" s="2" t="s">
        <v>137</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5">
      <c r="A260" s="49" t="s">
        <v>442</v>
      </c>
      <c r="B260" s="2" t="s">
        <v>221</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5">
      <c r="A261" s="49" t="s">
        <v>442</v>
      </c>
      <c r="B261" s="2" t="s">
        <v>312</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5">
      <c r="A262" s="49" t="s">
        <v>442</v>
      </c>
      <c r="B262" s="2" t="s">
        <v>313</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5">
      <c r="A263" s="49" t="s">
        <v>442</v>
      </c>
      <c r="B263" s="2" t="s">
        <v>110</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5">
      <c r="A264" s="49" t="s">
        <v>442</v>
      </c>
      <c r="B264" s="2" t="s">
        <v>253</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5">
      <c r="A265" s="49" t="s">
        <v>442</v>
      </c>
      <c r="B265" s="2" t="s">
        <v>171</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5">
      <c r="A266" s="49" t="s">
        <v>442</v>
      </c>
      <c r="B266" s="2" t="s">
        <v>30</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5">
      <c r="A267" s="49" t="s">
        <v>442</v>
      </c>
      <c r="B267" s="2" t="s">
        <v>131</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5">
      <c r="A268" s="49" t="s">
        <v>442</v>
      </c>
      <c r="B268" s="2" t="s">
        <v>105</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5">
      <c r="A269" s="49" t="s">
        <v>442</v>
      </c>
      <c r="B269" s="2" t="s">
        <v>201</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5">
      <c r="A270" s="49" t="s">
        <v>442</v>
      </c>
      <c r="B270" s="2" t="s">
        <v>330</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5">
      <c r="A271" s="49" t="s">
        <v>442</v>
      </c>
      <c r="B271" s="2" t="s">
        <v>138</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5">
      <c r="A272" s="49" t="s">
        <v>442</v>
      </c>
      <c r="B272" s="2" t="s">
        <v>307</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5">
      <c r="A273" s="49" t="s">
        <v>442</v>
      </c>
      <c r="B273" s="2" t="s">
        <v>86</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5">
      <c r="A274" s="49" t="s">
        <v>442</v>
      </c>
      <c r="B274" s="2" t="s">
        <v>207</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5">
      <c r="A275" s="49" t="s">
        <v>442</v>
      </c>
      <c r="B275" s="2" t="s">
        <v>254</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5">
      <c r="A276" s="49" t="s">
        <v>442</v>
      </c>
      <c r="B276" s="2" t="s">
        <v>37</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5">
      <c r="A277" s="49" t="s">
        <v>442</v>
      </c>
      <c r="B277" s="2" t="s">
        <v>154</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5">
      <c r="A278" s="49" t="s">
        <v>442</v>
      </c>
      <c r="B278" s="2" t="s">
        <v>284</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5">
      <c r="A279" s="49" t="s">
        <v>442</v>
      </c>
      <c r="B279" s="2" t="s">
        <v>163</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5">
      <c r="A280" s="49" t="s">
        <v>442</v>
      </c>
      <c r="B280" s="2" t="s">
        <v>202</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5">
      <c r="A281" s="49" t="s">
        <v>442</v>
      </c>
      <c r="B281" s="2" t="s">
        <v>315</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5">
      <c r="A282" s="49" t="s">
        <v>442</v>
      </c>
      <c r="B282" s="2" t="s">
        <v>111</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5">
      <c r="A283" s="49" t="s">
        <v>442</v>
      </c>
      <c r="B283" s="2" t="s">
        <v>77</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5">
      <c r="A284" s="49" t="s">
        <v>442</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5">
      <c r="A285" s="49" t="s">
        <v>442</v>
      </c>
      <c r="B285" s="2" t="s">
        <v>164</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5">
      <c r="A286" s="49" t="s">
        <v>442</v>
      </c>
      <c r="B286" s="2" t="s">
        <v>87</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5">
      <c r="A287" s="49" t="s">
        <v>442</v>
      </c>
      <c r="B287" s="2" t="s">
        <v>38</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5">
      <c r="A288" s="49" t="s">
        <v>442</v>
      </c>
      <c r="B288" s="2" t="s">
        <v>98</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5">
      <c r="A289" s="49" t="s">
        <v>442</v>
      </c>
      <c r="B289" s="2" t="s">
        <v>116</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5">
      <c r="A290" s="49" t="s">
        <v>442</v>
      </c>
      <c r="B290" s="2" t="s">
        <v>144</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5">
      <c r="A291" s="49" t="s">
        <v>442</v>
      </c>
      <c r="B291" s="2" t="s">
        <v>155</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5">
      <c r="A292" s="49" t="s">
        <v>442</v>
      </c>
      <c r="B292" s="2" t="s">
        <v>189</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5">
      <c r="A293" s="49" t="s">
        <v>442</v>
      </c>
      <c r="B293" s="2" t="s">
        <v>203</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5">
      <c r="A294" s="49" t="s">
        <v>442</v>
      </c>
      <c r="B294" s="2" t="s">
        <v>289</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5">
      <c r="A295" s="49" t="s">
        <v>442</v>
      </c>
      <c r="B295" s="2" t="s">
        <v>228</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5">
      <c r="A296" s="49" t="s">
        <v>442</v>
      </c>
      <c r="B296" s="2" t="s">
        <v>429</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5">
      <c r="A297" s="49" t="s">
        <v>442</v>
      </c>
      <c r="B297" s="2" t="s">
        <v>122</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5">
      <c r="A298" s="49" t="s">
        <v>442</v>
      </c>
      <c r="B298" s="2" t="s">
        <v>145</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5">
      <c r="A299" s="49" t="s">
        <v>442</v>
      </c>
      <c r="B299" s="2" t="s">
        <v>106</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5">
      <c r="A300" s="49" t="s">
        <v>442</v>
      </c>
      <c r="B300" s="2" t="s">
        <v>238</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5">
      <c r="A301" s="49" t="s">
        <v>442</v>
      </c>
      <c r="B301" s="2" t="s">
        <v>39</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5">
      <c r="A302" s="49" t="s">
        <v>442</v>
      </c>
      <c r="B302" s="2" t="s">
        <v>132</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5">
      <c r="A303" s="49" t="s">
        <v>442</v>
      </c>
      <c r="B303" s="2" t="s">
        <v>239</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5">
      <c r="A304" s="49" t="s">
        <v>442</v>
      </c>
      <c r="B304" s="2" t="s">
        <v>112</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5">
      <c r="A305" s="49" t="s">
        <v>442</v>
      </c>
      <c r="B305" s="2" t="s">
        <v>117</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5">
      <c r="A306" s="49" t="s">
        <v>442</v>
      </c>
      <c r="B306" s="2" t="s">
        <v>146</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5">
      <c r="A307" s="49" t="s">
        <v>442</v>
      </c>
      <c r="B307" s="2" t="s">
        <v>99</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5">
      <c r="A308" s="49" t="s">
        <v>442</v>
      </c>
      <c r="B308" s="2" t="s">
        <v>430</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5">
      <c r="A309" s="49" t="s">
        <v>442</v>
      </c>
      <c r="B309" s="2" t="s">
        <v>139</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5">
      <c r="A310" s="49" t="s">
        <v>442</v>
      </c>
      <c r="B310" s="2" t="s">
        <v>172</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5">
      <c r="A311" s="49" t="s">
        <v>442</v>
      </c>
      <c r="B311" s="2" t="s">
        <v>80</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5">
      <c r="A312" s="49" t="s">
        <v>442</v>
      </c>
      <c r="B312" s="2" t="s">
        <v>217</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5">
      <c r="A313" s="49" t="s">
        <v>442</v>
      </c>
      <c r="B313" s="2" t="s">
        <v>140</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5">
      <c r="A314" s="49" t="s">
        <v>442</v>
      </c>
      <c r="B314" s="2" t="s">
        <v>147</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5">
      <c r="A315" s="49" t="s">
        <v>442</v>
      </c>
      <c r="B315" s="2" t="s">
        <v>165</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5">
      <c r="A316" s="49" t="s">
        <v>442</v>
      </c>
      <c r="B316" s="2" t="s">
        <v>196</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5">
      <c r="A317" s="49" t="s">
        <v>442</v>
      </c>
      <c r="B317" s="2" t="s">
        <v>40</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5">
      <c r="A318" s="49" t="s">
        <v>442</v>
      </c>
      <c r="B318" s="2" t="s">
        <v>240</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5">
      <c r="A319" s="49" t="s">
        <v>442</v>
      </c>
      <c r="B319" s="2" t="s">
        <v>41</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5">
      <c r="A320" s="49" t="s">
        <v>442</v>
      </c>
      <c r="B320" s="2" t="s">
        <v>287</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5">
      <c r="A321" s="49" t="s">
        <v>442</v>
      </c>
      <c r="B321" s="2" t="s">
        <v>208</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5">
      <c r="A322" s="49" t="s">
        <v>442</v>
      </c>
      <c r="B322" s="2" t="s">
        <v>42</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5">
      <c r="A323" s="49" t="s">
        <v>442</v>
      </c>
      <c r="B323" s="2" t="s">
        <v>183</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5">
      <c r="A324" s="49" t="s">
        <v>442</v>
      </c>
      <c r="B324" s="2" t="s">
        <v>43</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5">
      <c r="A325" s="49" t="s">
        <v>442</v>
      </c>
      <c r="B325" s="2" t="s">
        <v>133</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5">
      <c r="A326" s="49" t="s">
        <v>442</v>
      </c>
      <c r="B326" s="2" t="s">
        <v>209</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5">
      <c r="A327" s="49" t="s">
        <v>442</v>
      </c>
      <c r="B327" s="2" t="s">
        <v>44</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5">
      <c r="A328" s="49" t="s">
        <v>442</v>
      </c>
      <c r="B328" s="2" t="s">
        <v>148</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5">
      <c r="A329" s="49" t="s">
        <v>442</v>
      </c>
      <c r="B329" s="2" t="s">
        <v>308</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5">
      <c r="A330" s="49" t="s">
        <v>442</v>
      </c>
      <c r="B330" s="2" t="s">
        <v>123</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5">
      <c r="A331" s="49" t="s">
        <v>442</v>
      </c>
      <c r="B331" s="2" t="s">
        <v>149</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5">
      <c r="A332" s="49" t="s">
        <v>442</v>
      </c>
      <c r="B332" s="2" t="s">
        <v>45</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5">
      <c r="A333" s="49" t="s">
        <v>442</v>
      </c>
      <c r="B333" s="2" t="s">
        <v>319</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5">
      <c r="A334" s="49" t="s">
        <v>442</v>
      </c>
      <c r="B334" s="2" t="s">
        <v>156</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5">
      <c r="A335" s="49" t="s">
        <v>442</v>
      </c>
      <c r="B335" s="2" t="s">
        <v>113</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5">
      <c r="A336" s="49" t="s">
        <v>442</v>
      </c>
      <c r="B336" s="2" t="s">
        <v>46</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5">
      <c r="A337" s="49" t="s">
        <v>442</v>
      </c>
      <c r="B337" s="2" t="s">
        <v>184</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5">
      <c r="A338" s="49" t="s">
        <v>442</v>
      </c>
      <c r="B338" s="2" t="s">
        <v>255</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5">
      <c r="A339" s="49" t="s">
        <v>442</v>
      </c>
      <c r="B339" s="2" t="s">
        <v>47</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5">
      <c r="A340" s="49" t="s">
        <v>442</v>
      </c>
      <c r="B340" s="2" t="s">
        <v>100</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5">
      <c r="A341" s="49" t="s">
        <v>442</v>
      </c>
      <c r="B341" s="2" t="s">
        <v>173</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5">
      <c r="A342" s="49" t="s">
        <v>442</v>
      </c>
      <c r="B342" s="2" t="s">
        <v>236</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5">
      <c r="A343" s="49" t="s">
        <v>442</v>
      </c>
      <c r="B343" s="2" t="s">
        <v>304</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5">
      <c r="A344" s="49" t="s">
        <v>442</v>
      </c>
      <c r="B344" s="2" t="s">
        <v>331</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5">
      <c r="A345" s="49" t="s">
        <v>442</v>
      </c>
      <c r="B345" s="2" t="s">
        <v>48</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5">
      <c r="A346" s="49" t="s">
        <v>442</v>
      </c>
      <c r="B346" s="2" t="s">
        <v>49</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5">
      <c r="A347" s="49" t="s">
        <v>442</v>
      </c>
      <c r="B347" s="2" t="s">
        <v>204</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5">
      <c r="A348" s="49" t="s">
        <v>442</v>
      </c>
      <c r="B348" s="2" t="s">
        <v>197</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5">
      <c r="A349" s="49" t="s">
        <v>442</v>
      </c>
      <c r="B349" s="2" t="s">
        <v>314</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5">
      <c r="A350" s="49" t="s">
        <v>442</v>
      </c>
      <c r="B350" s="2" t="s">
        <v>50</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5">
      <c r="A351" s="49" t="s">
        <v>442</v>
      </c>
      <c r="B351" s="2" t="s">
        <v>94</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5">
      <c r="A352" s="49" t="s">
        <v>442</v>
      </c>
      <c r="B352" s="2" t="s">
        <v>71</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5">
      <c r="A353" s="49" t="s">
        <v>442</v>
      </c>
      <c r="B353" s="2" t="s">
        <v>51</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5">
      <c r="A354" s="49" t="s">
        <v>442</v>
      </c>
      <c r="B354" s="2" t="s">
        <v>174</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5">
      <c r="A355" s="49" t="s">
        <v>442</v>
      </c>
      <c r="B355" s="2" t="s">
        <v>95</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5">
      <c r="A356" s="49" t="s">
        <v>442</v>
      </c>
      <c r="B356" s="2" t="s">
        <v>316</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5">
      <c r="A357" s="49" t="s">
        <v>442</v>
      </c>
      <c r="B357" s="2" t="s">
        <v>124</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5">
      <c r="A358" s="49" t="s">
        <v>442</v>
      </c>
      <c r="B358" s="2" t="s">
        <v>52</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5">
      <c r="A359" s="49" t="s">
        <v>442</v>
      </c>
      <c r="B359" s="2" t="s">
        <v>229</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5">
      <c r="A360" s="49" t="s">
        <v>442</v>
      </c>
      <c r="B360" s="2" t="s">
        <v>190</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5">
      <c r="A361" s="49" t="s">
        <v>442</v>
      </c>
      <c r="B361" s="2" t="s">
        <v>72</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5">
      <c r="A362" s="49" t="s">
        <v>442</v>
      </c>
      <c r="B362" s="2" t="s">
        <v>293</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5">
      <c r="A363" s="49" t="s">
        <v>442</v>
      </c>
      <c r="B363" s="2" t="s">
        <v>166</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5">
      <c r="A364" s="49" t="s">
        <v>442</v>
      </c>
      <c r="B364" s="2" t="s">
        <v>134</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5">
      <c r="A365" s="49" t="s">
        <v>442</v>
      </c>
      <c r="B365" s="2" t="s">
        <v>258</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5">
      <c r="A366" s="49" t="s">
        <v>442</v>
      </c>
      <c r="B366" s="2" t="s">
        <v>64</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5">
      <c r="A367" s="49" t="s">
        <v>442</v>
      </c>
      <c r="B367" s="2" t="s">
        <v>218</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5">
      <c r="A368" s="49" t="s">
        <v>442</v>
      </c>
      <c r="B368" s="2" t="s">
        <v>301</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5">
      <c r="A369" s="49" t="s">
        <v>442</v>
      </c>
      <c r="B369" s="2" t="s">
        <v>185</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5">
      <c r="A370" s="49" t="s">
        <v>442</v>
      </c>
      <c r="B370" s="2" t="s">
        <v>224</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5">
      <c r="A371" s="49" t="s">
        <v>442</v>
      </c>
      <c r="B371" s="2" t="s">
        <v>53</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5">
      <c r="A372" s="49" t="s">
        <v>442</v>
      </c>
      <c r="B372" s="2" t="s">
        <v>118</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5">
      <c r="A373" s="49" t="s">
        <v>442</v>
      </c>
      <c r="B373" s="2" t="s">
        <v>237</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5">
      <c r="A374" s="49" t="s">
        <v>442</v>
      </c>
      <c r="B374" s="2" t="s">
        <v>256</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5">
      <c r="A375" s="49" t="s">
        <v>442</v>
      </c>
      <c r="B375" s="2" t="s">
        <v>309</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5">
      <c r="A376" s="49" t="s">
        <v>442</v>
      </c>
      <c r="B376" s="2" t="s">
        <v>294</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5">
      <c r="A377" s="49" t="s">
        <v>442</v>
      </c>
      <c r="B377" s="2" t="s">
        <v>241</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5">
      <c r="A378" s="49" t="s">
        <v>442</v>
      </c>
      <c r="B378" s="2" t="s">
        <v>150</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5">
      <c r="A379" s="49" t="s">
        <v>442</v>
      </c>
      <c r="B379" s="2" t="s">
        <v>219</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5">
      <c r="A380" s="49" t="s">
        <v>442</v>
      </c>
      <c r="B380" s="2" t="s">
        <v>81</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5">
      <c r="A381" s="49" t="s">
        <v>442</v>
      </c>
      <c r="B381" s="2" t="s">
        <v>230</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5">
      <c r="A382" s="49" t="s">
        <v>442</v>
      </c>
      <c r="B382" s="2" t="s">
        <v>54</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5">
      <c r="A383" s="49" t="s">
        <v>442</v>
      </c>
      <c r="B383" s="2" t="s">
        <v>119</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5">
      <c r="A384" s="49" t="s">
        <v>442</v>
      </c>
      <c r="B384" s="2" t="s">
        <v>114</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5">
      <c r="A385" s="49" t="s">
        <v>442</v>
      </c>
      <c r="B385" s="2" t="s">
        <v>290</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5">
      <c r="A386" s="49" t="s">
        <v>442</v>
      </c>
      <c r="B386" s="2" t="s">
        <v>157</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5">
      <c r="A387" s="49" t="s">
        <v>442</v>
      </c>
      <c r="B387" s="2" t="s">
        <v>191</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5">
      <c r="A388" s="49" t="s">
        <v>442</v>
      </c>
      <c r="B388" s="2" t="s">
        <v>291</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5">
      <c r="A389" s="49" t="s">
        <v>442</v>
      </c>
      <c r="B389" s="2" t="s">
        <v>198</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5">
      <c r="A390" s="49" t="s">
        <v>442</v>
      </c>
      <c r="B390" s="2" t="s">
        <v>299</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5">
      <c r="A391" s="49" t="s">
        <v>442</v>
      </c>
      <c r="B391" s="2" t="s">
        <v>82</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5">
      <c r="A392" s="49" t="s">
        <v>442</v>
      </c>
      <c r="B392" s="2" t="s">
        <v>247</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5">
      <c r="A393" s="49" t="s">
        <v>442</v>
      </c>
      <c r="B393" s="2" t="s">
        <v>186</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5">
      <c r="A394" s="49" t="s">
        <v>442</v>
      </c>
      <c r="B394" s="2" t="s">
        <v>205</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5">
      <c r="A395" s="49" t="s">
        <v>442</v>
      </c>
      <c r="B395" s="2" t="s">
        <v>288</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5">
      <c r="A396" s="49" t="s">
        <v>442</v>
      </c>
      <c r="B396" s="2" t="s">
        <v>199</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5">
      <c r="A397" s="49" t="s">
        <v>442</v>
      </c>
      <c r="B397" s="2" t="s">
        <v>317</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5">
      <c r="A398" s="49" t="s">
        <v>442</v>
      </c>
      <c r="B398" s="2" t="s">
        <v>248</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5">
      <c r="A399" s="49" t="s">
        <v>442</v>
      </c>
      <c r="B399" s="2" t="s">
        <v>187</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5">
      <c r="A400" s="49" t="s">
        <v>442</v>
      </c>
      <c r="B400" s="2" t="s">
        <v>65</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5">
      <c r="A401" s="49" t="s">
        <v>442</v>
      </c>
      <c r="B401" s="2" t="s">
        <v>222</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5">
      <c r="A402" s="49" t="s">
        <v>442</v>
      </c>
      <c r="B402" s="2" t="s">
        <v>175</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5">
      <c r="A403" s="49" t="s">
        <v>442</v>
      </c>
      <c r="B403" s="2" t="s">
        <v>324</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5">
      <c r="A404" s="49" t="s">
        <v>442</v>
      </c>
      <c r="B404" s="2" t="s">
        <v>332</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5">
      <c r="A405" s="49" t="s">
        <v>442</v>
      </c>
      <c r="B405" s="2" t="s">
        <v>305</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5">
      <c r="A406" s="49" t="s">
        <v>442</v>
      </c>
      <c r="B406" s="2" t="s">
        <v>176</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5">
      <c r="A407" s="49" t="s">
        <v>442</v>
      </c>
      <c r="B407" s="2" t="s">
        <v>328</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5">
      <c r="A408" s="49" t="s">
        <v>442</v>
      </c>
      <c r="B408" s="2" t="s">
        <v>55</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5">
      <c r="A409" s="49" t="s">
        <v>442</v>
      </c>
      <c r="B409" s="2" t="s">
        <v>310</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5">
      <c r="A410" s="49" t="s">
        <v>442</v>
      </c>
      <c r="B410" s="2" t="s">
        <v>259</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5">
      <c r="A411" s="49" t="s">
        <v>442</v>
      </c>
      <c r="B411" s="2" t="s">
        <v>242</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5">
      <c r="A412" s="49" t="s">
        <v>442</v>
      </c>
      <c r="B412" s="2" t="s">
        <v>177</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5">
      <c r="A413" s="49" t="s">
        <v>442</v>
      </c>
      <c r="B413" s="2" t="s">
        <v>56</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5">
      <c r="A414" s="49" t="s">
        <v>442</v>
      </c>
      <c r="B414" s="2" t="s">
        <v>210</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5">
      <c r="A415" s="49" t="s">
        <v>442</v>
      </c>
      <c r="B415" s="2" t="s">
        <v>66</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5">
      <c r="A416" s="49" t="s">
        <v>442</v>
      </c>
      <c r="B416" s="2" t="s">
        <v>135</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5">
      <c r="A417" s="49" t="s">
        <v>442</v>
      </c>
      <c r="B417" s="2" t="s">
        <v>178</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5">
      <c r="A418" s="49" t="s">
        <v>442</v>
      </c>
      <c r="B418" s="2" t="s">
        <v>125</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5">
      <c r="A419" s="49" t="s">
        <v>442</v>
      </c>
      <c r="B419" s="2" t="s">
        <v>78</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5">
      <c r="A420" s="49" t="s">
        <v>442</v>
      </c>
      <c r="B420" s="2" t="s">
        <v>249</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5">
      <c r="A421" s="49" t="s">
        <v>442</v>
      </c>
      <c r="B421" s="2" t="s">
        <v>243</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5">
      <c r="A422" s="49" t="s">
        <v>442</v>
      </c>
      <c r="B422" s="2" t="s">
        <v>220</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5">
      <c r="A423" s="49" t="s">
        <v>442</v>
      </c>
      <c r="B423" s="2" t="s">
        <v>151</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5">
      <c r="A424" s="49" t="s">
        <v>442</v>
      </c>
      <c r="B424" s="2" t="s">
        <v>318</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5">
      <c r="A425" s="49" t="s">
        <v>442</v>
      </c>
      <c r="B425" s="2" t="s">
        <v>211</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5">
      <c r="A426" s="49" t="s">
        <v>442</v>
      </c>
      <c r="B426" s="2" t="s">
        <v>67</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5">
      <c r="A427" s="49" t="s">
        <v>442</v>
      </c>
      <c r="B427" s="2" t="s">
        <v>88</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5">
      <c r="A428" s="49" t="s">
        <v>442</v>
      </c>
      <c r="B428" s="2" t="s">
        <v>212</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5">
      <c r="A429" s="49" t="s">
        <v>442</v>
      </c>
      <c r="B429" s="2" t="s">
        <v>225</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5">
      <c r="A430" s="49" t="s">
        <v>442</v>
      </c>
      <c r="B430" s="2" t="s">
        <v>74</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5">
      <c r="A431" s="49" t="s">
        <v>442</v>
      </c>
      <c r="B431" s="2" t="s">
        <v>213</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5">
      <c r="A432" s="49" t="s">
        <v>442</v>
      </c>
      <c r="B432" s="2" t="s">
        <v>167</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5">
      <c r="A433" s="49" t="s">
        <v>442</v>
      </c>
      <c r="B433" s="2" t="s">
        <v>79</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5">
      <c r="A434" s="49" t="s">
        <v>442</v>
      </c>
      <c r="B434" s="2" t="s">
        <v>295</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5">
      <c r="A435" s="49" t="s">
        <v>442</v>
      </c>
      <c r="B435" s="2" t="s">
        <v>302</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5">
      <c r="A436" s="49" t="s">
        <v>442</v>
      </c>
      <c r="B436" s="2" t="s">
        <v>89</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5">
      <c r="A437" s="49" t="s">
        <v>442</v>
      </c>
      <c r="B437" s="2" t="s">
        <v>431</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5">
      <c r="A438" s="49" t="s">
        <v>442</v>
      </c>
      <c r="B438" s="2" t="s">
        <v>101</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5">
      <c r="A439" s="49" t="s">
        <v>442</v>
      </c>
      <c r="B439" s="2" t="s">
        <v>115</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5">
      <c r="A440" s="49" t="s">
        <v>442</v>
      </c>
      <c r="B440" s="2" t="s">
        <v>300</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5">
      <c r="A441" s="49" t="s">
        <v>442</v>
      </c>
      <c r="B441" s="2" t="s">
        <v>120</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5">
      <c r="A442" s="49" t="s">
        <v>442</v>
      </c>
      <c r="B442" s="2" t="s">
        <v>192</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5">
      <c r="A443" s="49" t="s">
        <v>442</v>
      </c>
      <c r="B443" s="2" t="s">
        <v>193</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5">
      <c r="A444" s="49" t="s">
        <v>442</v>
      </c>
      <c r="B444" s="2" t="s">
        <v>107</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5">
      <c r="A445" s="49" t="s">
        <v>442</v>
      </c>
      <c r="B445" s="2" t="s">
        <v>200</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5">
      <c r="A446" s="49" t="s">
        <v>442</v>
      </c>
      <c r="B446" s="2" t="s">
        <v>206</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5">
      <c r="A447" s="49" t="s">
        <v>442</v>
      </c>
      <c r="B447" s="2" t="s">
        <v>223</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5">
      <c r="A448" s="49" t="s">
        <v>442</v>
      </c>
      <c r="B448" s="2" t="s">
        <v>179</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5">
      <c r="A449" s="49" t="s">
        <v>442</v>
      </c>
      <c r="B449" s="2" t="s">
        <v>226</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5">
      <c r="A450" s="49" t="s">
        <v>442</v>
      </c>
      <c r="B450" s="2" t="s">
        <v>231</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5">
      <c r="A451" s="49" t="s">
        <v>442</v>
      </c>
      <c r="B451" s="2" t="s">
        <v>83</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5">
      <c r="A452" s="49" t="s">
        <v>442</v>
      </c>
      <c r="B452" s="2" t="s">
        <v>306</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5">
      <c r="A453" s="49" t="s">
        <v>442</v>
      </c>
      <c r="B453" s="2" t="s">
        <v>325</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5">
      <c r="A454" s="49" t="s">
        <v>442</v>
      </c>
      <c r="B454" s="2" t="s">
        <v>57</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5">
      <c r="A455" s="49" t="s">
        <v>442</v>
      </c>
      <c r="B455" s="2" t="s">
        <v>244</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5">
      <c r="A456" s="49" t="s">
        <v>442</v>
      </c>
      <c r="B456" s="2" t="s">
        <v>158</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5">
      <c r="A457" s="49" t="s">
        <v>442</v>
      </c>
      <c r="B457" s="2" t="s">
        <v>73</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5">
      <c r="A458" s="49" t="s">
        <v>442</v>
      </c>
      <c r="B458" s="2" t="s">
        <v>232</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5">
      <c r="A459" s="49" t="s">
        <v>442</v>
      </c>
      <c r="B459" s="2" t="s">
        <v>233</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5">
      <c r="A460" s="49" t="s">
        <v>442</v>
      </c>
      <c r="B460" s="2" t="s">
        <v>159</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5">
      <c r="A461" s="49" t="s">
        <v>442</v>
      </c>
      <c r="B461" s="2" t="s">
        <v>68</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5">
      <c r="A462" s="49" t="s">
        <v>442</v>
      </c>
      <c r="B462" s="2" t="s">
        <v>311</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5">
      <c r="A463" s="49" t="s">
        <v>442</v>
      </c>
      <c r="B463" s="2" t="s">
        <v>320</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5">
      <c r="A464" s="49" t="s">
        <v>442</v>
      </c>
      <c r="B464" s="2" t="s">
        <v>250</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5">
      <c r="A465" s="49" t="s">
        <v>442</v>
      </c>
      <c r="B465" s="2" t="s">
        <v>141</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5">
      <c r="A466" s="49" t="s">
        <v>442</v>
      </c>
      <c r="B466" s="2" t="s">
        <v>84</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5">
      <c r="A467" s="49" t="s">
        <v>442</v>
      </c>
      <c r="B467" s="2" t="s">
        <v>245</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5">
      <c r="A468" s="49" t="s">
        <v>442</v>
      </c>
      <c r="B468" s="2" t="s">
        <v>58</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5">
      <c r="A469" s="49" t="s">
        <v>442</v>
      </c>
      <c r="B469" s="2" t="s">
        <v>168</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5">
      <c r="A470" s="49" t="s">
        <v>442</v>
      </c>
      <c r="B470" s="2" t="s">
        <v>297</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5">
      <c r="A471" s="49" t="s">
        <v>442</v>
      </c>
      <c r="B471" s="2" t="s">
        <v>69</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5">
      <c r="A472" s="49" t="s">
        <v>442</v>
      </c>
      <c r="B472" s="2" t="s">
        <v>234</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5">
      <c r="A473" s="49" t="s">
        <v>442</v>
      </c>
      <c r="B473" s="2" t="s">
        <v>246</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5">
      <c r="A474" s="49" t="s">
        <v>442</v>
      </c>
      <c r="B474" s="2" t="s">
        <v>121</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5">
      <c r="A475" s="49" t="s">
        <v>442</v>
      </c>
      <c r="B475" s="2" t="s">
        <v>321</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5">
      <c r="A476" s="49" t="s">
        <v>442</v>
      </c>
      <c r="B476" s="2" t="s">
        <v>136</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5">
      <c r="A477" s="49" t="s">
        <v>442</v>
      </c>
      <c r="B477" s="2" t="s">
        <v>152</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5">
      <c r="A478" s="49" t="s">
        <v>442</v>
      </c>
      <c r="B478" s="2" t="s">
        <v>142</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5">
      <c r="A479" s="49" t="s">
        <v>442</v>
      </c>
      <c r="B479" s="2" t="s">
        <v>169</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5">
      <c r="A480" s="49" t="s">
        <v>442</v>
      </c>
      <c r="B480" s="2" t="s">
        <v>160</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5">
      <c r="A481" s="49" t="s">
        <v>442</v>
      </c>
      <c r="B481" s="2" t="s">
        <v>292</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5">
      <c r="A482" s="49" t="s">
        <v>442</v>
      </c>
      <c r="B482" s="2" t="s">
        <v>387</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5">
      <c r="A483" s="49" t="s">
        <v>442</v>
      </c>
      <c r="B483" s="2" t="s">
        <v>388</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5">
      <c r="A484" s="49" t="s">
        <v>442</v>
      </c>
      <c r="B484" s="2" t="s">
        <v>390</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5">
      <c r="A485" s="49" t="s">
        <v>442</v>
      </c>
      <c r="B485" s="2" t="s">
        <v>59</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5">
      <c r="A486" s="49" t="s">
        <v>442</v>
      </c>
      <c r="B486" s="2" t="s">
        <v>70</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5">
      <c r="A487" s="49" t="s">
        <v>442</v>
      </c>
      <c r="B487" s="2" t="s">
        <v>391</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5">
      <c r="A488" s="49" t="s">
        <v>442</v>
      </c>
      <c r="B488" s="2" t="s">
        <v>392</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5">
      <c r="A489" s="49" t="s">
        <v>442</v>
      </c>
      <c r="B489" s="2" t="s">
        <v>394</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5">
      <c r="A490" s="49" t="s">
        <v>442</v>
      </c>
      <c r="B490" s="2" t="s">
        <v>96</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5">
      <c r="A491" s="49" t="s">
        <v>442</v>
      </c>
      <c r="B491" s="2" t="s">
        <v>90</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5">
      <c r="A492" s="49" t="s">
        <v>442</v>
      </c>
      <c r="B492" s="2" t="s">
        <v>60</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5">
      <c r="A493" s="49" t="s">
        <v>442</v>
      </c>
      <c r="B493" s="2" t="s">
        <v>61</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5">
      <c r="A494" s="49" t="s">
        <v>442</v>
      </c>
      <c r="B494" s="2" t="s">
        <v>283</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5">
      <c r="A495" s="49" t="s">
        <v>442</v>
      </c>
      <c r="B495" s="2" t="s">
        <v>395</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5">
      <c r="A496" s="49" t="s">
        <v>442</v>
      </c>
      <c r="B496" s="2" t="s">
        <v>396</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5">
      <c r="A497" s="49" t="s">
        <v>442</v>
      </c>
      <c r="B497" s="2" t="s">
        <v>397</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5">
      <c r="A498" s="49" t="s">
        <v>442</v>
      </c>
      <c r="B498" s="2" t="s">
        <v>398</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5">
      <c r="A499" s="49" t="s">
        <v>442</v>
      </c>
      <c r="B499" s="2" t="s">
        <v>399</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5">
      <c r="A500" s="49" t="s">
        <v>442</v>
      </c>
      <c r="B500" s="2" t="s">
        <v>400</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5">
      <c r="A501" s="49" t="s">
        <v>442</v>
      </c>
      <c r="B501" s="2" t="s">
        <v>401</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5">
      <c r="A502" s="49" t="s">
        <v>442</v>
      </c>
      <c r="B502" s="2" t="s">
        <v>402</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5">
      <c r="A503" s="49" t="s">
        <v>442</v>
      </c>
      <c r="B503" s="2" t="s">
        <v>180</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5">
      <c r="A504" s="49" t="s">
        <v>442</v>
      </c>
      <c r="B504" s="2" t="s">
        <v>403</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5">
      <c r="A505" s="49" t="s">
        <v>442</v>
      </c>
      <c r="B505" s="2" t="s">
        <v>404</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5">
      <c r="A506" s="49" t="s">
        <v>442</v>
      </c>
      <c r="B506" s="2" t="s">
        <v>420</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5">
      <c r="A507" s="49" t="s">
        <v>442</v>
      </c>
      <c r="B507" s="2" t="s">
        <v>405</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5">
      <c r="A508" s="49" t="s">
        <v>442</v>
      </c>
      <c r="B508" s="2" t="s">
        <v>406</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5">
      <c r="A509" s="49" t="s">
        <v>442</v>
      </c>
      <c r="B509" s="2" t="s">
        <v>298</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5">
      <c r="A510" s="49" t="s">
        <v>442</v>
      </c>
      <c r="B510" s="2" t="s">
        <v>407</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5">
      <c r="A511" s="49" t="s">
        <v>442</v>
      </c>
      <c r="B511" s="2" t="s">
        <v>408</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5">
      <c r="A512" s="49" t="s">
        <v>442</v>
      </c>
      <c r="B512" s="2" t="s">
        <v>75</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5">
      <c r="A513" s="49" t="s">
        <v>442</v>
      </c>
      <c r="B513" s="2" t="s">
        <v>409</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5">
      <c r="A514" s="49" t="s">
        <v>442</v>
      </c>
      <c r="B514" s="2" t="s">
        <v>303</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5">
      <c r="A515" s="49" t="s">
        <v>442</v>
      </c>
      <c r="B515" s="2" t="s">
        <v>91</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5">
      <c r="A516" s="49" t="s">
        <v>442</v>
      </c>
      <c r="B516" s="2" t="s">
        <v>410</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5">
      <c r="A517" s="49" t="s">
        <v>442</v>
      </c>
      <c r="B517" s="2" t="s">
        <v>411</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5">
      <c r="A518" s="49" t="s">
        <v>442</v>
      </c>
      <c r="B518" s="2" t="s">
        <v>413</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5">
      <c r="A519" s="49" t="s">
        <v>442</v>
      </c>
      <c r="B519" s="2" t="s">
        <v>414</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5">
      <c r="A520" s="49" t="s">
        <v>442</v>
      </c>
      <c r="B520" s="2" t="s">
        <v>260</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5">
      <c r="A521" s="49" t="s">
        <v>442</v>
      </c>
      <c r="B521" s="2" t="s">
        <v>415</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9" customFormat="1" x14ac:dyDescent="0.25">
      <c r="A522" s="155"/>
      <c r="B522" s="166"/>
      <c r="C522" s="155"/>
      <c r="D522" s="158">
        <f t="shared" ref="D522:L522" si="134">SUM(D208:D521)</f>
        <v>21779298</v>
      </c>
      <c r="E522" s="158">
        <f t="shared" si="134"/>
        <v>22677552</v>
      </c>
      <c r="F522" s="158">
        <f t="shared" si="134"/>
        <v>56550138</v>
      </c>
      <c r="G522" s="158">
        <f t="shared" si="134"/>
        <v>27982818</v>
      </c>
      <c r="H522" s="158">
        <f t="shared" si="134"/>
        <v>28567320</v>
      </c>
      <c r="I522" s="158">
        <f t="shared" si="134"/>
        <v>21779298</v>
      </c>
      <c r="J522" s="158">
        <f t="shared" si="134"/>
        <v>22677552</v>
      </c>
      <c r="K522" s="158">
        <f t="shared" si="134"/>
        <v>6203520</v>
      </c>
      <c r="L522" s="158">
        <f t="shared" si="134"/>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x14ac:dyDescent="0.25">
      <c r="A523" s="49" t="s">
        <v>439</v>
      </c>
      <c r="B523" s="2" t="s">
        <v>349</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5">
      <c r="A524" s="49" t="s">
        <v>440</v>
      </c>
      <c r="B524" s="2" t="s">
        <v>344</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5">
      <c r="A525" s="49" t="s">
        <v>440</v>
      </c>
      <c r="B525" s="2" t="s">
        <v>348</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5">
      <c r="A526" s="49" t="s">
        <v>440</v>
      </c>
      <c r="B526" s="2" t="s">
        <v>345</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5">
      <c r="A527" s="49" t="s">
        <v>440</v>
      </c>
      <c r="B527" s="2" t="s">
        <v>341</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5">
      <c r="A528" s="49" t="s">
        <v>440</v>
      </c>
      <c r="B528" s="2" t="s">
        <v>339</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5">
      <c r="A529" s="49" t="s">
        <v>440</v>
      </c>
      <c r="B529" s="2" t="s">
        <v>335</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5">
      <c r="A530" s="49" t="s">
        <v>440</v>
      </c>
      <c r="B530" s="2" t="s">
        <v>336</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5">
      <c r="A531" s="49" t="s">
        <v>440</v>
      </c>
      <c r="B531" s="2" t="s">
        <v>337</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5">
      <c r="A532" s="49" t="s">
        <v>440</v>
      </c>
      <c r="B532" s="2" t="s">
        <v>334</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5">
      <c r="A533" s="49" t="s">
        <v>440</v>
      </c>
      <c r="B533" s="2" t="s">
        <v>333</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5">
      <c r="A534" s="49" t="s">
        <v>440</v>
      </c>
      <c r="B534" s="2" t="s">
        <v>347</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5">
      <c r="A535" s="49" t="s">
        <v>440</v>
      </c>
      <c r="B535" s="2" t="s">
        <v>350</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5">
      <c r="A536" s="49" t="s">
        <v>440</v>
      </c>
      <c r="B536" s="2" t="s">
        <v>343</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5">
      <c r="A537" s="49" t="s">
        <v>440</v>
      </c>
      <c r="B537" s="2" t="s">
        <v>351</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5">
      <c r="A538" s="49" t="s">
        <v>440</v>
      </c>
      <c r="B538" s="2" t="s">
        <v>340</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5">
      <c r="A539" s="49" t="s">
        <v>440</v>
      </c>
      <c r="B539" s="2" t="s">
        <v>338</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5">
      <c r="A540" s="49" t="s">
        <v>440</v>
      </c>
      <c r="B540" s="2" t="s">
        <v>346</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5">
      <c r="A541" s="49" t="s">
        <v>440</v>
      </c>
      <c r="B541" s="2" t="s">
        <v>342</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5">
      <c r="A542" s="49" t="s">
        <v>440</v>
      </c>
      <c r="B542" s="2" t="s">
        <v>389</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5">
      <c r="A543" s="49" t="s">
        <v>440</v>
      </c>
      <c r="B543" s="2" t="s">
        <v>393</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5">
      <c r="A544" s="49" t="s">
        <v>440</v>
      </c>
      <c r="B544" s="2" t="s">
        <v>412</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9" customFormat="1" x14ac:dyDescent="0.25">
      <c r="A545" s="155"/>
      <c r="B545" s="166"/>
      <c r="C545" s="155"/>
      <c r="D545" s="157">
        <f>SUM(D523:D544)</f>
        <v>1240703</v>
      </c>
      <c r="E545" s="157">
        <f t="shared" ref="E545:L545" si="146">SUM(E523:E544)</f>
        <v>1299011</v>
      </c>
      <c r="F545" s="157">
        <f t="shared" si="146"/>
        <v>3169586</v>
      </c>
      <c r="G545" s="157">
        <f t="shared" si="146"/>
        <v>1563524</v>
      </c>
      <c r="H545" s="157">
        <f t="shared" si="146"/>
        <v>1606062</v>
      </c>
      <c r="I545" s="157">
        <f t="shared" si="146"/>
        <v>1240703</v>
      </c>
      <c r="J545" s="157">
        <f t="shared" si="146"/>
        <v>1299011</v>
      </c>
      <c r="K545" s="157">
        <f t="shared" si="146"/>
        <v>322821</v>
      </c>
      <c r="L545" s="157">
        <f t="shared" si="146"/>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5">
      <c r="A546" s="49" t="s">
        <v>441</v>
      </c>
      <c r="B546" s="2" t="s">
        <v>367</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5">
      <c r="A547" s="49" t="s">
        <v>441</v>
      </c>
      <c r="B547" s="2" t="s">
        <v>384</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5">
      <c r="A548" s="49" t="s">
        <v>441</v>
      </c>
      <c r="B548" s="2" t="s">
        <v>385</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5">
      <c r="A549" s="49" t="s">
        <v>441</v>
      </c>
      <c r="B549" s="2" t="s">
        <v>368</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5">
      <c r="A550" s="49" t="s">
        <v>441</v>
      </c>
      <c r="B550" s="2" t="s">
        <v>369</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5">
      <c r="A551" s="49" t="s">
        <v>441</v>
      </c>
      <c r="B551" s="2" t="s">
        <v>386</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5">
      <c r="A552" s="49" t="s">
        <v>441</v>
      </c>
      <c r="B552" s="2" t="s">
        <v>370</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5">
      <c r="A553" s="49" t="s">
        <v>441</v>
      </c>
      <c r="B553" s="2" t="s">
        <v>371</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5">
      <c r="A554" s="49" t="s">
        <v>441</v>
      </c>
      <c r="B554" s="2" t="s">
        <v>372</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5">
      <c r="A555" s="49" t="s">
        <v>441</v>
      </c>
      <c r="B555" s="2" t="s">
        <v>373</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5">
      <c r="A556" s="49" t="s">
        <v>441</v>
      </c>
      <c r="B556" s="2" t="s">
        <v>374</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9" customFormat="1" x14ac:dyDescent="0.25">
      <c r="A557" s="155"/>
      <c r="B557" s="167"/>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5">
      <c r="D558" s="118"/>
      <c r="E558" s="118"/>
      <c r="F558" s="118"/>
      <c r="G558" s="118"/>
      <c r="H558" s="118"/>
      <c r="I558" s="118"/>
      <c r="J558" s="118"/>
      <c r="K558" s="118"/>
      <c r="L558" s="118"/>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5">
      <c r="E559" s="23"/>
      <c r="G559" s="118"/>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5">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5">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5">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5">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5">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5">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5">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5">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5">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5">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5">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5">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5">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5">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5">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5">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5">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5">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5">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5">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5">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5">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5">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5">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5">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5">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5">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5">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5">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5">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5">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5">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5">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5">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5">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5">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5">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5">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5">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5">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5">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5">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5">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5">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5">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5">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5">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5">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5">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5">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5">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5">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5">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5">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5">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5">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5">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5">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5">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5">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5">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5">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5">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5">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5">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5">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5">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5">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5">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5">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5">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5">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5">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5">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5">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5">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5">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5">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5">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5">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5">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5">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5">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5">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5">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5">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5">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5">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5">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5">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5">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5">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5">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5">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5">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5">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5">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5">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5">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5">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5">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5">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5">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5">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5">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5">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5">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5">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5">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5">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5">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5">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5">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5">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5">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5">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5">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5">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5">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5">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5">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5">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5">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5">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5">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5">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5">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5">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5">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5">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5">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5">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5">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5">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5">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5">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5">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5">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5">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5">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5">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5">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5">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5">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5">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5">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5">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5">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5">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5">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5">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5">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5">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5">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5">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5">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5">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5">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5">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5">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5">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5">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5">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5">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5">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5">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5">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5">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5">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5">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5">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5">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5">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5">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5">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5">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5">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5">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5">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5">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5">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5">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5">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5">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5">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5">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5">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5">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5">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5">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5">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5">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5">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5">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5">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5">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5">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5">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5">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5">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5">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5">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5">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5">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5">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5">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5">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5">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5">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5">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5">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5">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5">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5">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5">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5">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5">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5">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5">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5">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5">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5">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5">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5">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5">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5">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5">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5">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5">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5">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5">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5">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5">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5">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5">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5">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5">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5">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5">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5">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5">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5">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5">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5">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5">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5">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5">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5">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5">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5">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5">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5">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5">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5">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5">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5">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5">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5">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5">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5">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5">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5">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5">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5">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5">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5">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5">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5">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5">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5">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5">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5">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5">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5">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5">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5">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5">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5">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5">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5">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5">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5">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5">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5">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5">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5">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5">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5">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5">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5">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5">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5">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5">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5">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5">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5">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5">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5">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5">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5">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5">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5">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5">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5">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5">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5">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5">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5">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5">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5">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5">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5">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5">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5">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5">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5">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5">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5">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5">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5">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5">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5">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5">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5">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5">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5">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5">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5">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5">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5">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5">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5">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5">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5">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5">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5">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5">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5">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5">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5">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5">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5">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5">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5">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5">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5">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5">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5">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5">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5">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5">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5">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5">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5">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5">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5">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5">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5">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5">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5">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5">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5">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5">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5">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5">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5">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4"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J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106"/>
  <sheetViews>
    <sheetView showGridLines="0" zoomScale="80" zoomScaleNormal="80" workbookViewId="0"/>
  </sheetViews>
  <sheetFormatPr defaultColWidth="9.109375" defaultRowHeight="13.8" x14ac:dyDescent="0.25"/>
  <cols>
    <col min="1" max="1" width="70.88671875" style="2" customWidth="1"/>
    <col min="2" max="2" width="16.109375" style="2" customWidth="1"/>
    <col min="3" max="5" width="15.88671875" style="2" customWidth="1"/>
    <col min="6" max="6" width="3.88671875" style="2" customWidth="1"/>
    <col min="7" max="10" width="16.88671875" style="2" customWidth="1"/>
    <col min="11" max="11" width="3.88671875" style="2" customWidth="1"/>
    <col min="12" max="12" width="72.44140625" style="2" customWidth="1"/>
    <col min="13" max="16384" width="9.109375" style="2"/>
  </cols>
  <sheetData>
    <row r="1" spans="1:12" ht="30" customHeight="1" x14ac:dyDescent="0.25">
      <c r="A1" s="308" t="s">
        <v>728</v>
      </c>
      <c r="B1" s="309"/>
      <c r="C1" s="310"/>
      <c r="D1" s="310"/>
      <c r="E1" s="225"/>
      <c r="F1" s="225"/>
      <c r="G1" s="225"/>
      <c r="H1" s="225" t="s">
        <v>3</v>
      </c>
      <c r="I1" s="225" t="s">
        <v>3</v>
      </c>
      <c r="J1" s="225" t="s">
        <v>3</v>
      </c>
      <c r="K1" s="225" t="s">
        <v>3</v>
      </c>
      <c r="L1" s="225" t="s">
        <v>3</v>
      </c>
    </row>
    <row r="2" spans="1:12" ht="30" customHeight="1" x14ac:dyDescent="0.25">
      <c r="A2" s="214" t="s">
        <v>12</v>
      </c>
      <c r="B2" s="311" t="s">
        <v>3</v>
      </c>
      <c r="C2" s="312" t="s">
        <v>3</v>
      </c>
      <c r="D2" s="312" t="s">
        <v>3</v>
      </c>
      <c r="E2" s="225" t="s">
        <v>3</v>
      </c>
      <c r="F2" s="223" t="s">
        <v>3</v>
      </c>
      <c r="G2" s="223" t="s">
        <v>3</v>
      </c>
      <c r="H2" s="223" t="s">
        <v>3</v>
      </c>
      <c r="I2" s="223" t="s">
        <v>3</v>
      </c>
      <c r="J2" s="223" t="s">
        <v>3</v>
      </c>
      <c r="K2" s="223" t="s">
        <v>3</v>
      </c>
      <c r="L2" s="223" t="s">
        <v>3</v>
      </c>
    </row>
    <row r="3" spans="1:12" ht="30" customHeight="1" thickBot="1" x14ac:dyDescent="0.3">
      <c r="A3" s="213"/>
      <c r="B3" s="212" t="s">
        <v>3</v>
      </c>
      <c r="C3" s="212" t="s">
        <v>3</v>
      </c>
      <c r="D3" s="223" t="s">
        <v>3</v>
      </c>
      <c r="E3" s="223" t="s">
        <v>3</v>
      </c>
      <c r="F3" s="223" t="s">
        <v>3</v>
      </c>
      <c r="G3" s="223" t="s">
        <v>3</v>
      </c>
      <c r="H3" s="223" t="s">
        <v>3</v>
      </c>
      <c r="I3" s="223" t="s">
        <v>3</v>
      </c>
      <c r="J3" s="223" t="s">
        <v>3</v>
      </c>
      <c r="K3" s="223" t="s">
        <v>3</v>
      </c>
      <c r="L3" s="223" t="s">
        <v>3</v>
      </c>
    </row>
    <row r="4" spans="1:12" ht="25.35" customHeight="1" x14ac:dyDescent="0.25">
      <c r="A4" s="313" t="s">
        <v>454</v>
      </c>
      <c r="B4" s="215">
        <v>1</v>
      </c>
      <c r="C4" s="212" t="s">
        <v>3</v>
      </c>
      <c r="D4" s="223" t="s">
        <v>3</v>
      </c>
      <c r="E4" s="223" t="s">
        <v>3</v>
      </c>
      <c r="F4" s="223" t="s">
        <v>3</v>
      </c>
      <c r="G4" s="223" t="s">
        <v>3</v>
      </c>
      <c r="H4" s="223" t="s">
        <v>3</v>
      </c>
      <c r="I4" s="223" t="s">
        <v>3</v>
      </c>
      <c r="J4" s="223" t="s">
        <v>3</v>
      </c>
      <c r="K4" s="223" t="s">
        <v>3</v>
      </c>
      <c r="L4" s="223" t="s">
        <v>3</v>
      </c>
    </row>
    <row r="5" spans="1:12" ht="30.75" customHeight="1" x14ac:dyDescent="0.25">
      <c r="A5" s="314" t="s">
        <v>455</v>
      </c>
      <c r="B5" s="338" t="s">
        <v>264</v>
      </c>
      <c r="C5" s="212" t="s">
        <v>3</v>
      </c>
      <c r="D5" s="223" t="s">
        <v>3</v>
      </c>
      <c r="E5" s="223" t="s">
        <v>3</v>
      </c>
      <c r="F5" s="223" t="s">
        <v>3</v>
      </c>
      <c r="G5" s="223" t="s">
        <v>3</v>
      </c>
      <c r="H5" s="223" t="s">
        <v>3</v>
      </c>
      <c r="I5" s="223" t="s">
        <v>3</v>
      </c>
      <c r="J5" s="223" t="s">
        <v>3</v>
      </c>
      <c r="K5" s="223" t="s">
        <v>3</v>
      </c>
      <c r="L5" s="223" t="s">
        <v>3</v>
      </c>
    </row>
    <row r="6" spans="1:12" ht="30.75" customHeight="1" x14ac:dyDescent="0.25">
      <c r="A6" s="314" t="s">
        <v>4</v>
      </c>
      <c r="B6" s="338" t="s">
        <v>14</v>
      </c>
      <c r="C6" s="212" t="s">
        <v>3</v>
      </c>
      <c r="D6" s="223" t="s">
        <v>3</v>
      </c>
      <c r="E6" s="223" t="s">
        <v>3</v>
      </c>
      <c r="F6" s="223" t="s">
        <v>3</v>
      </c>
      <c r="G6" s="223" t="s">
        <v>3</v>
      </c>
      <c r="H6" s="223" t="s">
        <v>3</v>
      </c>
      <c r="I6" s="223" t="s">
        <v>3</v>
      </c>
      <c r="J6" s="223" t="s">
        <v>3</v>
      </c>
      <c r="K6" s="223" t="s">
        <v>3</v>
      </c>
      <c r="L6" s="223" t="s">
        <v>3</v>
      </c>
    </row>
    <row r="7" spans="1:12" ht="25.35" customHeight="1" thickBot="1" x14ac:dyDescent="0.3">
      <c r="A7" s="216" t="s">
        <v>457</v>
      </c>
      <c r="B7" s="217"/>
      <c r="C7" s="212" t="s">
        <v>3</v>
      </c>
      <c r="D7" s="223" t="s">
        <v>3</v>
      </c>
      <c r="E7" s="223" t="s">
        <v>3</v>
      </c>
      <c r="F7" s="223" t="s">
        <v>3</v>
      </c>
      <c r="G7" s="223" t="s">
        <v>3</v>
      </c>
      <c r="H7" s="223" t="s">
        <v>3</v>
      </c>
      <c r="I7" s="223" t="s">
        <v>3</v>
      </c>
      <c r="J7" s="223" t="s">
        <v>3</v>
      </c>
      <c r="K7" s="223" t="s">
        <v>3</v>
      </c>
      <c r="L7" s="223" t="s">
        <v>3</v>
      </c>
    </row>
    <row r="8" spans="1:12" ht="30" customHeight="1" thickBot="1" x14ac:dyDescent="0.3">
      <c r="A8" s="315" t="s">
        <v>3</v>
      </c>
      <c r="B8" s="316" t="s">
        <v>3</v>
      </c>
      <c r="C8" s="212" t="s">
        <v>3</v>
      </c>
      <c r="D8" s="223" t="s">
        <v>3</v>
      </c>
      <c r="E8" s="223" t="s">
        <v>3</v>
      </c>
      <c r="F8" s="223" t="s">
        <v>3</v>
      </c>
      <c r="G8" s="223" t="s">
        <v>3</v>
      </c>
      <c r="H8" s="223" t="s">
        <v>3</v>
      </c>
      <c r="I8" s="223" t="s">
        <v>3</v>
      </c>
      <c r="J8" s="223" t="s">
        <v>3</v>
      </c>
      <c r="K8" s="223" t="s">
        <v>3</v>
      </c>
      <c r="L8" s="223" t="s">
        <v>3</v>
      </c>
    </row>
    <row r="9" spans="1:12" ht="83.4" thickBot="1" x14ac:dyDescent="0.3">
      <c r="A9" s="317" t="s">
        <v>587</v>
      </c>
      <c r="B9" s="398" t="s">
        <v>496</v>
      </c>
      <c r="C9" s="399" t="s">
        <v>497</v>
      </c>
      <c r="D9" s="400" t="s">
        <v>498</v>
      </c>
      <c r="E9" s="401" t="s">
        <v>499</v>
      </c>
      <c r="G9" s="388" t="s">
        <v>500</v>
      </c>
      <c r="H9" s="388" t="s">
        <v>501</v>
      </c>
      <c r="I9" s="388" t="s">
        <v>502</v>
      </c>
      <c r="J9" s="388" t="s">
        <v>503</v>
      </c>
      <c r="K9" s="223" t="s">
        <v>3</v>
      </c>
      <c r="L9" s="318" t="s">
        <v>422</v>
      </c>
    </row>
    <row r="10" spans="1:12" ht="15.9" customHeight="1" x14ac:dyDescent="0.25">
      <c r="A10" s="395" t="s">
        <v>444</v>
      </c>
      <c r="B10" s="389"/>
      <c r="C10" s="390">
        <f>IFERROR(IF('Population selection'!C14="",'Population selection'!C13,'Population selection'!C14),0)</f>
        <v>56550138</v>
      </c>
      <c r="D10" s="402"/>
      <c r="E10" s="390">
        <f>C10</f>
        <v>56550138</v>
      </c>
      <c r="G10" s="389"/>
      <c r="H10" s="390">
        <f>C10</f>
        <v>56550138</v>
      </c>
      <c r="I10" s="389"/>
      <c r="J10" s="390">
        <f>C10</f>
        <v>56550138</v>
      </c>
      <c r="K10" s="223" t="s">
        <v>3</v>
      </c>
      <c r="L10" s="427" t="s">
        <v>445</v>
      </c>
    </row>
    <row r="11" spans="1:12" ht="14.4" x14ac:dyDescent="0.25">
      <c r="A11" s="396" t="s">
        <v>512</v>
      </c>
      <c r="B11" s="403"/>
      <c r="C11" s="319">
        <f>IF('Population selection'!J14="",'Population selection'!J23,'Population selection'!J14)</f>
        <v>10123863</v>
      </c>
      <c r="D11" s="65"/>
      <c r="E11" s="319">
        <f>C11</f>
        <v>10123863</v>
      </c>
      <c r="G11" s="185"/>
      <c r="H11" s="319">
        <f>C11</f>
        <v>10123863</v>
      </c>
      <c r="I11" s="185"/>
      <c r="J11" s="319">
        <f>C11</f>
        <v>10123863</v>
      </c>
      <c r="K11" s="223" t="s">
        <v>3</v>
      </c>
      <c r="L11" s="427" t="s">
        <v>445</v>
      </c>
    </row>
    <row r="12" spans="1:12" x14ac:dyDescent="0.25">
      <c r="A12" s="184"/>
      <c r="B12" s="404"/>
      <c r="C12" s="321"/>
      <c r="E12" s="321"/>
      <c r="G12" s="184"/>
      <c r="H12" s="321"/>
      <c r="I12" s="184"/>
      <c r="J12" s="321"/>
      <c r="K12" s="223" t="s">
        <v>3</v>
      </c>
      <c r="L12" s="322"/>
    </row>
    <row r="13" spans="1:12" ht="14.4" x14ac:dyDescent="0.3">
      <c r="A13" s="396" t="s">
        <v>513</v>
      </c>
      <c r="B13" s="405">
        <v>0.4</v>
      </c>
      <c r="C13" s="319">
        <f>B13*C11</f>
        <v>4049545.2</v>
      </c>
      <c r="D13" s="331">
        <v>0.4</v>
      </c>
      <c r="E13" s="319">
        <f>D13*E11</f>
        <v>4049545.2</v>
      </c>
      <c r="G13" s="323">
        <v>0.4</v>
      </c>
      <c r="H13" s="319">
        <f>G13*H11</f>
        <v>4049545.2</v>
      </c>
      <c r="I13" s="323">
        <v>0.4</v>
      </c>
      <c r="J13" s="319">
        <f>I13*J11</f>
        <v>4049545.2</v>
      </c>
      <c r="K13" s="223" t="s">
        <v>3</v>
      </c>
      <c r="L13" s="281"/>
    </row>
    <row r="14" spans="1:12" ht="26.25" customHeight="1" x14ac:dyDescent="0.3">
      <c r="A14" s="396" t="s">
        <v>514</v>
      </c>
      <c r="B14" s="405">
        <v>7.6140152280304556E-3</v>
      </c>
      <c r="C14" s="319">
        <f>C13*B14</f>
        <v>30833.298819397638</v>
      </c>
      <c r="D14" s="331">
        <v>7.6140152280304556E-3</v>
      </c>
      <c r="E14" s="319">
        <f>E13*D14</f>
        <v>30833.298819397638</v>
      </c>
      <c r="G14" s="323">
        <f>30456/H13</f>
        <v>7.5208445629894437E-3</v>
      </c>
      <c r="H14" s="319">
        <f>H13*G14</f>
        <v>30456</v>
      </c>
      <c r="I14" s="323">
        <f>30456/J13</f>
        <v>7.5208445629894437E-3</v>
      </c>
      <c r="J14" s="319">
        <f>J13*I14</f>
        <v>30456</v>
      </c>
      <c r="K14" s="223"/>
      <c r="L14" s="428" t="s">
        <v>561</v>
      </c>
    </row>
    <row r="15" spans="1:12" ht="14.4" x14ac:dyDescent="0.3">
      <c r="A15" s="396"/>
      <c r="B15" s="391"/>
      <c r="C15" s="319"/>
      <c r="D15" s="335"/>
      <c r="E15" s="319"/>
      <c r="G15" s="323"/>
      <c r="H15" s="319"/>
      <c r="I15" s="323"/>
      <c r="J15" s="319"/>
      <c r="K15" s="223"/>
      <c r="L15" s="281"/>
    </row>
    <row r="16" spans="1:12" ht="14.4" x14ac:dyDescent="0.3">
      <c r="A16" s="396" t="s">
        <v>524</v>
      </c>
      <c r="B16" s="405">
        <v>0.3</v>
      </c>
      <c r="C16" s="319">
        <f>C14*B16</f>
        <v>9249.9896458192907</v>
      </c>
      <c r="D16" s="331">
        <f>'Resource impact over time'!L10</f>
        <v>0</v>
      </c>
      <c r="E16" s="319">
        <f>E14*D16</f>
        <v>0</v>
      </c>
      <c r="G16" s="323">
        <v>0.3</v>
      </c>
      <c r="H16" s="319">
        <f>H14*G16</f>
        <v>9136.7999999999993</v>
      </c>
      <c r="I16" s="323">
        <f>'Resource impact over time'!L10</f>
        <v>0</v>
      </c>
      <c r="J16" s="319">
        <f>J14*I16</f>
        <v>0</v>
      </c>
      <c r="K16" s="223" t="s">
        <v>3</v>
      </c>
      <c r="L16" s="426" t="s">
        <v>562</v>
      </c>
    </row>
    <row r="17" spans="1:12" ht="15" customHeight="1" x14ac:dyDescent="0.3">
      <c r="A17" s="396" t="s">
        <v>534</v>
      </c>
      <c r="B17" s="405">
        <v>0.4</v>
      </c>
      <c r="C17" s="319">
        <f>C14*B17</f>
        <v>12333.319527759057</v>
      </c>
      <c r="D17" s="331">
        <f>'Resource impact over time'!L11</f>
        <v>0.15</v>
      </c>
      <c r="E17" s="319">
        <f>E14*D17</f>
        <v>4624.9948229096453</v>
      </c>
      <c r="G17" s="323">
        <v>0.4</v>
      </c>
      <c r="H17" s="319">
        <f>H14*G17</f>
        <v>12182.400000000001</v>
      </c>
      <c r="I17" s="323">
        <f>'Resource impact over time'!L11</f>
        <v>0.15</v>
      </c>
      <c r="J17" s="319">
        <f>J14*I17</f>
        <v>4568.3999999999996</v>
      </c>
      <c r="K17" s="223" t="s">
        <v>3</v>
      </c>
      <c r="L17" s="426" t="s">
        <v>562</v>
      </c>
    </row>
    <row r="18" spans="1:12" ht="15" customHeight="1" x14ac:dyDescent="0.3">
      <c r="A18" s="396" t="s">
        <v>530</v>
      </c>
      <c r="B18" s="405">
        <v>0.11</v>
      </c>
      <c r="C18" s="319">
        <f>C14*B18</f>
        <v>3391.6628701337404</v>
      </c>
      <c r="D18" s="331">
        <f>'Resource impact over time'!L12</f>
        <v>0.2</v>
      </c>
      <c r="E18" s="319">
        <f>E14*D18</f>
        <v>6166.6597638795283</v>
      </c>
      <c r="G18" s="323">
        <v>0.11</v>
      </c>
      <c r="H18" s="319">
        <f>H14*G18</f>
        <v>3350.16</v>
      </c>
      <c r="I18" s="384">
        <f>'Resource impact over time'!L12</f>
        <v>0.2</v>
      </c>
      <c r="J18" s="319">
        <f>J14*I18</f>
        <v>6091.2000000000007</v>
      </c>
      <c r="K18" s="223"/>
      <c r="L18" s="426" t="s">
        <v>562</v>
      </c>
    </row>
    <row r="19" spans="1:12" ht="15" customHeight="1" x14ac:dyDescent="0.3">
      <c r="A19" s="396" t="s">
        <v>531</v>
      </c>
      <c r="B19" s="405">
        <v>0.1</v>
      </c>
      <c r="C19" s="319">
        <f>C14*B19</f>
        <v>3083.3298819397642</v>
      </c>
      <c r="D19" s="331">
        <f>'Resource impact over time'!L13</f>
        <v>0.25</v>
      </c>
      <c r="E19" s="319">
        <f>E14*D19</f>
        <v>7708.3247048494095</v>
      </c>
      <c r="G19" s="391">
        <v>0.1</v>
      </c>
      <c r="H19" s="319">
        <f>H14*G19</f>
        <v>3045.6000000000004</v>
      </c>
      <c r="I19" s="335">
        <f>'Resource impact over time'!L13</f>
        <v>0.25</v>
      </c>
      <c r="J19" s="319">
        <f>J14*I19</f>
        <v>7614</v>
      </c>
      <c r="K19" s="223"/>
      <c r="L19" s="426" t="s">
        <v>562</v>
      </c>
    </row>
    <row r="20" spans="1:12" ht="15" customHeight="1" x14ac:dyDescent="0.3">
      <c r="A20" s="396" t="s">
        <v>532</v>
      </c>
      <c r="B20" s="405">
        <v>0.03</v>
      </c>
      <c r="C20" s="319">
        <f>C14*B20</f>
        <v>924.99896458192916</v>
      </c>
      <c r="D20" s="331">
        <f>'Resource impact over time'!L14</f>
        <v>0.2</v>
      </c>
      <c r="E20" s="319">
        <f>E14*D20</f>
        <v>6166.6597638795283</v>
      </c>
      <c r="G20" s="391">
        <v>0.03</v>
      </c>
      <c r="H20" s="319">
        <f>H14*G20</f>
        <v>913.68</v>
      </c>
      <c r="I20" s="335">
        <f>'Resource impact over time'!L14</f>
        <v>0.2</v>
      </c>
      <c r="J20" s="319">
        <f>J14*I20</f>
        <v>6091.2000000000007</v>
      </c>
      <c r="K20" s="223"/>
      <c r="L20" s="426" t="s">
        <v>562</v>
      </c>
    </row>
    <row r="21" spans="1:12" ht="14.4" x14ac:dyDescent="0.3">
      <c r="A21" s="396" t="s">
        <v>533</v>
      </c>
      <c r="B21" s="405">
        <v>0.06</v>
      </c>
      <c r="C21" s="319">
        <f>C14*B21</f>
        <v>1849.9979291638583</v>
      </c>
      <c r="D21" s="331">
        <f>'Resource impact over time'!L15</f>
        <v>0.2</v>
      </c>
      <c r="E21" s="319">
        <f>E14*D21</f>
        <v>6166.6597638795283</v>
      </c>
      <c r="G21" s="391">
        <v>0.06</v>
      </c>
      <c r="H21" s="319">
        <f>H14*G21</f>
        <v>1827.36</v>
      </c>
      <c r="I21" s="335">
        <f>'Resource impact over time'!L15</f>
        <v>0.2</v>
      </c>
      <c r="J21" s="319">
        <f>J14*I21</f>
        <v>6091.2000000000007</v>
      </c>
      <c r="K21" s="223" t="s">
        <v>3</v>
      </c>
      <c r="L21" s="426" t="s">
        <v>562</v>
      </c>
    </row>
    <row r="22" spans="1:12" ht="14.4" thickBot="1" x14ac:dyDescent="0.3">
      <c r="A22" s="397"/>
      <c r="B22" s="392">
        <f>SUM(B16:B21)</f>
        <v>1</v>
      </c>
      <c r="C22" s="393">
        <f>SUM(C16:C21)</f>
        <v>30833.298819397638</v>
      </c>
      <c r="D22" s="394">
        <f>SUM(D16:D21)</f>
        <v>1</v>
      </c>
      <c r="E22" s="393">
        <f>SUM(E16:E21)</f>
        <v>30833.298819397638</v>
      </c>
      <c r="F22" s="16"/>
      <c r="G22" s="392">
        <f>SUM(G16:G21)</f>
        <v>1</v>
      </c>
      <c r="H22" s="393">
        <f>SUM(H16:H21)</f>
        <v>30456</v>
      </c>
      <c r="I22" s="394">
        <f>SUM(I16:I21)</f>
        <v>1</v>
      </c>
      <c r="J22" s="393">
        <f>SUM(J16:J21)</f>
        <v>30456</v>
      </c>
      <c r="K22" s="223" t="s">
        <v>3</v>
      </c>
      <c r="L22" s="222" t="s">
        <v>3</v>
      </c>
    </row>
    <row r="23" spans="1:12" x14ac:dyDescent="0.25">
      <c r="A23" s="223" t="s">
        <v>3</v>
      </c>
      <c r="B23" s="223" t="s">
        <v>3</v>
      </c>
      <c r="C23" s="223" t="s">
        <v>3</v>
      </c>
      <c r="D23" s="223" t="s">
        <v>3</v>
      </c>
      <c r="E23" s="223" t="s">
        <v>3</v>
      </c>
      <c r="F23" s="223" t="s">
        <v>3</v>
      </c>
      <c r="G23" s="223" t="s">
        <v>3</v>
      </c>
      <c r="H23" s="223" t="s">
        <v>3</v>
      </c>
      <c r="I23" s="223" t="s">
        <v>3</v>
      </c>
      <c r="J23" s="223" t="s">
        <v>3</v>
      </c>
      <c r="K23" s="223" t="s">
        <v>3</v>
      </c>
      <c r="L23" s="222" t="s">
        <v>3</v>
      </c>
    </row>
    <row r="24" spans="1:12" ht="14.4" x14ac:dyDescent="0.3">
      <c r="A24" s="414" t="s">
        <v>520</v>
      </c>
      <c r="B24" s="391"/>
      <c r="C24" s="319"/>
      <c r="D24" s="335"/>
      <c r="E24" s="319"/>
      <c r="G24" s="323"/>
      <c r="H24" s="319"/>
      <c r="I24" s="323"/>
      <c r="J24" s="319"/>
      <c r="K24" s="223"/>
      <c r="L24" s="281"/>
    </row>
    <row r="25" spans="1:12" ht="14.4" x14ac:dyDescent="0.3">
      <c r="A25" s="396" t="s">
        <v>524</v>
      </c>
      <c r="B25" s="405">
        <v>3.7999999999999999E-2</v>
      </c>
      <c r="C25" s="319">
        <f>C$16*B25</f>
        <v>351.49960654113306</v>
      </c>
      <c r="D25" s="331">
        <v>3.7999999999999999E-2</v>
      </c>
      <c r="E25" s="319">
        <f>E$16*D25</f>
        <v>0</v>
      </c>
      <c r="G25" s="405">
        <v>3.7999999999999999E-2</v>
      </c>
      <c r="H25" s="319">
        <f>H$16*G25</f>
        <v>347.19839999999994</v>
      </c>
      <c r="I25" s="331">
        <v>3.7999999999999999E-2</v>
      </c>
      <c r="J25" s="319">
        <f>J$16*I25</f>
        <v>0</v>
      </c>
      <c r="K25" s="223" t="s">
        <v>3</v>
      </c>
      <c r="L25" s="426" t="s">
        <v>573</v>
      </c>
    </row>
    <row r="26" spans="1:12" ht="15" customHeight="1" x14ac:dyDescent="0.3">
      <c r="A26" s="396" t="s">
        <v>534</v>
      </c>
      <c r="B26" s="405">
        <v>0.03</v>
      </c>
      <c r="C26" s="319">
        <f>C$17*B26</f>
        <v>369.99958583277169</v>
      </c>
      <c r="D26" s="331">
        <v>0.03</v>
      </c>
      <c r="E26" s="319">
        <f>E$17*D26</f>
        <v>138.74984468728937</v>
      </c>
      <c r="G26" s="405">
        <v>0.03</v>
      </c>
      <c r="H26" s="319">
        <f>H$17*G26</f>
        <v>365.47200000000004</v>
      </c>
      <c r="I26" s="331">
        <v>0.03</v>
      </c>
      <c r="J26" s="319">
        <f>J$17*I26</f>
        <v>137.05199999999999</v>
      </c>
      <c r="K26" s="223" t="s">
        <v>3</v>
      </c>
      <c r="L26" s="426" t="s">
        <v>573</v>
      </c>
    </row>
    <row r="27" spans="1:12" ht="15" customHeight="1" x14ac:dyDescent="0.3">
      <c r="A27" s="396" t="s">
        <v>519</v>
      </c>
      <c r="B27" s="405">
        <v>0.01</v>
      </c>
      <c r="C27" s="319">
        <f>C$18*B27</f>
        <v>33.916628701337402</v>
      </c>
      <c r="D27" s="331">
        <v>0.01</v>
      </c>
      <c r="E27" s="319">
        <f>E$18*D27</f>
        <v>61.666597638795288</v>
      </c>
      <c r="G27" s="405">
        <v>0.01</v>
      </c>
      <c r="H27" s="319">
        <f>H$18*G27</f>
        <v>33.501599999999996</v>
      </c>
      <c r="I27" s="331">
        <v>0.01</v>
      </c>
      <c r="J27" s="319">
        <f>J$18*I27</f>
        <v>60.912000000000006</v>
      </c>
      <c r="K27" s="223"/>
      <c r="L27" s="426" t="s">
        <v>573</v>
      </c>
    </row>
    <row r="28" spans="1:12" ht="15" customHeight="1" x14ac:dyDescent="0.3">
      <c r="A28" s="396" t="s">
        <v>516</v>
      </c>
      <c r="B28" s="405">
        <v>0.02</v>
      </c>
      <c r="C28" s="319">
        <f>C$19*B28</f>
        <v>61.666597638795288</v>
      </c>
      <c r="D28" s="331">
        <v>0.02</v>
      </c>
      <c r="E28" s="319">
        <f>E$19*D28</f>
        <v>154.1664940969882</v>
      </c>
      <c r="G28" s="405">
        <v>0.02</v>
      </c>
      <c r="H28" s="319">
        <f>H$19*G28</f>
        <v>60.912000000000006</v>
      </c>
      <c r="I28" s="331">
        <v>0.02</v>
      </c>
      <c r="J28" s="319">
        <f>J$19*I28</f>
        <v>152.28</v>
      </c>
      <c r="K28" s="223"/>
      <c r="L28" s="426" t="s">
        <v>573</v>
      </c>
    </row>
    <row r="29" spans="1:12" ht="15" customHeight="1" x14ac:dyDescent="0.3">
      <c r="A29" s="396" t="s">
        <v>517</v>
      </c>
      <c r="B29" s="405">
        <v>4.0000000000000001E-3</v>
      </c>
      <c r="C29" s="319">
        <f>C$20*B29</f>
        <v>3.6999958583277168</v>
      </c>
      <c r="D29" s="331">
        <v>4.0000000000000001E-3</v>
      </c>
      <c r="E29" s="319">
        <f>E$20*D29</f>
        <v>24.666639055518115</v>
      </c>
      <c r="G29" s="405">
        <v>4.0000000000000001E-3</v>
      </c>
      <c r="H29" s="319">
        <f>H$20*G29</f>
        <v>3.6547199999999997</v>
      </c>
      <c r="I29" s="331">
        <v>4.0000000000000001E-3</v>
      </c>
      <c r="J29" s="319">
        <f>J$20*I29</f>
        <v>24.364800000000002</v>
      </c>
      <c r="K29" s="223"/>
      <c r="L29" s="426" t="s">
        <v>573</v>
      </c>
    </row>
    <row r="30" spans="1:12" ht="14.4" x14ac:dyDescent="0.3">
      <c r="A30" s="396" t="s">
        <v>518</v>
      </c>
      <c r="B30" s="405">
        <v>5.0000000000000001E-3</v>
      </c>
      <c r="C30" s="319">
        <f>C$21*B30</f>
        <v>9.2499896458192925</v>
      </c>
      <c r="D30" s="331">
        <v>5.0000000000000001E-3</v>
      </c>
      <c r="E30" s="319">
        <f>E$21*D30</f>
        <v>30.833298819397644</v>
      </c>
      <c r="G30" s="405">
        <v>5.0000000000000001E-3</v>
      </c>
      <c r="H30" s="319">
        <f>H$21*G30</f>
        <v>9.1367999999999991</v>
      </c>
      <c r="I30" s="331">
        <v>5.0000000000000001E-3</v>
      </c>
      <c r="J30" s="319">
        <f>J$21*I30</f>
        <v>30.456000000000003</v>
      </c>
      <c r="K30" s="223" t="s">
        <v>3</v>
      </c>
      <c r="L30" s="426" t="s">
        <v>573</v>
      </c>
    </row>
    <row r="31" spans="1:12" ht="14.4" thickBot="1" x14ac:dyDescent="0.3">
      <c r="A31" s="397"/>
      <c r="B31" s="413"/>
      <c r="C31" s="337">
        <f>SUM(C25:C30)</f>
        <v>830.03240421818441</v>
      </c>
      <c r="D31" s="336"/>
      <c r="E31" s="337">
        <f>SUM(E25:E30)</f>
        <v>410.08287429798861</v>
      </c>
      <c r="F31" s="16"/>
      <c r="G31" s="413"/>
      <c r="H31" s="337">
        <f>SUM(H25:H30)</f>
        <v>819.87552000000005</v>
      </c>
      <c r="I31" s="336"/>
      <c r="J31" s="337">
        <f>SUM(J25:J30)</f>
        <v>405.06480000000005</v>
      </c>
      <c r="K31" s="223" t="s">
        <v>3</v>
      </c>
      <c r="L31" s="222" t="s">
        <v>3</v>
      </c>
    </row>
    <row r="32" spans="1:12" x14ac:dyDescent="0.25">
      <c r="A32" s="223" t="s">
        <v>3</v>
      </c>
      <c r="B32" s="223" t="s">
        <v>3</v>
      </c>
      <c r="C32" s="223" t="s">
        <v>3</v>
      </c>
      <c r="D32" s="223" t="s">
        <v>3</v>
      </c>
      <c r="E32" s="223" t="s">
        <v>3</v>
      </c>
      <c r="F32" s="223" t="s">
        <v>3</v>
      </c>
      <c r="G32" s="223" t="s">
        <v>3</v>
      </c>
      <c r="H32" s="223" t="s">
        <v>3</v>
      </c>
      <c r="I32" s="223" t="s">
        <v>3</v>
      </c>
      <c r="J32" s="223" t="s">
        <v>3</v>
      </c>
      <c r="K32" s="223" t="s">
        <v>3</v>
      </c>
      <c r="L32" s="222" t="s">
        <v>3</v>
      </c>
    </row>
    <row r="33" spans="1:12" ht="14.4" x14ac:dyDescent="0.3">
      <c r="A33" s="414" t="s">
        <v>521</v>
      </c>
      <c r="B33" s="391"/>
      <c r="C33" s="319"/>
      <c r="D33" s="335"/>
      <c r="E33" s="319"/>
      <c r="G33" s="323"/>
      <c r="H33" s="319"/>
      <c r="I33" s="323"/>
      <c r="J33" s="319"/>
      <c r="K33" s="223"/>
      <c r="L33" s="281"/>
    </row>
    <row r="34" spans="1:12" ht="14.4" x14ac:dyDescent="0.3">
      <c r="A34" s="396" t="s">
        <v>524</v>
      </c>
      <c r="B34" s="405">
        <v>7.0000000000000007E-2</v>
      </c>
      <c r="C34" s="319">
        <f>C$16*B34</f>
        <v>647.49927520735037</v>
      </c>
      <c r="D34" s="331">
        <v>7.0000000000000007E-2</v>
      </c>
      <c r="E34" s="319">
        <f>E$16*D34</f>
        <v>0</v>
      </c>
      <c r="G34" s="405">
        <v>7.0000000000000007E-2</v>
      </c>
      <c r="H34" s="319">
        <f>H$16*G34</f>
        <v>639.57600000000002</v>
      </c>
      <c r="I34" s="331">
        <v>7.0000000000000007E-2</v>
      </c>
      <c r="J34" s="319">
        <f>J$16*I34</f>
        <v>0</v>
      </c>
      <c r="K34" s="223" t="s">
        <v>3</v>
      </c>
      <c r="L34" s="426" t="s">
        <v>573</v>
      </c>
    </row>
    <row r="35" spans="1:12" ht="15" customHeight="1" x14ac:dyDescent="0.3">
      <c r="A35" s="396" t="s">
        <v>534</v>
      </c>
      <c r="B35" s="405">
        <v>0.04</v>
      </c>
      <c r="C35" s="319">
        <f>C$17*B35</f>
        <v>493.3327811103623</v>
      </c>
      <c r="D35" s="331">
        <v>0.04</v>
      </c>
      <c r="E35" s="319">
        <f>E$17*D35</f>
        <v>184.99979291638581</v>
      </c>
      <c r="G35" s="405">
        <v>0.04</v>
      </c>
      <c r="H35" s="319">
        <f>H$17*G35</f>
        <v>487.29600000000005</v>
      </c>
      <c r="I35" s="331">
        <v>0.04</v>
      </c>
      <c r="J35" s="319">
        <f>J$17*I35</f>
        <v>182.73599999999999</v>
      </c>
      <c r="K35" s="223" t="s">
        <v>3</v>
      </c>
      <c r="L35" s="426" t="s">
        <v>573</v>
      </c>
    </row>
    <row r="36" spans="1:12" ht="15" customHeight="1" x14ac:dyDescent="0.3">
      <c r="A36" s="396" t="s">
        <v>519</v>
      </c>
      <c r="B36" s="405">
        <v>0.03</v>
      </c>
      <c r="C36" s="319">
        <f>C$18*B36</f>
        <v>101.74988610401221</v>
      </c>
      <c r="D36" s="331">
        <v>0.03</v>
      </c>
      <c r="E36" s="319">
        <f>E$18*D36</f>
        <v>184.99979291638584</v>
      </c>
      <c r="G36" s="405">
        <v>0.03</v>
      </c>
      <c r="H36" s="319">
        <f>H$18*G36</f>
        <v>100.50479999999999</v>
      </c>
      <c r="I36" s="331">
        <v>0.03</v>
      </c>
      <c r="J36" s="319">
        <f>J$18*I36</f>
        <v>182.73600000000002</v>
      </c>
      <c r="K36" s="223"/>
      <c r="L36" s="426" t="s">
        <v>573</v>
      </c>
    </row>
    <row r="37" spans="1:12" ht="15" customHeight="1" x14ac:dyDescent="0.3">
      <c r="A37" s="396" t="s">
        <v>516</v>
      </c>
      <c r="B37" s="405">
        <v>1.7999999999999999E-2</v>
      </c>
      <c r="C37" s="319">
        <f>C$19*B37</f>
        <v>55.499937874915751</v>
      </c>
      <c r="D37" s="331">
        <v>1.7999999999999999E-2</v>
      </c>
      <c r="E37" s="319">
        <f>E$19*D37</f>
        <v>138.74984468728937</v>
      </c>
      <c r="G37" s="405">
        <v>1.7999999999999999E-2</v>
      </c>
      <c r="H37" s="319">
        <f>H$19*G37</f>
        <v>54.820800000000006</v>
      </c>
      <c r="I37" s="331">
        <v>1.7999999999999999E-2</v>
      </c>
      <c r="J37" s="319">
        <f>J$19*I37</f>
        <v>137.05199999999999</v>
      </c>
      <c r="K37" s="223"/>
      <c r="L37" s="426" t="s">
        <v>573</v>
      </c>
    </row>
    <row r="38" spans="1:12" ht="15" customHeight="1" x14ac:dyDescent="0.3">
      <c r="A38" s="396" t="s">
        <v>517</v>
      </c>
      <c r="B38" s="405">
        <v>0</v>
      </c>
      <c r="C38" s="319">
        <f>C$20*B38</f>
        <v>0</v>
      </c>
      <c r="D38" s="331">
        <v>0</v>
      </c>
      <c r="E38" s="319">
        <f>E$20*D38</f>
        <v>0</v>
      </c>
      <c r="G38" s="405">
        <v>0</v>
      </c>
      <c r="H38" s="319">
        <f>H$20*G38</f>
        <v>0</v>
      </c>
      <c r="I38" s="331">
        <v>0</v>
      </c>
      <c r="J38" s="319">
        <f>J$20*I38</f>
        <v>0</v>
      </c>
      <c r="K38" s="223"/>
      <c r="L38" s="426" t="s">
        <v>573</v>
      </c>
    </row>
    <row r="39" spans="1:12" ht="14.4" x14ac:dyDescent="0.3">
      <c r="A39" s="396" t="s">
        <v>518</v>
      </c>
      <c r="B39" s="405">
        <v>2E-3</v>
      </c>
      <c r="C39" s="319">
        <f>C$21*B39</f>
        <v>3.6999958583277168</v>
      </c>
      <c r="D39" s="331">
        <v>2E-3</v>
      </c>
      <c r="E39" s="319">
        <f>E$21*D39</f>
        <v>12.333319527759057</v>
      </c>
      <c r="G39" s="405">
        <v>2E-3</v>
      </c>
      <c r="H39" s="319">
        <f>H$21*G39</f>
        <v>3.6547199999999997</v>
      </c>
      <c r="I39" s="331">
        <v>2E-3</v>
      </c>
      <c r="J39" s="319">
        <f>J$21*I39</f>
        <v>12.182400000000001</v>
      </c>
      <c r="K39" s="223" t="s">
        <v>3</v>
      </c>
      <c r="L39" s="426" t="s">
        <v>573</v>
      </c>
    </row>
    <row r="40" spans="1:12" ht="14.4" thickBot="1" x14ac:dyDescent="0.3">
      <c r="A40" s="397"/>
      <c r="B40" s="413"/>
      <c r="C40" s="337">
        <f>SUM(C34:C39)</f>
        <v>1301.7818761549681</v>
      </c>
      <c r="D40" s="336"/>
      <c r="E40" s="337">
        <f>SUM(E34:E39)</f>
        <v>521.08275004782013</v>
      </c>
      <c r="F40" s="16"/>
      <c r="G40" s="413"/>
      <c r="H40" s="337">
        <f>SUM(H34:H39)</f>
        <v>1285.85232</v>
      </c>
      <c r="I40" s="336"/>
      <c r="J40" s="337">
        <f>SUM(J34:J39)</f>
        <v>514.70640000000003</v>
      </c>
      <c r="K40" s="223" t="s">
        <v>3</v>
      </c>
      <c r="L40" s="415"/>
    </row>
    <row r="41" spans="1:12" x14ac:dyDescent="0.25">
      <c r="A41" s="223" t="s">
        <v>3</v>
      </c>
      <c r="B41" s="223" t="s">
        <v>3</v>
      </c>
      <c r="C41" s="223" t="s">
        <v>3</v>
      </c>
      <c r="D41" s="223" t="s">
        <v>3</v>
      </c>
      <c r="E41" s="223" t="s">
        <v>3</v>
      </c>
      <c r="F41" s="223" t="s">
        <v>3</v>
      </c>
      <c r="G41" s="223" t="s">
        <v>3</v>
      </c>
      <c r="H41" s="223" t="s">
        <v>3</v>
      </c>
      <c r="I41" s="223" t="s">
        <v>3</v>
      </c>
      <c r="J41" s="223" t="s">
        <v>3</v>
      </c>
      <c r="K41" s="223" t="s">
        <v>3</v>
      </c>
      <c r="L41" s="415"/>
    </row>
    <row r="42" spans="1:12" ht="14.4" x14ac:dyDescent="0.3">
      <c r="A42" s="414" t="s">
        <v>522</v>
      </c>
      <c r="B42" s="391"/>
      <c r="C42" s="319"/>
      <c r="D42" s="335"/>
      <c r="E42" s="319"/>
      <c r="G42" s="323"/>
      <c r="H42" s="319"/>
      <c r="I42" s="323"/>
      <c r="J42" s="319"/>
      <c r="K42" s="223"/>
      <c r="L42" s="416"/>
    </row>
    <row r="43" spans="1:12" ht="14.4" x14ac:dyDescent="0.3">
      <c r="A43" s="396" t="s">
        <v>524</v>
      </c>
      <c r="B43" s="405">
        <v>0.08</v>
      </c>
      <c r="C43" s="319">
        <f>C$16*B43</f>
        <v>739.99917166554326</v>
      </c>
      <c r="D43" s="331">
        <v>0.08</v>
      </c>
      <c r="E43" s="319">
        <f>E$16*D43</f>
        <v>0</v>
      </c>
      <c r="G43" s="405">
        <v>0.08</v>
      </c>
      <c r="H43" s="319">
        <f>H$16*G43</f>
        <v>730.94399999999996</v>
      </c>
      <c r="I43" s="331">
        <v>0.08</v>
      </c>
      <c r="J43" s="319">
        <f>J$16*I43</f>
        <v>0</v>
      </c>
      <c r="K43" s="223" t="s">
        <v>3</v>
      </c>
      <c r="L43" s="426" t="s">
        <v>573</v>
      </c>
    </row>
    <row r="44" spans="1:12" ht="15" customHeight="1" x14ac:dyDescent="0.3">
      <c r="A44" s="396" t="s">
        <v>534</v>
      </c>
      <c r="B44" s="405">
        <v>1.4999999999999999E-2</v>
      </c>
      <c r="C44" s="319">
        <f>C$17*B44</f>
        <v>184.99979291638584</v>
      </c>
      <c r="D44" s="331">
        <v>1.4999999999999999E-2</v>
      </c>
      <c r="E44" s="319">
        <f>E$17*D44</f>
        <v>69.374922343644684</v>
      </c>
      <c r="G44" s="405">
        <v>1.4999999999999999E-2</v>
      </c>
      <c r="H44" s="319">
        <f>H$17*G44</f>
        <v>182.73600000000002</v>
      </c>
      <c r="I44" s="331">
        <v>1.4999999999999999E-2</v>
      </c>
      <c r="J44" s="319">
        <f>J$17*I44</f>
        <v>68.525999999999996</v>
      </c>
      <c r="K44" s="223" t="s">
        <v>3</v>
      </c>
      <c r="L44" s="426" t="s">
        <v>573</v>
      </c>
    </row>
    <row r="45" spans="1:12" ht="15" customHeight="1" x14ac:dyDescent="0.3">
      <c r="A45" s="396" t="s">
        <v>519</v>
      </c>
      <c r="B45" s="405">
        <v>1E-3</v>
      </c>
      <c r="C45" s="319">
        <f>C$18*B45</f>
        <v>3.3916628701337403</v>
      </c>
      <c r="D45" s="331">
        <v>1E-3</v>
      </c>
      <c r="E45" s="319">
        <f>E$18*D45</f>
        <v>6.1666597638795286</v>
      </c>
      <c r="G45" s="405">
        <v>1E-3</v>
      </c>
      <c r="H45" s="319">
        <f>H$18*G45</f>
        <v>3.3501599999999998</v>
      </c>
      <c r="I45" s="331">
        <v>1E-3</v>
      </c>
      <c r="J45" s="319">
        <f>J$18*I45</f>
        <v>6.0912000000000006</v>
      </c>
      <c r="K45" s="223"/>
      <c r="L45" s="426" t="s">
        <v>573</v>
      </c>
    </row>
    <row r="46" spans="1:12" ht="15" customHeight="1" x14ac:dyDescent="0.3">
      <c r="A46" s="396" t="s">
        <v>516</v>
      </c>
      <c r="B46" s="405">
        <v>0</v>
      </c>
      <c r="C46" s="319">
        <f>C$19*B46</f>
        <v>0</v>
      </c>
      <c r="D46" s="331">
        <v>0</v>
      </c>
      <c r="E46" s="319">
        <f>E$19*D46</f>
        <v>0</v>
      </c>
      <c r="G46" s="405">
        <v>0</v>
      </c>
      <c r="H46" s="319">
        <f>H$19*G46</f>
        <v>0</v>
      </c>
      <c r="I46" s="331">
        <v>0</v>
      </c>
      <c r="J46" s="319">
        <f>J$19*I46</f>
        <v>0</v>
      </c>
      <c r="K46" s="223"/>
      <c r="L46" s="426" t="s">
        <v>573</v>
      </c>
    </row>
    <row r="47" spans="1:12" ht="15" customHeight="1" x14ac:dyDescent="0.3">
      <c r="A47" s="396" t="s">
        <v>517</v>
      </c>
      <c r="B47" s="405">
        <v>0</v>
      </c>
      <c r="C47" s="319">
        <f>C$20*B47</f>
        <v>0</v>
      </c>
      <c r="D47" s="331">
        <v>0</v>
      </c>
      <c r="E47" s="319">
        <f>E$20*D47</f>
        <v>0</v>
      </c>
      <c r="G47" s="405">
        <v>0</v>
      </c>
      <c r="H47" s="319">
        <f>H$20*G47</f>
        <v>0</v>
      </c>
      <c r="I47" s="331">
        <v>0</v>
      </c>
      <c r="J47" s="319">
        <f>J$20*I47</f>
        <v>0</v>
      </c>
      <c r="K47" s="223"/>
      <c r="L47" s="426" t="s">
        <v>573</v>
      </c>
    </row>
    <row r="48" spans="1:12" ht="14.4" x14ac:dyDescent="0.3">
      <c r="A48" s="396" t="s">
        <v>518</v>
      </c>
      <c r="B48" s="405">
        <v>0</v>
      </c>
      <c r="C48" s="319">
        <f>C$21*B48</f>
        <v>0</v>
      </c>
      <c r="D48" s="331">
        <v>0</v>
      </c>
      <c r="E48" s="319">
        <f>E$21*D48</f>
        <v>0</v>
      </c>
      <c r="G48" s="405">
        <v>0</v>
      </c>
      <c r="H48" s="319">
        <f>H$21*G48</f>
        <v>0</v>
      </c>
      <c r="I48" s="331">
        <v>0</v>
      </c>
      <c r="J48" s="319">
        <f>J$21*I48</f>
        <v>0</v>
      </c>
      <c r="K48" s="223" t="s">
        <v>3</v>
      </c>
      <c r="L48" s="426" t="s">
        <v>573</v>
      </c>
    </row>
    <row r="49" spans="1:12" ht="14.4" thickBot="1" x14ac:dyDescent="0.3">
      <c r="A49" s="397"/>
      <c r="B49" s="413"/>
      <c r="C49" s="337">
        <f>SUM(C43:C48)</f>
        <v>928.39062745206286</v>
      </c>
      <c r="D49" s="336"/>
      <c r="E49" s="337">
        <f>SUM(E43:E48)</f>
        <v>75.541582107524206</v>
      </c>
      <c r="F49" s="16"/>
      <c r="G49" s="413"/>
      <c r="H49" s="337">
        <f>SUM(H43:H48)</f>
        <v>917.03015999999991</v>
      </c>
      <c r="I49" s="336"/>
      <c r="J49" s="337">
        <f>SUM(J43:J48)</f>
        <v>74.617199999999997</v>
      </c>
      <c r="K49" s="223" t="s">
        <v>3</v>
      </c>
      <c r="L49" s="222" t="s">
        <v>3</v>
      </c>
    </row>
    <row r="50" spans="1:12" x14ac:dyDescent="0.25">
      <c r="A50" s="223" t="s">
        <v>3</v>
      </c>
      <c r="B50" s="223" t="s">
        <v>3</v>
      </c>
      <c r="C50" s="223" t="s">
        <v>3</v>
      </c>
      <c r="D50" s="223" t="s">
        <v>3</v>
      </c>
      <c r="E50" s="223" t="s">
        <v>3</v>
      </c>
      <c r="F50" s="223" t="s">
        <v>3</v>
      </c>
      <c r="G50" s="223" t="s">
        <v>3</v>
      </c>
      <c r="H50" s="223" t="s">
        <v>3</v>
      </c>
      <c r="I50" s="223" t="s">
        <v>3</v>
      </c>
      <c r="J50" s="223" t="s">
        <v>3</v>
      </c>
      <c r="K50" s="223" t="s">
        <v>3</v>
      </c>
      <c r="L50" s="222" t="s">
        <v>3</v>
      </c>
    </row>
    <row r="51" spans="1:12" ht="14.4" x14ac:dyDescent="0.3">
      <c r="A51" s="414" t="s">
        <v>525</v>
      </c>
      <c r="B51" s="391"/>
      <c r="C51" s="319"/>
      <c r="D51" s="335"/>
      <c r="E51" s="319"/>
      <c r="G51" s="323"/>
      <c r="H51" s="319"/>
      <c r="I51" s="323"/>
      <c r="J51" s="319"/>
      <c r="K51" s="223"/>
      <c r="L51" s="281"/>
    </row>
    <row r="52" spans="1:12" ht="14.4" x14ac:dyDescent="0.3">
      <c r="A52" s="396" t="s">
        <v>524</v>
      </c>
      <c r="B52" s="405">
        <v>0.03</v>
      </c>
      <c r="C52" s="319">
        <f>C$16*B52</f>
        <v>277.49968937457874</v>
      </c>
      <c r="D52" s="331">
        <v>0.03</v>
      </c>
      <c r="E52" s="319">
        <f>E$16*D52</f>
        <v>0</v>
      </c>
      <c r="G52" s="405">
        <v>0.03</v>
      </c>
      <c r="H52" s="319">
        <f>H$16*G52</f>
        <v>274.10399999999998</v>
      </c>
      <c r="I52" s="331">
        <v>0.03</v>
      </c>
      <c r="J52" s="319">
        <f>J$16*I52</f>
        <v>0</v>
      </c>
      <c r="K52" s="223" t="s">
        <v>3</v>
      </c>
      <c r="L52" s="426" t="s">
        <v>573</v>
      </c>
    </row>
    <row r="53" spans="1:12" ht="15" customHeight="1" x14ac:dyDescent="0.3">
      <c r="A53" s="396" t="s">
        <v>534</v>
      </c>
      <c r="B53" s="405">
        <v>0</v>
      </c>
      <c r="C53" s="319">
        <f>C$17*B53</f>
        <v>0</v>
      </c>
      <c r="D53" s="331">
        <v>0</v>
      </c>
      <c r="E53" s="319">
        <f>E$17*D53</f>
        <v>0</v>
      </c>
      <c r="G53" s="405">
        <v>0</v>
      </c>
      <c r="H53" s="319">
        <f>H$17*G53</f>
        <v>0</v>
      </c>
      <c r="I53" s="331">
        <v>0</v>
      </c>
      <c r="J53" s="319">
        <f>J$17*I53</f>
        <v>0</v>
      </c>
      <c r="K53" s="223" t="s">
        <v>3</v>
      </c>
      <c r="L53" s="426" t="s">
        <v>573</v>
      </c>
    </row>
    <row r="54" spans="1:12" ht="15" customHeight="1" x14ac:dyDescent="0.3">
      <c r="A54" s="396" t="s">
        <v>519</v>
      </c>
      <c r="B54" s="405">
        <v>0</v>
      </c>
      <c r="C54" s="319">
        <f>C$18*B54</f>
        <v>0</v>
      </c>
      <c r="D54" s="331">
        <v>0</v>
      </c>
      <c r="E54" s="319">
        <f>E$18*D54</f>
        <v>0</v>
      </c>
      <c r="G54" s="405">
        <v>0</v>
      </c>
      <c r="H54" s="319">
        <f>H$18*G54</f>
        <v>0</v>
      </c>
      <c r="I54" s="331">
        <v>0</v>
      </c>
      <c r="J54" s="319">
        <f>J$18*I54</f>
        <v>0</v>
      </c>
      <c r="K54" s="223"/>
      <c r="L54" s="426" t="s">
        <v>573</v>
      </c>
    </row>
    <row r="55" spans="1:12" ht="15" customHeight="1" x14ac:dyDescent="0.3">
      <c r="A55" s="396" t="s">
        <v>516</v>
      </c>
      <c r="B55" s="405">
        <v>0</v>
      </c>
      <c r="C55" s="319">
        <f>C$19*B55</f>
        <v>0</v>
      </c>
      <c r="D55" s="331">
        <v>0</v>
      </c>
      <c r="E55" s="319">
        <f>E$19*D55</f>
        <v>0</v>
      </c>
      <c r="G55" s="405">
        <v>0</v>
      </c>
      <c r="H55" s="319">
        <f>H$19*G55</f>
        <v>0</v>
      </c>
      <c r="I55" s="331">
        <v>0</v>
      </c>
      <c r="J55" s="319">
        <f>J$19*I55</f>
        <v>0</v>
      </c>
      <c r="K55" s="223"/>
      <c r="L55" s="426" t="s">
        <v>573</v>
      </c>
    </row>
    <row r="56" spans="1:12" ht="15" customHeight="1" x14ac:dyDescent="0.3">
      <c r="A56" s="396" t="s">
        <v>517</v>
      </c>
      <c r="B56" s="405">
        <v>0</v>
      </c>
      <c r="C56" s="319">
        <f>C$20*B56</f>
        <v>0</v>
      </c>
      <c r="D56" s="331">
        <v>0</v>
      </c>
      <c r="E56" s="319">
        <f>E$20*D56</f>
        <v>0</v>
      </c>
      <c r="G56" s="405">
        <v>0</v>
      </c>
      <c r="H56" s="319">
        <f>H$20*G56</f>
        <v>0</v>
      </c>
      <c r="I56" s="331">
        <v>0</v>
      </c>
      <c r="J56" s="319">
        <f>J$20*I56</f>
        <v>0</v>
      </c>
      <c r="K56" s="223"/>
      <c r="L56" s="426" t="s">
        <v>573</v>
      </c>
    </row>
    <row r="57" spans="1:12" ht="14.4" x14ac:dyDescent="0.3">
      <c r="A57" s="396" t="s">
        <v>518</v>
      </c>
      <c r="B57" s="405">
        <v>0</v>
      </c>
      <c r="C57" s="319">
        <f>C$21*B57</f>
        <v>0</v>
      </c>
      <c r="D57" s="331">
        <v>0</v>
      </c>
      <c r="E57" s="319">
        <f>E$21*D57</f>
        <v>0</v>
      </c>
      <c r="G57" s="405">
        <v>0</v>
      </c>
      <c r="H57" s="319">
        <f>H$21*G57</f>
        <v>0</v>
      </c>
      <c r="I57" s="331">
        <v>0</v>
      </c>
      <c r="J57" s="319">
        <f>J$21*I57</f>
        <v>0</v>
      </c>
      <c r="K57" s="223" t="s">
        <v>3</v>
      </c>
      <c r="L57" s="426" t="s">
        <v>573</v>
      </c>
    </row>
    <row r="58" spans="1:12" ht="14.4" thickBot="1" x14ac:dyDescent="0.3">
      <c r="A58" s="397"/>
      <c r="B58" s="413"/>
      <c r="C58" s="337">
        <f>SUM(C52:C57)</f>
        <v>277.49968937457874</v>
      </c>
      <c r="D58" s="336"/>
      <c r="E58" s="337">
        <f>SUM(E52:E57)</f>
        <v>0</v>
      </c>
      <c r="F58" s="16"/>
      <c r="G58" s="413"/>
      <c r="H58" s="337">
        <f>SUM(H52:H57)</f>
        <v>274.10399999999998</v>
      </c>
      <c r="I58" s="336"/>
      <c r="J58" s="337">
        <f>SUM(J52:J57)</f>
        <v>0</v>
      </c>
      <c r="K58" s="223" t="s">
        <v>3</v>
      </c>
      <c r="L58" s="222" t="s">
        <v>3</v>
      </c>
    </row>
    <row r="59" spans="1:12" x14ac:dyDescent="0.25">
      <c r="A59" s="223" t="s">
        <v>3</v>
      </c>
      <c r="B59" s="223" t="s">
        <v>3</v>
      </c>
      <c r="C59" s="223" t="s">
        <v>3</v>
      </c>
      <c r="D59" s="223" t="s">
        <v>3</v>
      </c>
      <c r="E59" s="223" t="s">
        <v>3</v>
      </c>
      <c r="F59" s="223" t="s">
        <v>3</v>
      </c>
      <c r="G59" s="223" t="s">
        <v>3</v>
      </c>
      <c r="H59" s="223" t="s">
        <v>3</v>
      </c>
      <c r="I59" s="223" t="s">
        <v>3</v>
      </c>
      <c r="J59" s="223" t="s">
        <v>3</v>
      </c>
      <c r="K59" s="223" t="s">
        <v>3</v>
      </c>
      <c r="L59" s="222" t="s">
        <v>3</v>
      </c>
    </row>
    <row r="60" spans="1:12" ht="14.4" x14ac:dyDescent="0.3">
      <c r="A60" s="414" t="s">
        <v>526</v>
      </c>
      <c r="B60" s="391"/>
      <c r="C60" s="319"/>
      <c r="D60" s="335"/>
      <c r="E60" s="319"/>
      <c r="G60" s="323"/>
      <c r="H60" s="319"/>
      <c r="I60" s="323"/>
      <c r="J60" s="319"/>
      <c r="K60" s="223"/>
      <c r="L60" s="281"/>
    </row>
    <row r="61" spans="1:12" ht="14.4" x14ac:dyDescent="0.3">
      <c r="A61" s="396" t="s">
        <v>524</v>
      </c>
      <c r="B61" s="405">
        <v>0.06</v>
      </c>
      <c r="C61" s="319">
        <f>C$16*B61</f>
        <v>554.99937874915747</v>
      </c>
      <c r="D61" s="331">
        <v>0.06</v>
      </c>
      <c r="E61" s="319">
        <f>E$16*D61</f>
        <v>0</v>
      </c>
      <c r="G61" s="405">
        <v>0.06</v>
      </c>
      <c r="H61" s="319">
        <f>H$16*G61</f>
        <v>548.20799999999997</v>
      </c>
      <c r="I61" s="331">
        <v>0.06</v>
      </c>
      <c r="J61" s="319">
        <f>J$16*I61</f>
        <v>0</v>
      </c>
      <c r="K61" s="223" t="s">
        <v>3</v>
      </c>
      <c r="L61" s="426" t="s">
        <v>573</v>
      </c>
    </row>
    <row r="62" spans="1:12" ht="15" customHeight="1" x14ac:dyDescent="0.3">
      <c r="A62" s="396" t="s">
        <v>534</v>
      </c>
      <c r="B62" s="405">
        <v>0.04</v>
      </c>
      <c r="C62" s="319">
        <f>C$17*B62</f>
        <v>493.3327811103623</v>
      </c>
      <c r="D62" s="331">
        <v>0.04</v>
      </c>
      <c r="E62" s="319">
        <f>E$17*D62</f>
        <v>184.99979291638581</v>
      </c>
      <c r="G62" s="405">
        <v>0.04</v>
      </c>
      <c r="H62" s="319">
        <f>H$17*G62</f>
        <v>487.29600000000005</v>
      </c>
      <c r="I62" s="331">
        <v>0.04</v>
      </c>
      <c r="J62" s="319">
        <f>J$17*I62</f>
        <v>182.73599999999999</v>
      </c>
      <c r="K62" s="223" t="s">
        <v>3</v>
      </c>
      <c r="L62" s="426" t="s">
        <v>573</v>
      </c>
    </row>
    <row r="63" spans="1:12" ht="15" customHeight="1" x14ac:dyDescent="0.3">
      <c r="A63" s="396" t="s">
        <v>519</v>
      </c>
      <c r="B63" s="405">
        <v>0.04</v>
      </c>
      <c r="C63" s="319">
        <f>C$18*B63</f>
        <v>135.66651480534961</v>
      </c>
      <c r="D63" s="331">
        <v>0.04</v>
      </c>
      <c r="E63" s="319">
        <f>E$18*D63</f>
        <v>246.66639055518115</v>
      </c>
      <c r="G63" s="405">
        <v>0.04</v>
      </c>
      <c r="H63" s="319">
        <f>H$18*G63</f>
        <v>134.00639999999999</v>
      </c>
      <c r="I63" s="331">
        <v>0.04</v>
      </c>
      <c r="J63" s="319">
        <f>J$18*I63</f>
        <v>243.64800000000002</v>
      </c>
      <c r="K63" s="223"/>
      <c r="L63" s="426" t="s">
        <v>573</v>
      </c>
    </row>
    <row r="64" spans="1:12" ht="15" customHeight="1" x14ac:dyDescent="0.3">
      <c r="A64" s="396" t="s">
        <v>516</v>
      </c>
      <c r="B64" s="405">
        <v>3.5000000000000003E-2</v>
      </c>
      <c r="C64" s="319">
        <f>C$19*B64</f>
        <v>107.91654586789176</v>
      </c>
      <c r="D64" s="331">
        <v>3.5000000000000003E-2</v>
      </c>
      <c r="E64" s="319">
        <f>E$19*D64</f>
        <v>269.79136466972938</v>
      </c>
      <c r="G64" s="405">
        <v>3.5000000000000003E-2</v>
      </c>
      <c r="H64" s="319">
        <f>H$19*G64</f>
        <v>106.59600000000002</v>
      </c>
      <c r="I64" s="331">
        <v>3.5000000000000003E-2</v>
      </c>
      <c r="J64" s="319">
        <f>J$19*I64</f>
        <v>266.49</v>
      </c>
      <c r="K64" s="223"/>
      <c r="L64" s="426" t="s">
        <v>573</v>
      </c>
    </row>
    <row r="65" spans="1:12" ht="15" customHeight="1" x14ac:dyDescent="0.3">
      <c r="A65" s="396" t="s">
        <v>517</v>
      </c>
      <c r="B65" s="405">
        <v>2.9000000000000001E-2</v>
      </c>
      <c r="C65" s="319">
        <f>C$20*B65</f>
        <v>26.824969972875948</v>
      </c>
      <c r="D65" s="331">
        <v>2.9000000000000001E-2</v>
      </c>
      <c r="E65" s="319">
        <f>E$20*D65</f>
        <v>178.83313315250632</v>
      </c>
      <c r="G65" s="405">
        <v>2.9000000000000001E-2</v>
      </c>
      <c r="H65" s="319">
        <f>H$20*G65</f>
        <v>26.49672</v>
      </c>
      <c r="I65" s="331">
        <v>2.9000000000000001E-2</v>
      </c>
      <c r="J65" s="319">
        <f>J$20*I65</f>
        <v>176.64480000000003</v>
      </c>
      <c r="K65" s="223"/>
      <c r="L65" s="426" t="s">
        <v>573</v>
      </c>
    </row>
    <row r="66" spans="1:12" ht="14.4" x14ac:dyDescent="0.3">
      <c r="A66" s="396" t="s">
        <v>518</v>
      </c>
      <c r="B66" s="405">
        <v>0.06</v>
      </c>
      <c r="C66" s="319">
        <f>C$21*B66</f>
        <v>110.99987574983149</v>
      </c>
      <c r="D66" s="331">
        <v>0.06</v>
      </c>
      <c r="E66" s="319">
        <f>E$21*D66</f>
        <v>369.99958583277169</v>
      </c>
      <c r="G66" s="405">
        <v>0.06</v>
      </c>
      <c r="H66" s="319">
        <f>H$21*G66</f>
        <v>109.6416</v>
      </c>
      <c r="I66" s="331">
        <v>0.06</v>
      </c>
      <c r="J66" s="319">
        <f>J$21*I66</f>
        <v>365.47200000000004</v>
      </c>
      <c r="K66" s="223" t="s">
        <v>3</v>
      </c>
      <c r="L66" s="426" t="s">
        <v>573</v>
      </c>
    </row>
    <row r="67" spans="1:12" ht="14.4" thickBot="1" x14ac:dyDescent="0.3">
      <c r="A67" s="397"/>
      <c r="B67" s="413"/>
      <c r="C67" s="337">
        <f>SUM(C61:C66)</f>
        <v>1429.7400662554687</v>
      </c>
      <c r="D67" s="336"/>
      <c r="E67" s="337">
        <f>SUM(E61:E66)</f>
        <v>1250.2902671265742</v>
      </c>
      <c r="F67" s="16"/>
      <c r="G67" s="413"/>
      <c r="H67" s="337">
        <f>SUM(H61:H66)</f>
        <v>1412.2447199999999</v>
      </c>
      <c r="I67" s="336"/>
      <c r="J67" s="337">
        <f>SUM(J61:J66)</f>
        <v>1234.9908</v>
      </c>
      <c r="K67" s="223" t="s">
        <v>3</v>
      </c>
      <c r="L67" s="222" t="s">
        <v>3</v>
      </c>
    </row>
    <row r="68" spans="1:12" ht="14.4" x14ac:dyDescent="0.3">
      <c r="A68" s="414" t="s">
        <v>540</v>
      </c>
      <c r="B68" s="391"/>
      <c r="C68" s="319"/>
      <c r="D68" s="335"/>
      <c r="E68" s="319"/>
      <c r="G68" s="323"/>
      <c r="H68" s="319"/>
      <c r="I68" s="323"/>
      <c r="J68" s="319"/>
      <c r="K68" s="223"/>
      <c r="L68" s="281"/>
    </row>
    <row r="69" spans="1:12" ht="14.4" x14ac:dyDescent="0.3">
      <c r="A69" s="396" t="s">
        <v>524</v>
      </c>
      <c r="B69" s="405">
        <v>0.03</v>
      </c>
      <c r="C69" s="319">
        <f>C$16*B69</f>
        <v>277.49968937457874</v>
      </c>
      <c r="D69" s="331">
        <v>0.03</v>
      </c>
      <c r="E69" s="319">
        <f>E$16*D69</f>
        <v>0</v>
      </c>
      <c r="G69" s="405">
        <v>0.03</v>
      </c>
      <c r="H69" s="319">
        <f>H$16*G69</f>
        <v>274.10399999999998</v>
      </c>
      <c r="I69" s="331">
        <v>0.03</v>
      </c>
      <c r="J69" s="319">
        <f>J$16*I69</f>
        <v>0</v>
      </c>
      <c r="K69" s="223" t="s">
        <v>3</v>
      </c>
      <c r="L69" s="426" t="s">
        <v>573</v>
      </c>
    </row>
    <row r="70" spans="1:12" ht="15" customHeight="1" x14ac:dyDescent="0.3">
      <c r="A70" s="396" t="s">
        <v>534</v>
      </c>
      <c r="B70" s="405">
        <v>0.02</v>
      </c>
      <c r="C70" s="319">
        <f>C$17*B70</f>
        <v>246.66639055518115</v>
      </c>
      <c r="D70" s="331">
        <v>0.02</v>
      </c>
      <c r="E70" s="319">
        <f>E$17*D70</f>
        <v>92.499896458192907</v>
      </c>
      <c r="G70" s="405">
        <v>0.02</v>
      </c>
      <c r="H70" s="319">
        <f>H$17*G70</f>
        <v>243.64800000000002</v>
      </c>
      <c r="I70" s="331">
        <v>0.02</v>
      </c>
      <c r="J70" s="319">
        <f>J$17*I70</f>
        <v>91.367999999999995</v>
      </c>
      <c r="K70" s="223" t="s">
        <v>3</v>
      </c>
      <c r="L70" s="426" t="s">
        <v>573</v>
      </c>
    </row>
    <row r="71" spans="1:12" ht="15" customHeight="1" x14ac:dyDescent="0.3">
      <c r="A71" s="396" t="s">
        <v>519</v>
      </c>
      <c r="B71" s="405">
        <v>0.02</v>
      </c>
      <c r="C71" s="319">
        <f>C$18*B71</f>
        <v>67.833257402674803</v>
      </c>
      <c r="D71" s="331">
        <v>0.02</v>
      </c>
      <c r="E71" s="319">
        <f>E$18*D71</f>
        <v>123.33319527759058</v>
      </c>
      <c r="G71" s="405">
        <v>0.02</v>
      </c>
      <c r="H71" s="319">
        <f>H$18*G71</f>
        <v>67.003199999999993</v>
      </c>
      <c r="I71" s="331">
        <v>0.02</v>
      </c>
      <c r="J71" s="319">
        <f>J$18*I71</f>
        <v>121.82400000000001</v>
      </c>
      <c r="K71" s="223"/>
      <c r="L71" s="426" t="s">
        <v>573</v>
      </c>
    </row>
    <row r="72" spans="1:12" ht="15" customHeight="1" x14ac:dyDescent="0.3">
      <c r="A72" s="396" t="s">
        <v>516</v>
      </c>
      <c r="B72" s="405">
        <v>5.0000000000000001E-3</v>
      </c>
      <c r="C72" s="319">
        <f>C$19*B72</f>
        <v>15.416649409698822</v>
      </c>
      <c r="D72" s="331">
        <v>5.0000000000000001E-3</v>
      </c>
      <c r="E72" s="319">
        <f>E$19*D72</f>
        <v>38.541623524247051</v>
      </c>
      <c r="G72" s="405">
        <v>5.0000000000000001E-3</v>
      </c>
      <c r="H72" s="319">
        <f>H$19*G72</f>
        <v>15.228000000000002</v>
      </c>
      <c r="I72" s="331">
        <v>5.0000000000000001E-3</v>
      </c>
      <c r="J72" s="319">
        <f>J$19*I72</f>
        <v>38.07</v>
      </c>
      <c r="K72" s="223"/>
      <c r="L72" s="426" t="s">
        <v>573</v>
      </c>
    </row>
    <row r="73" spans="1:12" ht="15" customHeight="1" x14ac:dyDescent="0.3">
      <c r="A73" s="396" t="s">
        <v>517</v>
      </c>
      <c r="B73" s="405">
        <v>0</v>
      </c>
      <c r="C73" s="319">
        <f>C$20*B73</f>
        <v>0</v>
      </c>
      <c r="D73" s="331">
        <v>0</v>
      </c>
      <c r="E73" s="319">
        <f>E$20*D73</f>
        <v>0</v>
      </c>
      <c r="G73" s="405">
        <v>0</v>
      </c>
      <c r="H73" s="319">
        <f>H$20*G73</f>
        <v>0</v>
      </c>
      <c r="I73" s="331">
        <v>0</v>
      </c>
      <c r="J73" s="319">
        <f>J$20*I73</f>
        <v>0</v>
      </c>
      <c r="K73" s="223"/>
      <c r="L73" s="426" t="s">
        <v>573</v>
      </c>
    </row>
    <row r="74" spans="1:12" ht="14.4" x14ac:dyDescent="0.3">
      <c r="A74" s="396" t="s">
        <v>518</v>
      </c>
      <c r="B74" s="405">
        <v>0</v>
      </c>
      <c r="C74" s="319">
        <f>C$21*B74</f>
        <v>0</v>
      </c>
      <c r="D74" s="331">
        <v>0</v>
      </c>
      <c r="E74" s="319">
        <f>E$21*D74</f>
        <v>0</v>
      </c>
      <c r="G74" s="405">
        <v>0</v>
      </c>
      <c r="H74" s="319">
        <f>H$21*G74</f>
        <v>0</v>
      </c>
      <c r="I74" s="331">
        <v>0</v>
      </c>
      <c r="J74" s="319">
        <f>J$21*I74</f>
        <v>0</v>
      </c>
      <c r="K74" s="223" t="s">
        <v>3</v>
      </c>
      <c r="L74" s="426" t="s">
        <v>573</v>
      </c>
    </row>
    <row r="75" spans="1:12" ht="14.4" thickBot="1" x14ac:dyDescent="0.3">
      <c r="A75" s="397"/>
      <c r="B75" s="413"/>
      <c r="C75" s="337">
        <f>SUM(C69:C74)</f>
        <v>607.41598674213355</v>
      </c>
      <c r="D75" s="336"/>
      <c r="E75" s="337">
        <f>SUM(E69:E74)</f>
        <v>254.37471526003054</v>
      </c>
      <c r="F75" s="16"/>
      <c r="G75" s="413"/>
      <c r="H75" s="337">
        <f>SUM(H69:H74)</f>
        <v>599.9831999999999</v>
      </c>
      <c r="I75" s="336"/>
      <c r="J75" s="337">
        <f>SUM(J69:J74)</f>
        <v>251.262</v>
      </c>
      <c r="K75" s="223" t="s">
        <v>3</v>
      </c>
      <c r="L75" s="222" t="s">
        <v>3</v>
      </c>
    </row>
    <row r="76" spans="1:12" ht="27.6" hidden="1" x14ac:dyDescent="0.3">
      <c r="A76" s="414" t="s">
        <v>541</v>
      </c>
      <c r="B76" s="391"/>
      <c r="C76" s="319"/>
      <c r="D76" s="335"/>
      <c r="E76" s="319"/>
      <c r="G76" s="323"/>
      <c r="H76" s="319"/>
      <c r="I76" s="323"/>
      <c r="J76" s="319"/>
      <c r="K76" s="223"/>
      <c r="L76" s="281"/>
    </row>
    <row r="77" spans="1:12" ht="14.4" hidden="1" x14ac:dyDescent="0.3">
      <c r="A77" s="396" t="s">
        <v>524</v>
      </c>
      <c r="B77" s="418">
        <v>0</v>
      </c>
      <c r="C77" s="319">
        <f>C$16*B77</f>
        <v>0</v>
      </c>
      <c r="D77" s="419">
        <v>0</v>
      </c>
      <c r="E77" s="319">
        <f>E$16*D77</f>
        <v>0</v>
      </c>
      <c r="G77" s="418">
        <v>0</v>
      </c>
      <c r="H77" s="319">
        <f>H$16*G77</f>
        <v>0</v>
      </c>
      <c r="I77" s="419">
        <v>0</v>
      </c>
      <c r="J77" s="319">
        <f>J$16*I77</f>
        <v>0</v>
      </c>
      <c r="K77" s="223" t="s">
        <v>3</v>
      </c>
      <c r="L77" s="324"/>
    </row>
    <row r="78" spans="1:12" ht="15" hidden="1" customHeight="1" x14ac:dyDescent="0.25">
      <c r="A78" s="396" t="s">
        <v>534</v>
      </c>
      <c r="B78" s="405">
        <v>0.1</v>
      </c>
      <c r="C78" s="319">
        <f>C$17*B78</f>
        <v>1233.3319527759058</v>
      </c>
      <c r="D78" s="331">
        <v>0.1</v>
      </c>
      <c r="E78" s="319">
        <f>E$17*D78</f>
        <v>462.49948229096458</v>
      </c>
      <c r="G78" s="405">
        <v>0.1</v>
      </c>
      <c r="H78" s="319">
        <f>H$17*G78</f>
        <v>1218.2400000000002</v>
      </c>
      <c r="I78" s="331">
        <v>0.1</v>
      </c>
      <c r="J78" s="319">
        <f>J$17*I78</f>
        <v>456.84</v>
      </c>
      <c r="K78" s="223" t="s">
        <v>3</v>
      </c>
      <c r="L78" s="325"/>
    </row>
    <row r="79" spans="1:12" ht="15" hidden="1" customHeight="1" x14ac:dyDescent="0.25">
      <c r="A79" s="396" t="s">
        <v>519</v>
      </c>
      <c r="B79" s="405">
        <v>5.0000000000000001E-3</v>
      </c>
      <c r="C79" s="319">
        <f>C$18*B79</f>
        <v>16.958314350668701</v>
      </c>
      <c r="D79" s="331">
        <v>5.0000000000000001E-3</v>
      </c>
      <c r="E79" s="319">
        <f>E$18*D79</f>
        <v>30.833298819397644</v>
      </c>
      <c r="G79" s="405">
        <v>5.0000000000000001E-3</v>
      </c>
      <c r="H79" s="319">
        <f>H$18*G79</f>
        <v>16.750799999999998</v>
      </c>
      <c r="I79" s="331">
        <v>5.0000000000000001E-3</v>
      </c>
      <c r="J79" s="319">
        <f>J$18*I79</f>
        <v>30.456000000000003</v>
      </c>
      <c r="K79" s="223"/>
      <c r="L79" s="325"/>
    </row>
    <row r="80" spans="1:12" ht="15" hidden="1" customHeight="1" x14ac:dyDescent="0.25">
      <c r="A80" s="396" t="s">
        <v>516</v>
      </c>
      <c r="B80" s="405">
        <v>0.06</v>
      </c>
      <c r="C80" s="319">
        <f>C$19*B80</f>
        <v>184.99979291638584</v>
      </c>
      <c r="D80" s="331">
        <v>0.06</v>
      </c>
      <c r="E80" s="319">
        <f>E$19*D80</f>
        <v>462.49948229096458</v>
      </c>
      <c r="G80" s="405">
        <v>0.06</v>
      </c>
      <c r="H80" s="319">
        <f>H$19*G80</f>
        <v>182.73600000000002</v>
      </c>
      <c r="I80" s="331">
        <v>0.06</v>
      </c>
      <c r="J80" s="319">
        <f>J$19*I80</f>
        <v>456.84</v>
      </c>
      <c r="K80" s="223"/>
      <c r="L80" s="325"/>
    </row>
    <row r="81" spans="1:12" ht="15" hidden="1" customHeight="1" x14ac:dyDescent="0.25">
      <c r="A81" s="396" t="s">
        <v>517</v>
      </c>
      <c r="B81" s="405">
        <v>7.4999999999999997E-2</v>
      </c>
      <c r="C81" s="319">
        <f>C$20*B81</f>
        <v>69.374922343644684</v>
      </c>
      <c r="D81" s="331">
        <v>7.4999999999999997E-2</v>
      </c>
      <c r="E81" s="319">
        <f>E$20*D81</f>
        <v>462.49948229096458</v>
      </c>
      <c r="G81" s="405">
        <v>7.4999999999999997E-2</v>
      </c>
      <c r="H81" s="319">
        <f>H$20*G81</f>
        <v>68.525999999999996</v>
      </c>
      <c r="I81" s="331">
        <v>7.4999999999999997E-2</v>
      </c>
      <c r="J81" s="319">
        <f>J$20*I81</f>
        <v>456.84000000000003</v>
      </c>
      <c r="K81" s="223"/>
      <c r="L81" s="325"/>
    </row>
    <row r="82" spans="1:12" ht="14.4" hidden="1" x14ac:dyDescent="0.3">
      <c r="A82" s="396" t="s">
        <v>518</v>
      </c>
      <c r="B82" s="405">
        <v>0.05</v>
      </c>
      <c r="C82" s="319">
        <f>C$21*B82</f>
        <v>92.499896458192922</v>
      </c>
      <c r="D82" s="331">
        <v>0.05</v>
      </c>
      <c r="E82" s="319">
        <f>E$21*D82</f>
        <v>308.33298819397646</v>
      </c>
      <c r="G82" s="405">
        <v>0.05</v>
      </c>
      <c r="H82" s="319">
        <f>H$21*G82</f>
        <v>91.367999999999995</v>
      </c>
      <c r="I82" s="331">
        <v>0.05</v>
      </c>
      <c r="J82" s="319">
        <f>J$21*I82</f>
        <v>304.56000000000006</v>
      </c>
      <c r="K82" s="223" t="s">
        <v>3</v>
      </c>
      <c r="L82" s="324"/>
    </row>
    <row r="83" spans="1:12" ht="14.4" hidden="1" thickBot="1" x14ac:dyDescent="0.3">
      <c r="A83" s="397"/>
      <c r="B83" s="413"/>
      <c r="C83" s="337">
        <f>SUM(C77:C82)</f>
        <v>1597.1648788447978</v>
      </c>
      <c r="D83" s="336"/>
      <c r="E83" s="337">
        <f>SUM(E77:E82)</f>
        <v>1726.6647338862679</v>
      </c>
      <c r="F83" s="16"/>
      <c r="G83" s="413"/>
      <c r="H83" s="337">
        <f>SUM(H77:H82)</f>
        <v>1577.6208000000004</v>
      </c>
      <c r="I83" s="336"/>
      <c r="J83" s="337">
        <f>SUM(J77:J82)</f>
        <v>1705.5360000000001</v>
      </c>
      <c r="K83" s="223" t="s">
        <v>3</v>
      </c>
      <c r="L83" s="222" t="s">
        <v>3</v>
      </c>
    </row>
    <row r="84" spans="1:12" ht="27.6" hidden="1" x14ac:dyDescent="0.3">
      <c r="A84" s="414" t="s">
        <v>541</v>
      </c>
      <c r="B84" s="391"/>
      <c r="C84" s="319"/>
      <c r="D84" s="335"/>
      <c r="E84" s="319"/>
      <c r="G84" s="323"/>
      <c r="H84" s="319"/>
      <c r="I84" s="323"/>
      <c r="J84" s="319"/>
      <c r="K84" s="223"/>
      <c r="L84" s="281"/>
    </row>
    <row r="85" spans="1:12" ht="14.4" hidden="1" x14ac:dyDescent="0.3">
      <c r="A85" s="396" t="s">
        <v>524</v>
      </c>
      <c r="B85" s="418">
        <v>0</v>
      </c>
      <c r="C85" s="319">
        <f>C$16*B85</f>
        <v>0</v>
      </c>
      <c r="D85" s="419">
        <v>0</v>
      </c>
      <c r="E85" s="319">
        <f>E$16*D85</f>
        <v>0</v>
      </c>
      <c r="G85" s="418">
        <v>0</v>
      </c>
      <c r="H85" s="319">
        <f>H$16*G85</f>
        <v>0</v>
      </c>
      <c r="I85" s="419">
        <v>0</v>
      </c>
      <c r="J85" s="319">
        <f>J$16*I85</f>
        <v>0</v>
      </c>
      <c r="K85" s="223" t="s">
        <v>3</v>
      </c>
      <c r="L85" s="324"/>
    </row>
    <row r="86" spans="1:12" ht="15" hidden="1" customHeight="1" x14ac:dyDescent="0.25">
      <c r="A86" s="396" t="s">
        <v>534</v>
      </c>
      <c r="B86" s="405">
        <v>0.02</v>
      </c>
      <c r="C86" s="319">
        <f>C$17*B86</f>
        <v>246.66639055518115</v>
      </c>
      <c r="D86" s="331">
        <v>0.02</v>
      </c>
      <c r="E86" s="319">
        <f>E$17*D86</f>
        <v>92.499896458192907</v>
      </c>
      <c r="G86" s="405">
        <v>0.02</v>
      </c>
      <c r="H86" s="319">
        <f>H$17*G86</f>
        <v>243.64800000000002</v>
      </c>
      <c r="I86" s="331">
        <v>0.02</v>
      </c>
      <c r="J86" s="319">
        <f>J$17*I86</f>
        <v>91.367999999999995</v>
      </c>
      <c r="K86" s="223" t="s">
        <v>3</v>
      </c>
      <c r="L86" s="325"/>
    </row>
    <row r="87" spans="1:12" ht="15" hidden="1" customHeight="1" x14ac:dyDescent="0.25">
      <c r="A87" s="396" t="s">
        <v>519</v>
      </c>
      <c r="B87" s="405">
        <v>0.01</v>
      </c>
      <c r="C87" s="319">
        <f>C$18*B87</f>
        <v>33.916628701337402</v>
      </c>
      <c r="D87" s="331">
        <v>0.01</v>
      </c>
      <c r="E87" s="319">
        <f>E$18*D87</f>
        <v>61.666597638795288</v>
      </c>
      <c r="G87" s="405">
        <v>0.01</v>
      </c>
      <c r="H87" s="319">
        <f>H$18*G87</f>
        <v>33.501599999999996</v>
      </c>
      <c r="I87" s="331">
        <v>0.01</v>
      </c>
      <c r="J87" s="319">
        <f>J$18*I87</f>
        <v>60.912000000000006</v>
      </c>
      <c r="K87" s="223"/>
      <c r="L87" s="325"/>
    </row>
    <row r="88" spans="1:12" ht="15" hidden="1" customHeight="1" x14ac:dyDescent="0.25">
      <c r="A88" s="396" t="s">
        <v>516</v>
      </c>
      <c r="B88" s="405">
        <v>2E-3</v>
      </c>
      <c r="C88" s="319">
        <f>C$19*B88</f>
        <v>6.1666597638795286</v>
      </c>
      <c r="D88" s="331">
        <v>2E-3</v>
      </c>
      <c r="E88" s="319">
        <f>E$19*D88</f>
        <v>15.416649409698818</v>
      </c>
      <c r="G88" s="405">
        <v>2E-3</v>
      </c>
      <c r="H88" s="319">
        <f>H$19*G88</f>
        <v>6.0912000000000006</v>
      </c>
      <c r="I88" s="331">
        <v>2E-3</v>
      </c>
      <c r="J88" s="319">
        <f>J$19*I88</f>
        <v>15.228</v>
      </c>
      <c r="K88" s="223"/>
      <c r="L88" s="325"/>
    </row>
    <row r="89" spans="1:12" ht="15" hidden="1" customHeight="1" x14ac:dyDescent="0.25">
      <c r="A89" s="396" t="s">
        <v>517</v>
      </c>
      <c r="B89" s="405">
        <v>2E-3</v>
      </c>
      <c r="C89" s="319">
        <f>C$20*B89</f>
        <v>1.8499979291638584</v>
      </c>
      <c r="D89" s="331">
        <v>2E-3</v>
      </c>
      <c r="E89" s="319">
        <f>E$20*D89</f>
        <v>12.333319527759057</v>
      </c>
      <c r="G89" s="405">
        <v>2E-3</v>
      </c>
      <c r="H89" s="319">
        <f>H$20*G89</f>
        <v>1.8273599999999999</v>
      </c>
      <c r="I89" s="331">
        <v>2E-3</v>
      </c>
      <c r="J89" s="319">
        <f>J$20*I89</f>
        <v>12.182400000000001</v>
      </c>
      <c r="K89" s="223"/>
      <c r="L89" s="325"/>
    </row>
    <row r="90" spans="1:12" ht="14.4" hidden="1" x14ac:dyDescent="0.3">
      <c r="A90" s="396" t="s">
        <v>518</v>
      </c>
      <c r="B90" s="405">
        <v>0</v>
      </c>
      <c r="C90" s="319">
        <f>C$21*B90</f>
        <v>0</v>
      </c>
      <c r="D90" s="331">
        <v>0</v>
      </c>
      <c r="E90" s="319">
        <f>E$21*D90</f>
        <v>0</v>
      </c>
      <c r="G90" s="405">
        <v>0</v>
      </c>
      <c r="H90" s="319">
        <f>H$21*G90</f>
        <v>0</v>
      </c>
      <c r="I90" s="331">
        <v>0</v>
      </c>
      <c r="J90" s="319">
        <f>J$21*I90</f>
        <v>0</v>
      </c>
      <c r="K90" s="223" t="s">
        <v>3</v>
      </c>
      <c r="L90" s="324"/>
    </row>
    <row r="91" spans="1:12" ht="14.4" hidden="1" thickBot="1" x14ac:dyDescent="0.3">
      <c r="A91" s="397"/>
      <c r="B91" s="413"/>
      <c r="C91" s="337">
        <f>SUM(C85:C90)</f>
        <v>288.59967694956197</v>
      </c>
      <c r="D91" s="336"/>
      <c r="E91" s="337">
        <f>SUM(E85:E90)</f>
        <v>181.91646303444605</v>
      </c>
      <c r="F91" s="16"/>
      <c r="G91" s="413"/>
      <c r="H91" s="337">
        <f>SUM(H85:H90)</f>
        <v>285.06816000000003</v>
      </c>
      <c r="I91" s="336"/>
      <c r="J91" s="337">
        <f>SUM(J85:J90)</f>
        <v>179.69040000000001</v>
      </c>
      <c r="K91" s="223" t="s">
        <v>3</v>
      </c>
      <c r="L91" s="222" t="s">
        <v>3</v>
      </c>
    </row>
    <row r="92" spans="1:12" x14ac:dyDescent="0.25">
      <c r="A92" s="223" t="s">
        <v>3</v>
      </c>
      <c r="B92" s="223" t="s">
        <v>3</v>
      </c>
      <c r="C92" s="223" t="s">
        <v>3</v>
      </c>
      <c r="D92" s="223" t="s">
        <v>3</v>
      </c>
      <c r="E92" s="223" t="s">
        <v>3</v>
      </c>
      <c r="F92" s="223" t="s">
        <v>3</v>
      </c>
      <c r="G92" s="223" t="s">
        <v>3</v>
      </c>
      <c r="H92" s="223" t="s">
        <v>3</v>
      </c>
      <c r="I92" s="223" t="s">
        <v>3</v>
      </c>
      <c r="J92" s="223" t="s">
        <v>3</v>
      </c>
      <c r="K92" s="223" t="s">
        <v>3</v>
      </c>
      <c r="L92" s="188" t="s">
        <v>27</v>
      </c>
    </row>
    <row r="93" spans="1:12" x14ac:dyDescent="0.25">
      <c r="A93" s="223" t="s">
        <v>3</v>
      </c>
      <c r="B93" s="223" t="s">
        <v>3</v>
      </c>
      <c r="C93" s="223" t="s">
        <v>3</v>
      </c>
      <c r="D93" s="223" t="s">
        <v>3</v>
      </c>
      <c r="E93" s="223" t="s">
        <v>3</v>
      </c>
      <c r="F93" s="223" t="s">
        <v>3</v>
      </c>
      <c r="G93" s="223" t="s">
        <v>3</v>
      </c>
      <c r="H93" s="223" t="s">
        <v>3</v>
      </c>
      <c r="I93" s="223" t="s">
        <v>3</v>
      </c>
      <c r="J93" s="223" t="s">
        <v>3</v>
      </c>
      <c r="K93" s="223" t="s">
        <v>3</v>
      </c>
      <c r="L93" s="168" t="s">
        <v>352</v>
      </c>
    </row>
    <row r="94" spans="1:12" ht="39.6" x14ac:dyDescent="0.25">
      <c r="A94" s="223" t="s">
        <v>3</v>
      </c>
      <c r="B94" s="223" t="s">
        <v>3</v>
      </c>
      <c r="C94" s="223" t="s">
        <v>3</v>
      </c>
      <c r="D94" s="223" t="s">
        <v>3</v>
      </c>
      <c r="E94" s="223" t="s">
        <v>3</v>
      </c>
      <c r="F94" s="223" t="s">
        <v>3</v>
      </c>
      <c r="G94" s="223" t="s">
        <v>3</v>
      </c>
      <c r="H94" s="223" t="s">
        <v>3</v>
      </c>
      <c r="I94" s="223" t="s">
        <v>3</v>
      </c>
      <c r="J94" s="223" t="s">
        <v>3</v>
      </c>
      <c r="K94" s="223" t="s">
        <v>3</v>
      </c>
      <c r="L94" s="326" t="s">
        <v>471</v>
      </c>
    </row>
    <row r="95" spans="1:12" ht="26.4" x14ac:dyDescent="0.25">
      <c r="A95" s="223" t="s">
        <v>3</v>
      </c>
      <c r="B95" s="223" t="s">
        <v>3</v>
      </c>
      <c r="C95" s="223" t="s">
        <v>3</v>
      </c>
      <c r="D95" s="223" t="s">
        <v>3</v>
      </c>
      <c r="E95" s="223" t="s">
        <v>3</v>
      </c>
      <c r="F95" s="223" t="s">
        <v>3</v>
      </c>
      <c r="G95" s="223" t="s">
        <v>3</v>
      </c>
      <c r="H95" s="223" t="s">
        <v>3</v>
      </c>
      <c r="I95" s="223" t="s">
        <v>3</v>
      </c>
      <c r="J95" s="223" t="s">
        <v>3</v>
      </c>
      <c r="K95" s="223" t="s">
        <v>3</v>
      </c>
      <c r="L95" s="169" t="s">
        <v>377</v>
      </c>
    </row>
    <row r="96" spans="1:12" x14ac:dyDescent="0.25">
      <c r="A96" s="223" t="s">
        <v>3</v>
      </c>
      <c r="B96" s="223" t="s">
        <v>3</v>
      </c>
      <c r="C96" s="223" t="s">
        <v>3</v>
      </c>
      <c r="D96" s="223" t="s">
        <v>3</v>
      </c>
      <c r="E96" s="223" t="s">
        <v>3</v>
      </c>
      <c r="F96" s="223" t="s">
        <v>3</v>
      </c>
      <c r="G96" s="223" t="s">
        <v>3</v>
      </c>
      <c r="H96" s="223" t="s">
        <v>3</v>
      </c>
      <c r="I96" s="223" t="s">
        <v>3</v>
      </c>
      <c r="J96" s="223" t="s">
        <v>3</v>
      </c>
      <c r="K96" s="223" t="s">
        <v>3</v>
      </c>
      <c r="L96" s="169"/>
    </row>
    <row r="97" spans="1:12" ht="26.4" x14ac:dyDescent="0.25">
      <c r="A97" s="223" t="s">
        <v>3</v>
      </c>
      <c r="B97" s="223" t="s">
        <v>3</v>
      </c>
      <c r="C97" s="223" t="s">
        <v>3</v>
      </c>
      <c r="D97" s="223" t="s">
        <v>3</v>
      </c>
      <c r="E97" s="223" t="s">
        <v>3</v>
      </c>
      <c r="F97" s="223" t="s">
        <v>3</v>
      </c>
      <c r="G97" s="223" t="s">
        <v>3</v>
      </c>
      <c r="H97" s="223" t="s">
        <v>3</v>
      </c>
      <c r="I97" s="223" t="s">
        <v>3</v>
      </c>
      <c r="J97" s="223" t="s">
        <v>3</v>
      </c>
      <c r="K97" s="223" t="s">
        <v>3</v>
      </c>
      <c r="L97" s="189" t="s">
        <v>472</v>
      </c>
    </row>
    <row r="98" spans="1:12" ht="26.4" x14ac:dyDescent="0.25">
      <c r="A98" s="223" t="s">
        <v>3</v>
      </c>
      <c r="B98" s="223" t="s">
        <v>3</v>
      </c>
      <c r="C98" s="223" t="s">
        <v>3</v>
      </c>
      <c r="D98" s="223" t="s">
        <v>3</v>
      </c>
      <c r="E98" s="223" t="s">
        <v>3</v>
      </c>
      <c r="F98" s="223" t="s">
        <v>3</v>
      </c>
      <c r="G98" s="223" t="s">
        <v>3</v>
      </c>
      <c r="H98" s="223" t="s">
        <v>3</v>
      </c>
      <c r="I98" s="223" t="s">
        <v>3</v>
      </c>
      <c r="J98" s="223" t="s">
        <v>3</v>
      </c>
      <c r="K98" s="223" t="s">
        <v>3</v>
      </c>
      <c r="L98" s="170" t="s">
        <v>378</v>
      </c>
    </row>
    <row r="99" spans="1:12" x14ac:dyDescent="0.25">
      <c r="A99" s="223" t="s">
        <v>3</v>
      </c>
      <c r="B99" s="223" t="s">
        <v>3</v>
      </c>
      <c r="C99" s="223" t="s">
        <v>3</v>
      </c>
      <c r="D99" s="223" t="s">
        <v>3</v>
      </c>
      <c r="E99" s="223" t="s">
        <v>3</v>
      </c>
      <c r="F99" s="223" t="s">
        <v>3</v>
      </c>
      <c r="G99" s="223" t="s">
        <v>3</v>
      </c>
      <c r="H99" s="223" t="s">
        <v>3</v>
      </c>
      <c r="I99" s="223" t="s">
        <v>3</v>
      </c>
      <c r="J99" s="223" t="s">
        <v>3</v>
      </c>
      <c r="K99" s="223" t="s">
        <v>3</v>
      </c>
      <c r="L99" s="190"/>
    </row>
    <row r="100" spans="1:12" ht="26.4" x14ac:dyDescent="0.25">
      <c r="A100" s="223" t="s">
        <v>3</v>
      </c>
      <c r="B100" s="223" t="s">
        <v>3</v>
      </c>
      <c r="C100" s="223" t="s">
        <v>3</v>
      </c>
      <c r="D100" s="223" t="s">
        <v>3</v>
      </c>
      <c r="E100" s="223" t="s">
        <v>3</v>
      </c>
      <c r="F100" s="223" t="s">
        <v>3</v>
      </c>
      <c r="G100" s="223" t="s">
        <v>3</v>
      </c>
      <c r="H100" s="223" t="s">
        <v>3</v>
      </c>
      <c r="I100" s="223" t="s">
        <v>3</v>
      </c>
      <c r="J100" s="223" t="s">
        <v>3</v>
      </c>
      <c r="K100" s="223" t="s">
        <v>3</v>
      </c>
      <c r="L100" s="327" t="s">
        <v>473</v>
      </c>
    </row>
    <row r="101" spans="1:12" x14ac:dyDescent="0.25">
      <c r="A101" s="223" t="s">
        <v>3</v>
      </c>
      <c r="B101" s="223" t="s">
        <v>3</v>
      </c>
      <c r="C101" s="223" t="s">
        <v>3</v>
      </c>
      <c r="D101" s="223" t="s">
        <v>3</v>
      </c>
      <c r="E101" s="223" t="s">
        <v>3</v>
      </c>
      <c r="F101" s="223" t="s">
        <v>3</v>
      </c>
      <c r="G101" s="223" t="s">
        <v>3</v>
      </c>
      <c r="H101" s="223" t="s">
        <v>3</v>
      </c>
      <c r="I101" s="223" t="s">
        <v>3</v>
      </c>
      <c r="J101" s="223" t="s">
        <v>3</v>
      </c>
      <c r="K101" s="223" t="s">
        <v>3</v>
      </c>
      <c r="L101" s="210" t="s">
        <v>434</v>
      </c>
    </row>
    <row r="102" spans="1:12" x14ac:dyDescent="0.25">
      <c r="A102" s="223" t="s">
        <v>3</v>
      </c>
      <c r="B102" s="223" t="s">
        <v>3</v>
      </c>
      <c r="C102" s="223" t="s">
        <v>3</v>
      </c>
      <c r="D102" s="223" t="s">
        <v>3</v>
      </c>
      <c r="E102" s="223" t="s">
        <v>3</v>
      </c>
      <c r="F102" s="223" t="s">
        <v>3</v>
      </c>
      <c r="G102" s="223" t="s">
        <v>3</v>
      </c>
      <c r="H102" s="223" t="s">
        <v>3</v>
      </c>
      <c r="I102" s="223" t="s">
        <v>3</v>
      </c>
      <c r="J102" s="223" t="s">
        <v>3</v>
      </c>
      <c r="K102" s="223" t="s">
        <v>3</v>
      </c>
      <c r="L102" s="328"/>
    </row>
    <row r="103" spans="1:12" ht="26.4" x14ac:dyDescent="0.25">
      <c r="A103" s="223" t="s">
        <v>3</v>
      </c>
      <c r="B103" s="223" t="s">
        <v>3</v>
      </c>
      <c r="C103" s="223" t="s">
        <v>3</v>
      </c>
      <c r="D103" s="223" t="s">
        <v>3</v>
      </c>
      <c r="E103" s="223" t="s">
        <v>3</v>
      </c>
      <c r="F103" s="223" t="s">
        <v>3</v>
      </c>
      <c r="G103" s="223" t="s">
        <v>3</v>
      </c>
      <c r="H103" s="223" t="s">
        <v>3</v>
      </c>
      <c r="I103" s="223" t="s">
        <v>3</v>
      </c>
      <c r="J103" s="223" t="s">
        <v>3</v>
      </c>
      <c r="K103" s="223" t="s">
        <v>3</v>
      </c>
      <c r="L103" s="329" t="s">
        <v>474</v>
      </c>
    </row>
    <row r="104" spans="1:12" ht="26.4" x14ac:dyDescent="0.25">
      <c r="A104" s="223" t="s">
        <v>3</v>
      </c>
      <c r="B104" s="223" t="s">
        <v>3</v>
      </c>
      <c r="C104" s="223" t="s">
        <v>3</v>
      </c>
      <c r="D104" s="223" t="s">
        <v>3</v>
      </c>
      <c r="E104" s="223" t="s">
        <v>3</v>
      </c>
      <c r="F104" s="223" t="s">
        <v>3</v>
      </c>
      <c r="G104" s="223" t="s">
        <v>3</v>
      </c>
      <c r="H104" s="223" t="s">
        <v>3</v>
      </c>
      <c r="I104" s="223" t="s">
        <v>3</v>
      </c>
      <c r="J104" s="223" t="s">
        <v>3</v>
      </c>
      <c r="K104" s="223" t="s">
        <v>3</v>
      </c>
      <c r="L104" s="169" t="s">
        <v>416</v>
      </c>
    </row>
    <row r="105" spans="1:12" x14ac:dyDescent="0.25">
      <c r="A105" s="223" t="s">
        <v>3</v>
      </c>
      <c r="B105" s="223" t="s">
        <v>3</v>
      </c>
      <c r="C105" s="223" t="s">
        <v>3</v>
      </c>
      <c r="D105" s="223" t="s">
        <v>3</v>
      </c>
      <c r="E105" s="223" t="s">
        <v>3</v>
      </c>
      <c r="F105" s="223" t="s">
        <v>3</v>
      </c>
      <c r="G105" s="223" t="s">
        <v>3</v>
      </c>
      <c r="H105" s="223" t="s">
        <v>3</v>
      </c>
      <c r="I105" s="223" t="s">
        <v>3</v>
      </c>
      <c r="J105" s="223" t="s">
        <v>3</v>
      </c>
      <c r="K105" s="223" t="s">
        <v>3</v>
      </c>
      <c r="L105" s="171"/>
    </row>
    <row r="106" spans="1:12" ht="14.4" thickBot="1" x14ac:dyDescent="0.3">
      <c r="A106" s="223" t="s">
        <v>3</v>
      </c>
      <c r="B106" s="223" t="s">
        <v>3</v>
      </c>
      <c r="C106" s="223" t="s">
        <v>3</v>
      </c>
      <c r="D106" s="223" t="s">
        <v>3</v>
      </c>
      <c r="E106" s="223" t="s">
        <v>3</v>
      </c>
      <c r="F106" s="223" t="s">
        <v>3</v>
      </c>
      <c r="G106" s="223" t="s">
        <v>3</v>
      </c>
      <c r="H106" s="223" t="s">
        <v>3</v>
      </c>
      <c r="I106" s="223" t="s">
        <v>3</v>
      </c>
      <c r="J106" s="223" t="s">
        <v>3</v>
      </c>
      <c r="K106" s="223" t="s">
        <v>3</v>
      </c>
      <c r="L106" s="330"/>
    </row>
  </sheetData>
  <sheetProtection algorithmName="SHA-512" hashValue="CwMqyY2ZWYK3APk5Qzxbh+l6V3Trm56QdvZG88kdmLfW0XCx6fRmL4ixr2hjj0vm21V5meqazb32TSjcNnWz8Q==" saltValue="Gg/ga+Z/hcEw2q3b9q/cS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95" r:id="rId1" xr:uid="{00000000-0004-0000-0600-000000000000}"/>
    <hyperlink ref="L98" r:id="rId2" xr:uid="{00000000-0004-0000-0600-000001000000}"/>
    <hyperlink ref="L104" r:id="rId3" xr:uid="{00000000-0004-0000-0600-000002000000}"/>
    <hyperlink ref="L101" r:id="rId4" xr:uid="{00000000-0004-0000-0600-000003000000}"/>
  </hyperlinks>
  <pageMargins left="0.31496062992125984" right="0.31496062992125984" top="0.74803149606299213" bottom="0.74803149606299213" header="0.31496062992125984" footer="0.31496062992125984"/>
  <pageSetup paperSize="9" scale="50" fitToHeight="2" orientation="landscape" verticalDpi="0"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57"/>
  <sheetViews>
    <sheetView showGridLines="0" zoomScale="80" zoomScaleNormal="80" workbookViewId="0">
      <selection activeCell="Q9" sqref="P8:Q9"/>
    </sheetView>
  </sheetViews>
  <sheetFormatPr defaultColWidth="9.109375" defaultRowHeight="13.2" x14ac:dyDescent="0.25"/>
  <cols>
    <col min="1" max="1" width="70.6640625" style="3" bestFit="1" customWidth="1"/>
    <col min="2" max="2" width="11.44140625" style="346" customWidth="1"/>
    <col min="3" max="4" width="11.44140625" style="3" customWidth="1"/>
    <col min="5" max="5" width="9.109375" style="346"/>
    <col min="6" max="6" width="12.5546875" style="3" customWidth="1"/>
    <col min="7" max="7" width="12" style="3" customWidth="1"/>
    <col min="8" max="8" width="12.5546875" style="346" customWidth="1"/>
    <col min="9" max="11" width="51.6640625" style="3" customWidth="1"/>
    <col min="12" max="16384" width="9.109375" style="3"/>
  </cols>
  <sheetData>
    <row r="1" spans="1:22" ht="30" customHeight="1" x14ac:dyDescent="0.3">
      <c r="A1" s="173" t="str">
        <f>'Assumptions input'!A1</f>
        <v xml:space="preserve">Benign prostatic technologies - Greenlight (MTG74), Rezum (MTG49), UroLift (MTG58), Plasma system (MTG53) and mTURP </v>
      </c>
      <c r="B1" s="341"/>
      <c r="C1" s="232"/>
      <c r="D1" s="232"/>
      <c r="E1" s="347"/>
      <c r="F1" s="232"/>
      <c r="G1" s="232"/>
      <c r="H1" s="348" t="s">
        <v>3</v>
      </c>
      <c r="I1" s="233" t="s">
        <v>3</v>
      </c>
    </row>
    <row r="2" spans="1:22" ht="26.25" customHeight="1" x14ac:dyDescent="0.4">
      <c r="A2" s="172" t="s">
        <v>274</v>
      </c>
      <c r="B2" s="342"/>
      <c r="C2" s="232" t="s">
        <v>3</v>
      </c>
      <c r="D2" s="232" t="s">
        <v>3</v>
      </c>
      <c r="E2" s="347" t="s">
        <v>3</v>
      </c>
      <c r="F2" s="232" t="s">
        <v>3</v>
      </c>
      <c r="G2" s="232" t="s">
        <v>3</v>
      </c>
      <c r="H2" s="348" t="s">
        <v>3</v>
      </c>
      <c r="I2" s="233" t="s">
        <v>3</v>
      </c>
    </row>
    <row r="3" spans="1:22" s="11" customFormat="1" ht="14.4" x14ac:dyDescent="0.3">
      <c r="A3" s="234" t="s">
        <v>3</v>
      </c>
      <c r="B3" s="343" t="s">
        <v>3</v>
      </c>
      <c r="C3" s="232" t="s">
        <v>3</v>
      </c>
      <c r="D3" s="232" t="s">
        <v>3</v>
      </c>
      <c r="E3" s="347" t="s">
        <v>3</v>
      </c>
      <c r="F3" s="232" t="s">
        <v>3</v>
      </c>
      <c r="G3" s="232" t="s">
        <v>3</v>
      </c>
      <c r="H3" s="348" t="s">
        <v>3</v>
      </c>
      <c r="I3" s="233" t="s">
        <v>3</v>
      </c>
      <c r="K3" s="3"/>
      <c r="L3" s="3"/>
      <c r="M3" s="3"/>
      <c r="N3" s="3"/>
      <c r="O3" s="3"/>
      <c r="P3" s="3"/>
      <c r="Q3" s="3"/>
      <c r="R3" s="3"/>
      <c r="S3" s="3"/>
      <c r="T3" s="3"/>
      <c r="U3" s="3"/>
      <c r="V3" s="3"/>
    </row>
    <row r="4" spans="1:22" s="11" customFormat="1" ht="70.5" customHeight="1" x14ac:dyDescent="0.25">
      <c r="A4" s="406" t="s">
        <v>523</v>
      </c>
      <c r="B4" s="408" t="s">
        <v>3</v>
      </c>
      <c r="C4" s="344" t="s">
        <v>506</v>
      </c>
      <c r="D4" s="339" t="s">
        <v>504</v>
      </c>
      <c r="E4" s="339" t="s">
        <v>505</v>
      </c>
      <c r="F4" s="344" t="s">
        <v>574</v>
      </c>
      <c r="G4" s="339" t="s">
        <v>507</v>
      </c>
      <c r="H4" s="344" t="s">
        <v>475</v>
      </c>
      <c r="I4" s="487" t="s">
        <v>588</v>
      </c>
      <c r="J4" s="3"/>
      <c r="K4" s="3"/>
      <c r="L4" s="3"/>
      <c r="M4" s="3"/>
      <c r="N4" s="3"/>
      <c r="O4" s="3"/>
      <c r="P4" s="3"/>
      <c r="Q4" s="3"/>
      <c r="R4" s="3"/>
      <c r="S4" s="3"/>
      <c r="T4" s="3"/>
      <c r="U4" s="3"/>
    </row>
    <row r="5" spans="1:22" s="11" customFormat="1" ht="13.8" x14ac:dyDescent="0.25">
      <c r="A5" s="340" t="s">
        <v>524</v>
      </c>
      <c r="B5" s="408" t="s">
        <v>3</v>
      </c>
      <c r="C5" s="478"/>
      <c r="D5" s="469">
        <v>0.2</v>
      </c>
      <c r="E5" s="470">
        <f>C5*D5</f>
        <v>0</v>
      </c>
      <c r="F5" s="471">
        <f>C5+E5</f>
        <v>0</v>
      </c>
      <c r="G5" s="472">
        <v>1</v>
      </c>
      <c r="H5" s="354">
        <f t="shared" ref="H5:H6" si="0">F5*G5</f>
        <v>0</v>
      </c>
      <c r="I5" s="233" t="s">
        <v>3</v>
      </c>
      <c r="J5" s="3"/>
      <c r="K5" s="3"/>
      <c r="L5" s="3"/>
      <c r="M5" s="3"/>
      <c r="N5" s="3"/>
      <c r="O5" s="3"/>
      <c r="P5" s="3"/>
      <c r="Q5" s="3"/>
      <c r="R5" s="3"/>
      <c r="S5" s="3"/>
      <c r="T5" s="3"/>
      <c r="U5" s="3"/>
    </row>
    <row r="6" spans="1:22" s="11" customFormat="1" ht="13.8" x14ac:dyDescent="0.25">
      <c r="A6" s="340" t="s">
        <v>534</v>
      </c>
      <c r="B6" s="408" t="s">
        <v>3</v>
      </c>
      <c r="C6" s="478"/>
      <c r="D6" s="469">
        <v>0.2</v>
      </c>
      <c r="E6" s="470">
        <f t="shared" ref="E6" si="1">C6*D6</f>
        <v>0</v>
      </c>
      <c r="F6" s="471">
        <f t="shared" ref="F6" si="2">C6+E6</f>
        <v>0</v>
      </c>
      <c r="G6" s="472">
        <v>1</v>
      </c>
      <c r="H6" s="354">
        <f t="shared" si="0"/>
        <v>0</v>
      </c>
      <c r="I6" s="233" t="s">
        <v>3</v>
      </c>
      <c r="J6" s="3"/>
      <c r="K6" s="3"/>
      <c r="L6" s="3"/>
      <c r="M6" s="3"/>
      <c r="N6" s="3"/>
      <c r="O6" s="3"/>
      <c r="P6" s="3"/>
      <c r="Q6" s="3"/>
      <c r="R6" s="3"/>
      <c r="S6" s="3"/>
      <c r="T6" s="3"/>
      <c r="U6" s="3"/>
    </row>
    <row r="7" spans="1:22" s="11" customFormat="1" ht="13.8" x14ac:dyDescent="0.25">
      <c r="A7" s="340" t="s">
        <v>519</v>
      </c>
      <c r="B7" s="408" t="s">
        <v>3</v>
      </c>
      <c r="C7" s="479"/>
      <c r="D7" s="469">
        <v>0.2</v>
      </c>
      <c r="E7" s="470">
        <f>C7*D7</f>
        <v>0</v>
      </c>
      <c r="F7" s="471">
        <f>C7+E7</f>
        <v>0</v>
      </c>
      <c r="G7" s="472">
        <v>1</v>
      </c>
      <c r="H7" s="354">
        <f>F7*G7</f>
        <v>0</v>
      </c>
      <c r="I7" s="233" t="s">
        <v>3</v>
      </c>
      <c r="J7" s="3"/>
      <c r="K7" s="3"/>
      <c r="L7" s="3"/>
      <c r="M7" s="3"/>
      <c r="N7" s="3"/>
      <c r="O7" s="3"/>
      <c r="P7" s="3"/>
      <c r="Q7" s="3"/>
      <c r="R7" s="3"/>
      <c r="S7" s="3"/>
      <c r="T7" s="3"/>
      <c r="U7" s="3"/>
    </row>
    <row r="8" spans="1:22" s="11" customFormat="1" ht="13.8" x14ac:dyDescent="0.25">
      <c r="A8" s="340" t="s">
        <v>516</v>
      </c>
      <c r="B8" s="408" t="s">
        <v>3</v>
      </c>
      <c r="C8" s="479"/>
      <c r="D8" s="469">
        <v>0.2</v>
      </c>
      <c r="E8" s="470">
        <f>C8*D8</f>
        <v>0</v>
      </c>
      <c r="F8" s="471">
        <f>C8+E8</f>
        <v>0</v>
      </c>
      <c r="G8" s="472">
        <v>1</v>
      </c>
      <c r="H8" s="354">
        <f>F8*G8</f>
        <v>0</v>
      </c>
      <c r="I8" s="233" t="s">
        <v>3</v>
      </c>
      <c r="J8" s="3"/>
      <c r="K8" s="3"/>
      <c r="L8" s="3"/>
      <c r="M8" s="3"/>
      <c r="N8" s="3"/>
      <c r="O8" s="3"/>
      <c r="P8" s="3"/>
      <c r="Q8" s="3"/>
      <c r="R8" s="3"/>
      <c r="S8" s="3"/>
      <c r="T8" s="3"/>
      <c r="U8" s="3"/>
    </row>
    <row r="9" spans="1:22" s="11" customFormat="1" ht="13.8" x14ac:dyDescent="0.25">
      <c r="A9" s="340" t="s">
        <v>517</v>
      </c>
      <c r="B9" s="408" t="s">
        <v>3</v>
      </c>
      <c r="C9" s="479"/>
      <c r="D9" s="469">
        <v>0.2</v>
      </c>
      <c r="E9" s="470">
        <f>C9*D9</f>
        <v>0</v>
      </c>
      <c r="F9" s="471">
        <f>C9+E9</f>
        <v>0</v>
      </c>
      <c r="G9" s="472">
        <v>3.5</v>
      </c>
      <c r="H9" s="354">
        <f>F9*G9</f>
        <v>0</v>
      </c>
      <c r="I9" s="233" t="s">
        <v>3</v>
      </c>
      <c r="J9" s="3"/>
      <c r="K9" s="3"/>
      <c r="L9" s="3"/>
      <c r="M9" s="3"/>
      <c r="N9" s="3"/>
      <c r="O9" s="3"/>
      <c r="P9" s="3"/>
      <c r="Q9" s="3"/>
      <c r="R9" s="3"/>
      <c r="S9" s="3"/>
      <c r="T9" s="3"/>
      <c r="U9" s="3"/>
    </row>
    <row r="10" spans="1:22" s="11" customFormat="1" ht="13.8" x14ac:dyDescent="0.25">
      <c r="A10" s="340" t="s">
        <v>518</v>
      </c>
      <c r="B10" s="408" t="s">
        <v>3</v>
      </c>
      <c r="C10" s="479"/>
      <c r="D10" s="469">
        <v>0.2</v>
      </c>
      <c r="E10" s="470">
        <f t="shared" ref="E10" si="3">C10*D10</f>
        <v>0</v>
      </c>
      <c r="F10" s="471">
        <f t="shared" ref="F10" si="4">C10+E10</f>
        <v>0</v>
      </c>
      <c r="G10" s="472">
        <v>1</v>
      </c>
      <c r="H10" s="354">
        <f>F10*G10</f>
        <v>0</v>
      </c>
      <c r="I10" s="233"/>
      <c r="K10" s="3"/>
      <c r="L10" s="3"/>
      <c r="M10" s="3"/>
      <c r="N10" s="3"/>
      <c r="O10" s="3"/>
      <c r="P10" s="3"/>
      <c r="Q10" s="3"/>
      <c r="R10" s="3"/>
      <c r="S10" s="3"/>
      <c r="T10" s="3"/>
      <c r="U10" s="3"/>
      <c r="V10" s="3"/>
    </row>
    <row r="11" spans="1:22" s="11" customFormat="1" ht="13.8" x14ac:dyDescent="0.25">
      <c r="A11" s="223" t="s">
        <v>518</v>
      </c>
      <c r="B11" s="343" t="s">
        <v>3</v>
      </c>
      <c r="C11" s="282" t="s">
        <v>3</v>
      </c>
      <c r="D11" s="282" t="s">
        <v>3</v>
      </c>
      <c r="E11" s="347" t="s">
        <v>3</v>
      </c>
      <c r="F11" s="282" t="s">
        <v>3</v>
      </c>
      <c r="G11" s="407"/>
      <c r="H11" s="407"/>
      <c r="I11" s="233" t="s">
        <v>3</v>
      </c>
      <c r="K11" s="3"/>
      <c r="L11" s="3"/>
      <c r="M11" s="3"/>
      <c r="N11" s="3"/>
      <c r="O11" s="3"/>
      <c r="P11" s="3"/>
      <c r="Q11" s="3"/>
      <c r="R11" s="3"/>
      <c r="S11" s="3"/>
      <c r="T11" s="3"/>
      <c r="U11" s="3"/>
      <c r="V11" s="3"/>
    </row>
    <row r="12" spans="1:22" s="11" customFormat="1" ht="74.25" customHeight="1" x14ac:dyDescent="0.3">
      <c r="A12" s="349" t="s">
        <v>563</v>
      </c>
      <c r="B12" s="350"/>
      <c r="C12" s="351"/>
      <c r="D12" s="351"/>
      <c r="E12" s="351"/>
      <c r="F12" s="352" t="s">
        <v>565</v>
      </c>
      <c r="G12" s="353"/>
      <c r="H12" s="352" t="s">
        <v>566</v>
      </c>
      <c r="I12" s="487" t="s">
        <v>588</v>
      </c>
      <c r="K12" s="3"/>
      <c r="L12" s="3"/>
      <c r="M12" s="3"/>
      <c r="N12" s="3"/>
      <c r="O12" s="3"/>
      <c r="P12" s="3"/>
      <c r="Q12" s="3"/>
      <c r="R12" s="3"/>
      <c r="S12" s="3"/>
      <c r="T12" s="3"/>
      <c r="U12" s="3"/>
      <c r="V12" s="3"/>
    </row>
    <row r="13" spans="1:22" s="11" customFormat="1" ht="16.5" customHeight="1" x14ac:dyDescent="0.25">
      <c r="A13" s="340" t="s">
        <v>524</v>
      </c>
      <c r="B13" s="355"/>
      <c r="C13" s="153"/>
      <c r="D13" s="153"/>
      <c r="E13" s="154"/>
      <c r="F13" s="480">
        <v>2.5</v>
      </c>
      <c r="G13" s="455"/>
      <c r="H13" s="480">
        <v>2.5</v>
      </c>
      <c r="I13" s="487" t="s">
        <v>589</v>
      </c>
      <c r="K13" s="3"/>
      <c r="L13" s="3"/>
      <c r="M13" s="3"/>
      <c r="N13" s="3"/>
      <c r="O13" s="3"/>
      <c r="P13" s="3"/>
      <c r="Q13" s="3"/>
      <c r="R13" s="3"/>
      <c r="S13" s="3"/>
      <c r="T13" s="3"/>
      <c r="U13" s="3"/>
      <c r="V13" s="3"/>
    </row>
    <row r="14" spans="1:22" s="11" customFormat="1" ht="16.5" customHeight="1" x14ac:dyDescent="0.25">
      <c r="A14" s="409" t="s">
        <v>534</v>
      </c>
      <c r="B14" s="410"/>
      <c r="C14" s="411"/>
      <c r="D14" s="411"/>
      <c r="E14" s="412"/>
      <c r="F14" s="480">
        <v>3</v>
      </c>
      <c r="G14" s="455"/>
      <c r="H14" s="480">
        <v>3</v>
      </c>
      <c r="I14" s="487" t="s">
        <v>589</v>
      </c>
      <c r="K14" s="3"/>
      <c r="L14" s="3"/>
      <c r="M14" s="3"/>
      <c r="N14" s="3"/>
      <c r="O14" s="3"/>
      <c r="P14" s="3"/>
      <c r="Q14" s="3"/>
      <c r="R14" s="3"/>
      <c r="S14" s="3"/>
      <c r="T14" s="3"/>
      <c r="U14" s="3"/>
      <c r="V14" s="3"/>
    </row>
    <row r="15" spans="1:22" s="11" customFormat="1" ht="16.5" customHeight="1" x14ac:dyDescent="0.25">
      <c r="A15" s="340" t="s">
        <v>519</v>
      </c>
      <c r="B15" s="355"/>
      <c r="C15" s="153"/>
      <c r="D15" s="153"/>
      <c r="E15" s="154"/>
      <c r="F15" s="480">
        <v>2.5</v>
      </c>
      <c r="G15" s="455"/>
      <c r="H15" s="480">
        <v>2.5</v>
      </c>
      <c r="I15" s="487" t="s">
        <v>589</v>
      </c>
      <c r="K15" s="3"/>
      <c r="L15" s="3"/>
      <c r="M15" s="3"/>
      <c r="N15" s="3"/>
      <c r="O15" s="3"/>
      <c r="P15" s="3"/>
      <c r="Q15" s="3"/>
      <c r="R15" s="3"/>
      <c r="S15" s="3"/>
      <c r="T15" s="3"/>
      <c r="U15" s="3"/>
      <c r="V15" s="3"/>
    </row>
    <row r="16" spans="1:22" s="11" customFormat="1" ht="16.5" customHeight="1" x14ac:dyDescent="0.25">
      <c r="A16" s="340" t="s">
        <v>516</v>
      </c>
      <c r="B16" s="355"/>
      <c r="C16" s="153"/>
      <c r="D16" s="153"/>
      <c r="E16" s="154"/>
      <c r="F16" s="480">
        <v>3</v>
      </c>
      <c r="G16" s="455"/>
      <c r="H16" s="480">
        <v>3</v>
      </c>
      <c r="I16" s="487" t="s">
        <v>589</v>
      </c>
      <c r="K16" s="3"/>
      <c r="L16" s="3"/>
      <c r="M16" s="3"/>
      <c r="N16" s="3"/>
      <c r="O16" s="3"/>
      <c r="P16" s="3"/>
      <c r="Q16" s="3"/>
      <c r="R16" s="3"/>
      <c r="S16" s="3"/>
      <c r="T16" s="3"/>
      <c r="U16" s="3"/>
      <c r="V16" s="3"/>
    </row>
    <row r="17" spans="1:22" s="11" customFormat="1" ht="16.5" customHeight="1" x14ac:dyDescent="0.25">
      <c r="A17" s="340" t="s">
        <v>517</v>
      </c>
      <c r="B17" s="355"/>
      <c r="C17" s="153"/>
      <c r="D17" s="153"/>
      <c r="E17" s="154"/>
      <c r="F17" s="480">
        <v>7</v>
      </c>
      <c r="G17" s="455"/>
      <c r="H17" s="480">
        <v>7</v>
      </c>
      <c r="I17" s="487" t="s">
        <v>589</v>
      </c>
      <c r="K17" s="3"/>
      <c r="L17" s="3"/>
      <c r="M17" s="3"/>
      <c r="N17" s="3"/>
      <c r="O17" s="3"/>
      <c r="P17" s="3"/>
      <c r="Q17" s="3"/>
      <c r="R17" s="3"/>
      <c r="S17" s="3"/>
      <c r="T17" s="3"/>
      <c r="U17" s="3"/>
      <c r="V17" s="3"/>
    </row>
    <row r="18" spans="1:22" s="11" customFormat="1" ht="16.5" customHeight="1" x14ac:dyDescent="0.25">
      <c r="A18" s="340" t="s">
        <v>518</v>
      </c>
      <c r="B18" s="355"/>
      <c r="C18" s="153"/>
      <c r="D18" s="153"/>
      <c r="E18" s="154"/>
      <c r="F18" s="480">
        <v>6</v>
      </c>
      <c r="G18" s="455"/>
      <c r="H18" s="480">
        <v>6</v>
      </c>
      <c r="I18" s="487" t="s">
        <v>589</v>
      </c>
      <c r="K18" s="3"/>
      <c r="L18" s="3"/>
      <c r="M18" s="3"/>
      <c r="N18" s="3"/>
      <c r="O18" s="3"/>
      <c r="P18" s="3"/>
      <c r="Q18" s="3"/>
      <c r="R18" s="3"/>
      <c r="S18" s="3"/>
      <c r="T18" s="3"/>
      <c r="U18" s="3"/>
      <c r="V18" s="3"/>
    </row>
    <row r="19" spans="1:22" s="11" customFormat="1" ht="16.5" customHeight="1" x14ac:dyDescent="0.25">
      <c r="A19" s="283"/>
      <c r="B19" s="345"/>
      <c r="C19" s="12"/>
      <c r="D19" s="12"/>
      <c r="E19" s="345"/>
      <c r="F19" s="12"/>
      <c r="G19" s="12"/>
      <c r="H19" s="481"/>
      <c r="I19" s="233" t="s">
        <v>3</v>
      </c>
      <c r="K19" s="3"/>
      <c r="L19" s="3"/>
      <c r="M19" s="3"/>
      <c r="N19" s="3"/>
      <c r="O19" s="3"/>
      <c r="P19" s="3"/>
      <c r="Q19" s="3"/>
      <c r="R19" s="3"/>
      <c r="S19" s="3"/>
      <c r="T19" s="3"/>
      <c r="U19" s="3"/>
      <c r="V19" s="3"/>
    </row>
    <row r="20" spans="1:22" s="11" customFormat="1" ht="55.5" customHeight="1" x14ac:dyDescent="0.3">
      <c r="A20" s="349" t="s">
        <v>527</v>
      </c>
      <c r="B20" s="350"/>
      <c r="C20" s="351"/>
      <c r="D20" s="351"/>
      <c r="E20" s="351"/>
      <c r="F20" s="352" t="s">
        <v>528</v>
      </c>
      <c r="G20" s="353" t="s">
        <v>529</v>
      </c>
      <c r="H20" s="352" t="s">
        <v>475</v>
      </c>
      <c r="I20" s="487" t="s">
        <v>588</v>
      </c>
      <c r="K20" s="3"/>
      <c r="L20" s="3"/>
      <c r="M20" s="3"/>
      <c r="N20" s="3"/>
      <c r="O20" s="3"/>
      <c r="P20" s="3"/>
      <c r="Q20" s="3"/>
      <c r="R20" s="3"/>
      <c r="S20" s="3"/>
      <c r="T20" s="3"/>
      <c r="U20" s="3"/>
      <c r="V20" s="3"/>
    </row>
    <row r="21" spans="1:22" s="11" customFormat="1" ht="16.5" customHeight="1" x14ac:dyDescent="0.25">
      <c r="A21" s="340" t="s">
        <v>524</v>
      </c>
      <c r="B21" s="355"/>
      <c r="C21" s="153"/>
      <c r="D21" s="153"/>
      <c r="E21" s="154"/>
      <c r="F21" s="468">
        <v>20.14</v>
      </c>
      <c r="G21" s="482">
        <v>66</v>
      </c>
      <c r="H21" s="354">
        <f>F21*G21</f>
        <v>1329.24</v>
      </c>
      <c r="I21" s="487" t="s">
        <v>590</v>
      </c>
      <c r="K21" s="3"/>
      <c r="L21" s="3"/>
      <c r="M21" s="3"/>
      <c r="N21" s="3"/>
      <c r="O21" s="3"/>
      <c r="P21" s="3"/>
      <c r="Q21" s="3"/>
      <c r="R21" s="3"/>
      <c r="S21" s="3"/>
      <c r="T21" s="3"/>
      <c r="U21" s="3"/>
      <c r="V21" s="3"/>
    </row>
    <row r="22" spans="1:22" s="11" customFormat="1" ht="16.5" customHeight="1" x14ac:dyDescent="0.25">
      <c r="A22" s="409" t="s">
        <v>534</v>
      </c>
      <c r="B22" s="410"/>
      <c r="C22" s="411"/>
      <c r="D22" s="411"/>
      <c r="E22" s="412"/>
      <c r="F22" s="468">
        <v>20.14</v>
      </c>
      <c r="G22" s="482">
        <v>55.4</v>
      </c>
      <c r="H22" s="354">
        <f t="shared" ref="H22:H26" si="5">F22*G22</f>
        <v>1115.7560000000001</v>
      </c>
      <c r="I22" s="487" t="s">
        <v>590</v>
      </c>
      <c r="K22" s="3"/>
      <c r="L22" s="3"/>
      <c r="M22" s="3"/>
      <c r="N22" s="3"/>
      <c r="O22" s="3"/>
      <c r="P22" s="3"/>
      <c r="Q22" s="3"/>
      <c r="R22" s="3"/>
      <c r="S22" s="3"/>
      <c r="T22" s="3"/>
      <c r="U22" s="3"/>
      <c r="V22" s="3"/>
    </row>
    <row r="23" spans="1:22" s="11" customFormat="1" ht="16.5" customHeight="1" x14ac:dyDescent="0.25">
      <c r="A23" s="340" t="s">
        <v>519</v>
      </c>
      <c r="B23" s="355"/>
      <c r="C23" s="153"/>
      <c r="D23" s="153"/>
      <c r="E23" s="154"/>
      <c r="F23" s="468">
        <v>20.14</v>
      </c>
      <c r="G23" s="482">
        <v>80</v>
      </c>
      <c r="H23" s="354">
        <f>F23*G23</f>
        <v>1611.2</v>
      </c>
      <c r="I23" s="487" t="s">
        <v>590</v>
      </c>
      <c r="K23" s="3"/>
      <c r="L23" s="3"/>
      <c r="M23" s="3"/>
      <c r="N23" s="3"/>
      <c r="O23" s="3"/>
      <c r="P23" s="3"/>
      <c r="Q23" s="3"/>
      <c r="R23" s="3"/>
      <c r="S23" s="3"/>
      <c r="T23" s="3"/>
      <c r="U23" s="3"/>
      <c r="V23" s="3"/>
    </row>
    <row r="24" spans="1:22" s="11" customFormat="1" ht="16.5" customHeight="1" x14ac:dyDescent="0.25">
      <c r="A24" s="340" t="s">
        <v>516</v>
      </c>
      <c r="B24" s="355"/>
      <c r="C24" s="153"/>
      <c r="D24" s="153"/>
      <c r="E24" s="154"/>
      <c r="F24" s="468">
        <v>20.14</v>
      </c>
      <c r="G24" s="482">
        <v>44</v>
      </c>
      <c r="H24" s="354">
        <f t="shared" si="5"/>
        <v>886.16000000000008</v>
      </c>
      <c r="I24" s="487" t="s">
        <v>590</v>
      </c>
      <c r="K24" s="3"/>
      <c r="L24" s="3"/>
      <c r="M24" s="3"/>
      <c r="N24" s="3"/>
      <c r="O24" s="3"/>
      <c r="P24" s="3"/>
      <c r="Q24" s="3"/>
      <c r="R24" s="3"/>
      <c r="S24" s="3"/>
      <c r="T24" s="3"/>
      <c r="U24" s="3"/>
      <c r="V24" s="3"/>
    </row>
    <row r="25" spans="1:22" s="11" customFormat="1" ht="16.5" customHeight="1" x14ac:dyDescent="0.25">
      <c r="A25" s="340" t="s">
        <v>517</v>
      </c>
      <c r="B25" s="355"/>
      <c r="C25" s="153"/>
      <c r="D25" s="153"/>
      <c r="E25" s="154"/>
      <c r="F25" s="468">
        <v>20.14</v>
      </c>
      <c r="G25" s="482">
        <v>14</v>
      </c>
      <c r="H25" s="354">
        <f>F25*G25</f>
        <v>281.96000000000004</v>
      </c>
      <c r="I25" s="487" t="s">
        <v>590</v>
      </c>
      <c r="K25" s="3"/>
      <c r="L25" s="3"/>
      <c r="M25" s="3"/>
      <c r="N25" s="3"/>
      <c r="O25" s="3"/>
      <c r="P25" s="3"/>
      <c r="Q25" s="3"/>
      <c r="R25" s="3"/>
      <c r="S25" s="3"/>
      <c r="T25" s="3"/>
      <c r="U25" s="3"/>
      <c r="V25" s="3"/>
    </row>
    <row r="26" spans="1:22" s="11" customFormat="1" ht="16.5" customHeight="1" x14ac:dyDescent="0.25">
      <c r="A26" s="340" t="s">
        <v>518</v>
      </c>
      <c r="B26" s="355"/>
      <c r="C26" s="153"/>
      <c r="D26" s="153"/>
      <c r="E26" s="154"/>
      <c r="F26" s="468">
        <v>20.14</v>
      </c>
      <c r="G26" s="482">
        <v>17.5</v>
      </c>
      <c r="H26" s="354">
        <f t="shared" si="5"/>
        <v>352.45</v>
      </c>
      <c r="I26" s="487" t="s">
        <v>590</v>
      </c>
      <c r="K26" s="3"/>
      <c r="L26" s="3"/>
      <c r="M26" s="3"/>
      <c r="N26" s="3"/>
      <c r="O26" s="3"/>
      <c r="P26" s="3"/>
      <c r="Q26" s="3"/>
      <c r="R26" s="3"/>
      <c r="S26" s="3"/>
      <c r="T26" s="3"/>
      <c r="U26" s="3"/>
      <c r="V26" s="3"/>
    </row>
    <row r="27" spans="1:22" s="11" customFormat="1" ht="16.5" customHeight="1" x14ac:dyDescent="0.25">
      <c r="A27" s="283"/>
      <c r="B27" s="345"/>
      <c r="C27" s="12"/>
      <c r="D27" s="12"/>
      <c r="E27" s="345"/>
      <c r="F27" s="12"/>
      <c r="G27" s="12"/>
      <c r="H27" s="345"/>
      <c r="I27" s="233" t="s">
        <v>3</v>
      </c>
      <c r="K27" s="3"/>
      <c r="L27" s="3"/>
      <c r="M27" s="3"/>
      <c r="N27" s="3"/>
      <c r="O27" s="3"/>
      <c r="P27" s="3"/>
      <c r="Q27" s="3"/>
      <c r="R27" s="3"/>
      <c r="S27" s="3"/>
      <c r="T27" s="3"/>
      <c r="U27" s="3"/>
      <c r="V27" s="3"/>
    </row>
    <row r="28" spans="1:22" s="11" customFormat="1" ht="55.5" customHeight="1" x14ac:dyDescent="0.3">
      <c r="A28" s="349" t="s">
        <v>575</v>
      </c>
      <c r="B28" s="350"/>
      <c r="C28" s="351"/>
      <c r="D28" s="351"/>
      <c r="E28" s="351"/>
      <c r="F28" s="352" t="s">
        <v>509</v>
      </c>
      <c r="G28" s="353" t="s">
        <v>508</v>
      </c>
      <c r="H28" s="352" t="s">
        <v>475</v>
      </c>
      <c r="I28" s="487" t="s">
        <v>588</v>
      </c>
      <c r="K28" s="3"/>
      <c r="L28" s="3"/>
      <c r="M28" s="3"/>
      <c r="N28" s="3"/>
      <c r="O28" s="3"/>
      <c r="P28" s="3"/>
      <c r="Q28" s="3"/>
      <c r="R28" s="3"/>
      <c r="S28" s="3"/>
      <c r="T28" s="3"/>
      <c r="U28" s="3"/>
      <c r="V28" s="3"/>
    </row>
    <row r="29" spans="1:22" s="11" customFormat="1" ht="16.5" customHeight="1" x14ac:dyDescent="0.25">
      <c r="A29" s="340" t="s">
        <v>524</v>
      </c>
      <c r="B29" s="355"/>
      <c r="C29" s="153"/>
      <c r="D29" s="153"/>
      <c r="E29" s="154"/>
      <c r="F29" s="468">
        <v>365</v>
      </c>
      <c r="G29" s="482">
        <v>3.03</v>
      </c>
      <c r="H29" s="354">
        <f>F29*G29</f>
        <v>1105.9499999999998</v>
      </c>
      <c r="I29" s="487" t="s">
        <v>591</v>
      </c>
      <c r="K29" s="3"/>
      <c r="L29" s="3"/>
      <c r="M29" s="3"/>
      <c r="N29" s="3"/>
      <c r="O29" s="3"/>
      <c r="P29" s="3"/>
      <c r="Q29" s="3"/>
      <c r="R29" s="3"/>
      <c r="S29" s="3"/>
      <c r="T29" s="3"/>
      <c r="U29" s="3"/>
      <c r="V29" s="3"/>
    </row>
    <row r="30" spans="1:22" s="11" customFormat="1" ht="16.5" customHeight="1" x14ac:dyDescent="0.25">
      <c r="A30" s="409" t="s">
        <v>534</v>
      </c>
      <c r="B30" s="410"/>
      <c r="C30" s="411"/>
      <c r="D30" s="411"/>
      <c r="E30" s="412"/>
      <c r="F30" s="468">
        <v>365</v>
      </c>
      <c r="G30" s="482">
        <v>1.8</v>
      </c>
      <c r="H30" s="354">
        <f t="shared" ref="H30:H34" si="6">F30*G30</f>
        <v>657</v>
      </c>
      <c r="I30" s="487" t="s">
        <v>591</v>
      </c>
      <c r="K30" s="3"/>
      <c r="L30" s="3"/>
      <c r="M30" s="3"/>
      <c r="N30" s="3"/>
      <c r="O30" s="3"/>
      <c r="P30" s="3"/>
      <c r="Q30" s="3"/>
      <c r="R30" s="3"/>
      <c r="S30" s="3"/>
      <c r="T30" s="3"/>
      <c r="U30" s="3"/>
      <c r="V30" s="3"/>
    </row>
    <row r="31" spans="1:22" s="11" customFormat="1" ht="16.5" customHeight="1" x14ac:dyDescent="0.25">
      <c r="A31" s="340" t="s">
        <v>519</v>
      </c>
      <c r="B31" s="355"/>
      <c r="C31" s="153"/>
      <c r="D31" s="153"/>
      <c r="E31" s="154"/>
      <c r="F31" s="468">
        <v>365</v>
      </c>
      <c r="G31" s="482">
        <v>1</v>
      </c>
      <c r="H31" s="354">
        <f>F31*G31</f>
        <v>365</v>
      </c>
      <c r="I31" s="487" t="s">
        <v>591</v>
      </c>
      <c r="K31" s="3"/>
      <c r="L31" s="3"/>
      <c r="M31" s="3"/>
      <c r="N31" s="3"/>
      <c r="O31" s="3"/>
      <c r="P31" s="3"/>
      <c r="Q31" s="3"/>
      <c r="R31" s="3"/>
      <c r="S31" s="3"/>
      <c r="T31" s="3"/>
      <c r="U31" s="3"/>
      <c r="V31" s="3"/>
    </row>
    <row r="32" spans="1:22" s="11" customFormat="1" ht="16.5" customHeight="1" x14ac:dyDescent="0.25">
      <c r="A32" s="340" t="s">
        <v>516</v>
      </c>
      <c r="B32" s="355"/>
      <c r="C32" s="153"/>
      <c r="D32" s="153"/>
      <c r="E32" s="154"/>
      <c r="F32" s="468">
        <v>365</v>
      </c>
      <c r="G32" s="482">
        <v>0.6</v>
      </c>
      <c r="H32" s="354">
        <f t="shared" si="6"/>
        <v>219</v>
      </c>
      <c r="I32" s="487" t="s">
        <v>591</v>
      </c>
      <c r="K32" s="3"/>
      <c r="L32" s="3"/>
      <c r="M32" s="3"/>
      <c r="N32" s="3"/>
      <c r="O32" s="3"/>
      <c r="P32" s="3"/>
      <c r="Q32" s="3"/>
      <c r="R32" s="3"/>
      <c r="S32" s="3"/>
      <c r="T32" s="3"/>
      <c r="U32" s="3"/>
      <c r="V32" s="3"/>
    </row>
    <row r="33" spans="1:22" s="11" customFormat="1" ht="16.5" customHeight="1" x14ac:dyDescent="0.25">
      <c r="A33" s="340" t="s">
        <v>517</v>
      </c>
      <c r="B33" s="355"/>
      <c r="C33" s="153"/>
      <c r="D33" s="153"/>
      <c r="E33" s="154"/>
      <c r="F33" s="468">
        <v>365</v>
      </c>
      <c r="G33" s="482">
        <v>0.13</v>
      </c>
      <c r="H33" s="354">
        <f>F33*G33</f>
        <v>47.45</v>
      </c>
      <c r="I33" s="487" t="s">
        <v>591</v>
      </c>
      <c r="K33" s="3"/>
      <c r="L33" s="3"/>
      <c r="M33" s="3"/>
      <c r="N33" s="3"/>
      <c r="O33" s="3"/>
      <c r="P33" s="3"/>
      <c r="Q33" s="3"/>
      <c r="R33" s="3"/>
      <c r="S33" s="3"/>
      <c r="T33" s="3"/>
      <c r="U33" s="3"/>
      <c r="V33" s="3"/>
    </row>
    <row r="34" spans="1:22" s="11" customFormat="1" ht="16.5" customHeight="1" x14ac:dyDescent="0.25">
      <c r="A34" s="340" t="s">
        <v>518</v>
      </c>
      <c r="B34" s="355"/>
      <c r="C34" s="153"/>
      <c r="D34" s="153"/>
      <c r="E34" s="154"/>
      <c r="F34" s="468">
        <v>365</v>
      </c>
      <c r="G34" s="482">
        <v>0.35</v>
      </c>
      <c r="H34" s="354">
        <f t="shared" si="6"/>
        <v>127.74999999999999</v>
      </c>
      <c r="I34" s="487" t="s">
        <v>591</v>
      </c>
      <c r="K34" s="3"/>
      <c r="L34" s="3"/>
      <c r="M34" s="3"/>
      <c r="N34" s="3"/>
      <c r="O34" s="3"/>
      <c r="P34" s="3"/>
      <c r="Q34" s="3"/>
      <c r="R34" s="3"/>
      <c r="S34" s="3"/>
      <c r="T34" s="3"/>
      <c r="U34" s="3"/>
      <c r="V34" s="3"/>
    </row>
    <row r="35" spans="1:22" s="11" customFormat="1" ht="16.5" customHeight="1" x14ac:dyDescent="0.25">
      <c r="A35" s="283"/>
      <c r="B35" s="345"/>
      <c r="C35" s="12"/>
      <c r="D35" s="12"/>
      <c r="E35" s="345"/>
      <c r="F35" s="12"/>
      <c r="G35" s="12"/>
      <c r="H35" s="345"/>
      <c r="I35" s="233" t="s">
        <v>3</v>
      </c>
      <c r="K35" s="3"/>
      <c r="L35" s="3"/>
      <c r="M35" s="3"/>
      <c r="N35" s="3"/>
      <c r="O35" s="3"/>
      <c r="P35" s="3"/>
      <c r="Q35" s="3"/>
      <c r="R35" s="3"/>
      <c r="S35" s="3"/>
      <c r="T35" s="3"/>
      <c r="U35" s="3"/>
      <c r="V35" s="3"/>
    </row>
    <row r="36" spans="1:22" s="11" customFormat="1" ht="55.5" customHeight="1" x14ac:dyDescent="0.3">
      <c r="A36" s="349" t="s">
        <v>543</v>
      </c>
      <c r="B36" s="350"/>
      <c r="C36" s="351"/>
      <c r="D36" s="351"/>
      <c r="E36" s="351"/>
      <c r="F36" s="352" t="s">
        <v>550</v>
      </c>
      <c r="G36" s="353"/>
      <c r="H36" s="352" t="s">
        <v>475</v>
      </c>
      <c r="I36" s="487" t="s">
        <v>588</v>
      </c>
      <c r="K36" s="3"/>
      <c r="L36" s="3"/>
      <c r="M36" s="3"/>
      <c r="N36" s="3"/>
      <c r="O36" s="3"/>
      <c r="P36" s="3"/>
      <c r="Q36" s="3"/>
      <c r="R36" s="3"/>
      <c r="S36" s="3"/>
      <c r="T36" s="3"/>
      <c r="U36" s="3"/>
      <c r="V36" s="3"/>
    </row>
    <row r="37" spans="1:22" s="11" customFormat="1" ht="16.5" customHeight="1" x14ac:dyDescent="0.25">
      <c r="A37" s="340" t="s">
        <v>544</v>
      </c>
      <c r="B37" s="355"/>
      <c r="C37" s="153"/>
      <c r="D37" s="153"/>
      <c r="E37" s="154"/>
      <c r="F37" s="468">
        <v>3061.79</v>
      </c>
      <c r="G37" s="455"/>
      <c r="H37" s="354">
        <f>F37</f>
        <v>3061.79</v>
      </c>
      <c r="I37" s="487" t="s">
        <v>591</v>
      </c>
      <c r="K37" s="3"/>
      <c r="L37" s="3"/>
      <c r="M37" s="3"/>
      <c r="N37" s="3"/>
      <c r="O37" s="3"/>
      <c r="P37" s="3"/>
      <c r="Q37" s="3"/>
      <c r="R37" s="3"/>
      <c r="S37" s="3"/>
      <c r="T37" s="3"/>
      <c r="U37" s="3"/>
      <c r="V37" s="3"/>
    </row>
    <row r="38" spans="1:22" s="11" customFormat="1" ht="16.5" customHeight="1" x14ac:dyDescent="0.25">
      <c r="A38" s="409" t="s">
        <v>545</v>
      </c>
      <c r="B38" s="410"/>
      <c r="C38" s="411"/>
      <c r="D38" s="411"/>
      <c r="E38" s="412"/>
      <c r="F38" s="468">
        <v>520.4</v>
      </c>
      <c r="G38" s="455"/>
      <c r="H38" s="354">
        <f t="shared" ref="H38:H42" si="7">F38</f>
        <v>520.4</v>
      </c>
      <c r="I38" s="487" t="s">
        <v>591</v>
      </c>
      <c r="K38" s="3"/>
      <c r="L38" s="3"/>
      <c r="M38" s="3"/>
      <c r="N38" s="3"/>
      <c r="O38" s="3"/>
      <c r="P38" s="3"/>
      <c r="Q38" s="3"/>
      <c r="R38" s="3"/>
      <c r="S38" s="3"/>
      <c r="T38" s="3"/>
      <c r="U38" s="3"/>
      <c r="V38" s="3"/>
    </row>
    <row r="39" spans="1:22" s="11" customFormat="1" ht="16.5" customHeight="1" x14ac:dyDescent="0.25">
      <c r="A39" s="340" t="s">
        <v>546</v>
      </c>
      <c r="B39" s="355"/>
      <c r="C39" s="153"/>
      <c r="D39" s="153"/>
      <c r="E39" s="154"/>
      <c r="F39" s="468">
        <v>348</v>
      </c>
      <c r="G39" s="455"/>
      <c r="H39" s="354">
        <f t="shared" si="7"/>
        <v>348</v>
      </c>
      <c r="I39" s="487" t="s">
        <v>591</v>
      </c>
      <c r="K39" s="3"/>
      <c r="L39" s="3"/>
      <c r="M39" s="3"/>
      <c r="N39" s="3"/>
      <c r="O39" s="3"/>
      <c r="P39" s="3"/>
      <c r="Q39" s="3"/>
      <c r="R39" s="3"/>
      <c r="S39" s="3"/>
      <c r="T39" s="3"/>
      <c r="U39" s="3"/>
      <c r="V39" s="3"/>
    </row>
    <row r="40" spans="1:22" s="11" customFormat="1" ht="16.5" customHeight="1" x14ac:dyDescent="0.25">
      <c r="A40" s="340" t="s">
        <v>547</v>
      </c>
      <c r="B40" s="355"/>
      <c r="C40" s="153"/>
      <c r="D40" s="153"/>
      <c r="E40" s="154"/>
      <c r="F40" s="468">
        <v>2500</v>
      </c>
      <c r="G40" s="455"/>
      <c r="H40" s="354">
        <f t="shared" si="7"/>
        <v>2500</v>
      </c>
      <c r="I40" s="487" t="s">
        <v>591</v>
      </c>
      <c r="K40" s="3"/>
      <c r="L40" s="3"/>
      <c r="M40" s="3"/>
      <c r="N40" s="3"/>
      <c r="O40" s="3"/>
      <c r="P40" s="3"/>
      <c r="Q40" s="3"/>
      <c r="R40" s="3"/>
      <c r="S40" s="3"/>
      <c r="T40" s="3"/>
      <c r="U40" s="3"/>
      <c r="V40" s="3"/>
    </row>
    <row r="41" spans="1:22" s="11" customFormat="1" ht="16.5" customHeight="1" x14ac:dyDescent="0.25">
      <c r="A41" s="340" t="s">
        <v>548</v>
      </c>
      <c r="B41" s="355"/>
      <c r="C41" s="153"/>
      <c r="D41" s="153"/>
      <c r="E41" s="154"/>
      <c r="F41" s="468">
        <v>738</v>
      </c>
      <c r="G41" s="455"/>
      <c r="H41" s="354">
        <f t="shared" si="7"/>
        <v>738</v>
      </c>
      <c r="I41" s="487" t="s">
        <v>591</v>
      </c>
      <c r="K41" s="3"/>
      <c r="L41" s="3"/>
      <c r="M41" s="3"/>
      <c r="N41" s="3"/>
      <c r="O41" s="3"/>
      <c r="P41" s="3"/>
      <c r="Q41" s="3"/>
      <c r="R41" s="3"/>
      <c r="S41" s="3"/>
      <c r="T41" s="3"/>
      <c r="U41" s="3"/>
      <c r="V41" s="3"/>
    </row>
    <row r="42" spans="1:22" s="11" customFormat="1" ht="16.5" customHeight="1" x14ac:dyDescent="0.25">
      <c r="A42" s="340" t="s">
        <v>549</v>
      </c>
      <c r="B42" s="355"/>
      <c r="C42" s="153"/>
      <c r="D42" s="153"/>
      <c r="E42" s="154"/>
      <c r="F42" s="468">
        <v>10641.8</v>
      </c>
      <c r="G42" s="455"/>
      <c r="H42" s="354">
        <f t="shared" si="7"/>
        <v>10641.8</v>
      </c>
      <c r="I42" s="487" t="s">
        <v>591</v>
      </c>
      <c r="K42" s="3"/>
      <c r="L42" s="3"/>
      <c r="M42" s="3"/>
      <c r="N42" s="3"/>
      <c r="O42" s="3"/>
      <c r="P42" s="3"/>
      <c r="Q42" s="3"/>
      <c r="R42" s="3"/>
      <c r="S42" s="3"/>
      <c r="T42" s="3"/>
      <c r="U42" s="3"/>
      <c r="V42" s="3"/>
    </row>
    <row r="43" spans="1:22" s="11" customFormat="1" ht="16.5" customHeight="1" x14ac:dyDescent="0.25">
      <c r="A43" s="283"/>
      <c r="B43" s="345"/>
      <c r="C43" s="12"/>
      <c r="D43" s="12"/>
      <c r="E43" s="345"/>
      <c r="F43" s="12"/>
      <c r="G43" s="12"/>
      <c r="H43" s="345"/>
      <c r="I43" s="233" t="s">
        <v>3</v>
      </c>
      <c r="K43" s="3"/>
      <c r="L43" s="3"/>
      <c r="M43" s="3"/>
      <c r="N43" s="3"/>
      <c r="O43" s="3"/>
      <c r="P43" s="3"/>
      <c r="Q43" s="3"/>
      <c r="R43" s="3"/>
      <c r="S43" s="3"/>
      <c r="T43" s="3"/>
      <c r="U43" s="3"/>
      <c r="V43" s="3"/>
    </row>
    <row r="44" spans="1:22" s="11" customFormat="1" ht="13.8" x14ac:dyDescent="0.25">
      <c r="A44" s="3"/>
      <c r="B44" s="346"/>
      <c r="C44" s="3"/>
      <c r="D44" s="3"/>
      <c r="E44" s="346"/>
      <c r="F44" s="3"/>
      <c r="G44" s="3"/>
      <c r="H44" s="346"/>
    </row>
    <row r="45" spans="1:22" s="11" customFormat="1" ht="13.8" x14ac:dyDescent="0.25">
      <c r="A45" s="3"/>
      <c r="B45" s="346"/>
      <c r="C45" s="3"/>
      <c r="D45" s="3"/>
      <c r="E45" s="346"/>
      <c r="F45" s="3"/>
      <c r="G45" s="3"/>
      <c r="H45" s="346"/>
    </row>
    <row r="46" spans="1:22" s="11" customFormat="1" ht="13.8" x14ac:dyDescent="0.25">
      <c r="A46" s="3"/>
      <c r="B46" s="346"/>
      <c r="C46" s="3"/>
      <c r="D46" s="3"/>
      <c r="E46" s="346"/>
      <c r="F46" s="3"/>
      <c r="G46" s="3"/>
      <c r="H46" s="346"/>
    </row>
    <row r="47" spans="1:22" s="11" customFormat="1" ht="13.8" x14ac:dyDescent="0.25">
      <c r="A47" s="3"/>
      <c r="B47" s="346"/>
      <c r="C47" s="3"/>
      <c r="D47" s="3"/>
      <c r="E47" s="346"/>
      <c r="F47" s="3"/>
      <c r="G47" s="3"/>
      <c r="H47" s="346"/>
    </row>
    <row r="48" spans="1:22" s="11" customFormat="1" ht="13.8" x14ac:dyDescent="0.25">
      <c r="A48" s="3"/>
      <c r="B48" s="346"/>
      <c r="C48" s="3"/>
      <c r="D48" s="3"/>
      <c r="E48" s="346"/>
      <c r="F48" s="3"/>
      <c r="G48" s="3"/>
      <c r="H48" s="346"/>
    </row>
    <row r="49" spans="1:9" s="11" customFormat="1" ht="13.8" x14ac:dyDescent="0.25">
      <c r="A49" s="3"/>
      <c r="B49" s="346"/>
      <c r="C49" s="3"/>
      <c r="D49" s="3"/>
      <c r="E49" s="346"/>
      <c r="F49" s="3"/>
      <c r="G49" s="3"/>
      <c r="H49" s="346"/>
    </row>
    <row r="50" spans="1:9" s="11" customFormat="1" ht="13.8" x14ac:dyDescent="0.25">
      <c r="A50" s="3"/>
      <c r="B50" s="346"/>
      <c r="C50" s="3"/>
      <c r="D50" s="3"/>
      <c r="E50" s="346"/>
      <c r="F50" s="3"/>
      <c r="G50" s="3"/>
      <c r="H50" s="346"/>
    </row>
    <row r="51" spans="1:9" s="11" customFormat="1" ht="13.8" x14ac:dyDescent="0.25">
      <c r="A51" s="3"/>
      <c r="B51" s="346"/>
      <c r="C51" s="3"/>
      <c r="D51" s="3"/>
      <c r="E51" s="346"/>
      <c r="F51" s="3"/>
      <c r="G51" s="3"/>
      <c r="H51" s="346"/>
    </row>
    <row r="52" spans="1:9" s="11" customFormat="1" ht="13.8" x14ac:dyDescent="0.25">
      <c r="A52" s="3"/>
      <c r="B52" s="346"/>
      <c r="C52" s="3"/>
      <c r="D52" s="3"/>
      <c r="E52" s="346"/>
      <c r="F52" s="3"/>
      <c r="G52" s="3"/>
      <c r="H52" s="346"/>
    </row>
    <row r="53" spans="1:9" s="11" customFormat="1" ht="13.8" x14ac:dyDescent="0.25">
      <c r="A53" s="3"/>
      <c r="B53" s="346"/>
      <c r="C53" s="3"/>
      <c r="D53" s="3"/>
      <c r="E53" s="346"/>
      <c r="F53" s="3"/>
      <c r="G53" s="3"/>
      <c r="H53" s="346"/>
    </row>
    <row r="54" spans="1:9" s="11" customFormat="1" ht="13.8" x14ac:dyDescent="0.25">
      <c r="A54" s="3"/>
      <c r="B54" s="346"/>
      <c r="C54" s="3"/>
      <c r="D54" s="3"/>
      <c r="E54" s="346"/>
      <c r="F54" s="3"/>
      <c r="G54" s="3"/>
      <c r="H54" s="346"/>
    </row>
    <row r="55" spans="1:9" s="11" customFormat="1" ht="13.8" x14ac:dyDescent="0.25">
      <c r="A55" s="3"/>
      <c r="B55" s="346"/>
      <c r="C55" s="3"/>
      <c r="D55" s="3"/>
      <c r="E55" s="346"/>
      <c r="F55" s="3"/>
      <c r="G55" s="3"/>
      <c r="H55" s="346"/>
    </row>
    <row r="56" spans="1:9" s="11" customFormat="1" ht="13.8" x14ac:dyDescent="0.25">
      <c r="A56" s="3"/>
      <c r="B56" s="346"/>
      <c r="C56" s="3"/>
      <c r="D56" s="3"/>
      <c r="E56" s="346"/>
      <c r="F56" s="3"/>
      <c r="G56" s="3"/>
      <c r="H56" s="346"/>
    </row>
    <row r="57" spans="1:9" ht="13.8" x14ac:dyDescent="0.25">
      <c r="I57" s="11"/>
    </row>
  </sheetData>
  <sheetProtection algorithmName="SHA-512" hashValue="uvxhoraoMrSNRZ0dTX4FLKNiSIotlFOuKQVsxRZLbR1I4MsUqU8FfPa0uDYStbMp0H1FBsnRAuRJCxTq7SsoJw==" saltValue="fBqBqMihzUgxIgbc9NDiLQ==" spinCount="100000" sheet="1" objects="1" scenarios="1"/>
  <pageMargins left="0.70866141732283472" right="0.70866141732283472" top="0.74803149606299213" bottom="0.74803149606299213" header="0.31496062992125984" footer="0.31496062992125984"/>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67"/>
  <sheetViews>
    <sheetView showGridLines="0" zoomScale="80" zoomScaleNormal="80" workbookViewId="0">
      <pane xSplit="3" ySplit="20" topLeftCell="D52" activePane="bottomRight" state="frozen"/>
      <selection activeCell="Q9" sqref="P8:Q9"/>
      <selection pane="topRight" activeCell="Q9" sqref="P8:Q9"/>
      <selection pane="bottomLeft" activeCell="Q9" sqref="P8:Q9"/>
      <selection pane="bottomRight"/>
    </sheetView>
  </sheetViews>
  <sheetFormatPr defaultColWidth="9.109375" defaultRowHeight="15" x14ac:dyDescent="0.25"/>
  <cols>
    <col min="1" max="1" width="85.109375" style="220" customWidth="1"/>
    <col min="2" max="2" width="15.88671875" style="272" customWidth="1"/>
    <col min="3" max="3" width="15.88671875" style="2" customWidth="1"/>
    <col min="4" max="5" width="15.88671875" style="70" customWidth="1"/>
    <col min="6" max="6" width="3.88671875" style="70" customWidth="1"/>
    <col min="7" max="9" width="15.88671875" style="273" customWidth="1"/>
    <col min="10" max="16384" width="9.109375" style="2"/>
  </cols>
  <sheetData>
    <row r="1" spans="1:10" ht="30" customHeight="1" x14ac:dyDescent="0.25">
      <c r="A1" s="173" t="str">
        <f>'Assumptions input'!A1</f>
        <v xml:space="preserve">Benign prostatic technologies - Greenlight (MTG74), Rezum (MTG49), UroLift (MTG58), Plasma system (MTG53) and mTURP </v>
      </c>
      <c r="B1" s="246"/>
      <c r="C1" s="247"/>
      <c r="D1" s="248"/>
      <c r="E1" s="223"/>
      <c r="F1" s="223" t="s">
        <v>3</v>
      </c>
      <c r="G1" s="223" t="s">
        <v>3</v>
      </c>
      <c r="H1" s="223" t="s">
        <v>3</v>
      </c>
      <c r="I1" s="223" t="s">
        <v>3</v>
      </c>
    </row>
    <row r="2" spans="1:10" ht="30" customHeight="1" thickBot="1" x14ac:dyDescent="0.3">
      <c r="A2" s="187" t="s">
        <v>356</v>
      </c>
      <c r="B2" s="249" t="s">
        <v>3</v>
      </c>
      <c r="C2" s="250" t="s">
        <v>3</v>
      </c>
      <c r="D2" s="251" t="s">
        <v>3</v>
      </c>
      <c r="E2" s="222" t="s">
        <v>3</v>
      </c>
      <c r="F2" s="222" t="s">
        <v>3</v>
      </c>
      <c r="G2" s="285"/>
      <c r="H2" s="285"/>
      <c r="I2" s="285"/>
      <c r="J2" s="285"/>
    </row>
    <row r="3" spans="1:10" ht="73.5" customHeight="1" x14ac:dyDescent="0.25">
      <c r="A3" s="229" t="s">
        <v>567</v>
      </c>
      <c r="B3" s="357" t="s">
        <v>564</v>
      </c>
      <c r="C3" s="226" t="s">
        <v>447</v>
      </c>
      <c r="D3" s="227" t="s">
        <v>448</v>
      </c>
      <c r="E3" s="228" t="s">
        <v>449</v>
      </c>
      <c r="F3" s="462"/>
      <c r="G3" s="464"/>
      <c r="H3" s="465"/>
      <c r="I3" s="466"/>
    </row>
    <row r="4" spans="1:10" ht="13.8" x14ac:dyDescent="0.25">
      <c r="A4" s="320" t="s">
        <v>524</v>
      </c>
      <c r="B4" s="461">
        <f>'Unit costs'!F13</f>
        <v>2.5</v>
      </c>
      <c r="C4" s="360">
        <f>C14/B4</f>
        <v>3699.9958583277162</v>
      </c>
      <c r="D4" s="183">
        <f>D14/B4</f>
        <v>0</v>
      </c>
      <c r="E4" s="254">
        <f t="shared" ref="E4:E9" si="0">D4-C4</f>
        <v>-3699.9958583277162</v>
      </c>
      <c r="F4" s="463"/>
    </row>
    <row r="5" spans="1:10" ht="13.8" x14ac:dyDescent="0.25">
      <c r="A5" s="320" t="s">
        <v>534</v>
      </c>
      <c r="B5" s="461">
        <f>'Unit costs'!F14</f>
        <v>3</v>
      </c>
      <c r="C5" s="360">
        <f t="shared" ref="C5:C9" si="1">C15/B5</f>
        <v>4111.1065092530189</v>
      </c>
      <c r="D5" s="183">
        <f t="shared" ref="D5:D9" si="2">D15/B5</f>
        <v>1541.6649409698819</v>
      </c>
      <c r="E5" s="254">
        <f t="shared" si="0"/>
        <v>-2569.4415682831368</v>
      </c>
      <c r="F5" s="463"/>
    </row>
    <row r="6" spans="1:10" ht="13.8" x14ac:dyDescent="0.25">
      <c r="A6" s="185" t="s">
        <v>519</v>
      </c>
      <c r="B6" s="461">
        <f>'Unit costs'!F15</f>
        <v>2.5</v>
      </c>
      <c r="C6" s="360">
        <f t="shared" si="1"/>
        <v>1356.6651480534961</v>
      </c>
      <c r="D6" s="183">
        <f t="shared" si="2"/>
        <v>2466.6639055518112</v>
      </c>
      <c r="E6" s="254">
        <f t="shared" si="0"/>
        <v>1109.9987574983152</v>
      </c>
      <c r="F6" s="463"/>
    </row>
    <row r="7" spans="1:10" ht="13.8" x14ac:dyDescent="0.25">
      <c r="A7" s="284" t="s">
        <v>516</v>
      </c>
      <c r="B7" s="461">
        <f>'Unit costs'!F16</f>
        <v>3</v>
      </c>
      <c r="C7" s="360">
        <f t="shared" si="1"/>
        <v>1027.7766273132547</v>
      </c>
      <c r="D7" s="183">
        <f t="shared" si="2"/>
        <v>2569.4415682831363</v>
      </c>
      <c r="E7" s="254">
        <f t="shared" si="0"/>
        <v>1541.6649409698816</v>
      </c>
      <c r="F7" s="463"/>
    </row>
    <row r="8" spans="1:10" ht="13.8" x14ac:dyDescent="0.25">
      <c r="A8" s="284" t="s">
        <v>517</v>
      </c>
      <c r="B8" s="461">
        <f>'Unit costs'!F17</f>
        <v>7</v>
      </c>
      <c r="C8" s="360">
        <f t="shared" si="1"/>
        <v>132.14270922598988</v>
      </c>
      <c r="D8" s="183">
        <f t="shared" si="2"/>
        <v>880.95139483993262</v>
      </c>
      <c r="E8" s="254">
        <f t="shared" si="0"/>
        <v>748.80868561394277</v>
      </c>
      <c r="F8" s="463"/>
    </row>
    <row r="9" spans="1:10" ht="13.8" x14ac:dyDescent="0.25">
      <c r="A9" s="185" t="s">
        <v>518</v>
      </c>
      <c r="B9" s="461">
        <f>'Unit costs'!F18</f>
        <v>6</v>
      </c>
      <c r="C9" s="360">
        <f t="shared" si="1"/>
        <v>308.33298819397641</v>
      </c>
      <c r="D9" s="183">
        <f t="shared" si="2"/>
        <v>1027.7766273132547</v>
      </c>
      <c r="E9" s="254">
        <f t="shared" si="0"/>
        <v>719.44363911927826</v>
      </c>
      <c r="F9" s="463"/>
    </row>
    <row r="10" spans="1:10" ht="14.4" thickBot="1" x14ac:dyDescent="0.3">
      <c r="A10" s="192" t="s">
        <v>538</v>
      </c>
      <c r="B10" s="259"/>
      <c r="C10" s="385">
        <f>SUM(C4:C9)</f>
        <v>10636.019840367453</v>
      </c>
      <c r="D10" s="386">
        <f>SUM(D4:D9)</f>
        <v>8486.4984369580161</v>
      </c>
      <c r="E10" s="387">
        <f>SUM(E4:E9)</f>
        <v>-2149.5214034094352</v>
      </c>
      <c r="F10" s="463"/>
      <c r="G10" s="467"/>
      <c r="H10" s="467"/>
      <c r="I10" s="467"/>
    </row>
    <row r="11" spans="1:10" ht="13.8" x14ac:dyDescent="0.25">
      <c r="A11" s="223" t="s">
        <v>3</v>
      </c>
      <c r="B11" s="252" t="s">
        <v>3</v>
      </c>
      <c r="C11" s="223" t="s">
        <v>3</v>
      </c>
      <c r="D11" s="248" t="s">
        <v>3</v>
      </c>
      <c r="E11" s="248" t="s">
        <v>3</v>
      </c>
      <c r="F11" s="248" t="s">
        <v>3</v>
      </c>
      <c r="G11" s="253" t="s">
        <v>3</v>
      </c>
      <c r="H11" s="253" t="s">
        <v>3</v>
      </c>
      <c r="I11" s="253" t="s">
        <v>3</v>
      </c>
    </row>
    <row r="12" spans="1:10" ht="14.4" thickBot="1" x14ac:dyDescent="0.3">
      <c r="A12" s="223" t="s">
        <v>3</v>
      </c>
      <c r="B12" s="252" t="s">
        <v>3</v>
      </c>
      <c r="C12" s="223" t="s">
        <v>3</v>
      </c>
      <c r="D12" s="248" t="s">
        <v>3</v>
      </c>
      <c r="E12" s="248" t="s">
        <v>3</v>
      </c>
      <c r="F12" s="248" t="s">
        <v>3</v>
      </c>
      <c r="G12" s="285"/>
      <c r="H12" s="285"/>
      <c r="I12" s="285"/>
      <c r="J12" s="285"/>
    </row>
    <row r="13" spans="1:10" ht="73.5" customHeight="1" x14ac:dyDescent="0.25">
      <c r="A13" s="229" t="s">
        <v>523</v>
      </c>
      <c r="B13" s="357" t="s">
        <v>537</v>
      </c>
      <c r="C13" s="226" t="s">
        <v>447</v>
      </c>
      <c r="D13" s="227" t="s">
        <v>448</v>
      </c>
      <c r="E13" s="228" t="s">
        <v>449</v>
      </c>
      <c r="F13" s="195"/>
      <c r="G13" s="230" t="s">
        <v>450</v>
      </c>
      <c r="H13" s="227" t="s">
        <v>451</v>
      </c>
      <c r="I13" s="228" t="s">
        <v>452</v>
      </c>
      <c r="J13" s="184"/>
    </row>
    <row r="14" spans="1:10" ht="13.8" x14ac:dyDescent="0.25">
      <c r="A14" s="320" t="s">
        <v>524</v>
      </c>
      <c r="B14" s="359">
        <f>'Unit costs'!H5</f>
        <v>0</v>
      </c>
      <c r="C14" s="360">
        <f>'Assumptions input'!C16</f>
        <v>9249.9896458192907</v>
      </c>
      <c r="D14" s="183">
        <f>'Assumptions input'!E16</f>
        <v>0</v>
      </c>
      <c r="E14" s="254">
        <f t="shared" ref="E14:E19" si="3">D14-C14</f>
        <v>-9249.9896458192907</v>
      </c>
      <c r="F14" s="255"/>
      <c r="G14" s="256">
        <f>B14*C14</f>
        <v>0</v>
      </c>
      <c r="H14" s="257">
        <f>B14*D14</f>
        <v>0</v>
      </c>
      <c r="I14" s="258">
        <f>H14-G14</f>
        <v>0</v>
      </c>
      <c r="J14" s="184"/>
    </row>
    <row r="15" spans="1:10" ht="13.8" x14ac:dyDescent="0.25">
      <c r="A15" s="320" t="s">
        <v>534</v>
      </c>
      <c r="B15" s="359">
        <f>'Unit costs'!H6</f>
        <v>0</v>
      </c>
      <c r="C15" s="360">
        <f>'Assumptions input'!C17</f>
        <v>12333.319527759057</v>
      </c>
      <c r="D15" s="183">
        <f>'Assumptions input'!E17</f>
        <v>4624.9948229096453</v>
      </c>
      <c r="E15" s="254">
        <f t="shared" si="3"/>
        <v>-7708.3247048494113</v>
      </c>
      <c r="F15" s="255"/>
      <c r="G15" s="256">
        <f>B15*C15</f>
        <v>0</v>
      </c>
      <c r="H15" s="257">
        <f>B15*D15</f>
        <v>0</v>
      </c>
      <c r="I15" s="258">
        <f>H15-G15</f>
        <v>0</v>
      </c>
      <c r="J15" s="184"/>
    </row>
    <row r="16" spans="1:10" ht="13.8" x14ac:dyDescent="0.25">
      <c r="A16" s="185" t="s">
        <v>519</v>
      </c>
      <c r="B16" s="359">
        <f>'Unit costs'!H7</f>
        <v>0</v>
      </c>
      <c r="C16" s="360">
        <f>'Assumptions input'!C18</f>
        <v>3391.6628701337404</v>
      </c>
      <c r="D16" s="183">
        <f>'Assumptions input'!E18</f>
        <v>6166.6597638795283</v>
      </c>
      <c r="E16" s="254">
        <f t="shared" si="3"/>
        <v>2774.9968937457879</v>
      </c>
      <c r="F16" s="255"/>
      <c r="G16" s="256">
        <f>B16*C16</f>
        <v>0</v>
      </c>
      <c r="H16" s="257">
        <f>B16*D16</f>
        <v>0</v>
      </c>
      <c r="I16" s="258">
        <f>H16-G16</f>
        <v>0</v>
      </c>
      <c r="J16" s="184"/>
    </row>
    <row r="17" spans="1:10" ht="13.8" x14ac:dyDescent="0.25">
      <c r="A17" s="284" t="s">
        <v>516</v>
      </c>
      <c r="B17" s="359">
        <f>'Unit costs'!H8</f>
        <v>0</v>
      </c>
      <c r="C17" s="360">
        <f>'Assumptions input'!C19</f>
        <v>3083.3298819397642</v>
      </c>
      <c r="D17" s="183">
        <f>'Assumptions input'!E19</f>
        <v>7708.3247048494095</v>
      </c>
      <c r="E17" s="254">
        <f t="shared" si="3"/>
        <v>4624.9948229096453</v>
      </c>
      <c r="F17" s="255"/>
      <c r="G17" s="256">
        <f t="shared" ref="G17:G19" si="4">B17*C17</f>
        <v>0</v>
      </c>
      <c r="H17" s="257">
        <f t="shared" ref="H17:H19" si="5">B17*D17</f>
        <v>0</v>
      </c>
      <c r="I17" s="258">
        <f t="shared" ref="I17:I19" si="6">H17-G17</f>
        <v>0</v>
      </c>
      <c r="J17" s="184"/>
    </row>
    <row r="18" spans="1:10" ht="13.8" x14ac:dyDescent="0.25">
      <c r="A18" s="284" t="s">
        <v>517</v>
      </c>
      <c r="B18" s="359">
        <f>'Unit costs'!H9</f>
        <v>0</v>
      </c>
      <c r="C18" s="360">
        <f>'Assumptions input'!C20</f>
        <v>924.99896458192916</v>
      </c>
      <c r="D18" s="183">
        <f>'Assumptions input'!E20</f>
        <v>6166.6597638795283</v>
      </c>
      <c r="E18" s="254">
        <f t="shared" si="3"/>
        <v>5241.6607992975987</v>
      </c>
      <c r="F18" s="255"/>
      <c r="G18" s="256">
        <f t="shared" si="4"/>
        <v>0</v>
      </c>
      <c r="H18" s="257">
        <f t="shared" si="5"/>
        <v>0</v>
      </c>
      <c r="I18" s="258">
        <f t="shared" si="6"/>
        <v>0</v>
      </c>
      <c r="J18" s="184"/>
    </row>
    <row r="19" spans="1:10" ht="13.8" x14ac:dyDescent="0.25">
      <c r="A19" s="185" t="s">
        <v>518</v>
      </c>
      <c r="B19" s="359">
        <f>'Unit costs'!H10</f>
        <v>0</v>
      </c>
      <c r="C19" s="360">
        <f>'Assumptions input'!C21</f>
        <v>1849.9979291638583</v>
      </c>
      <c r="D19" s="183">
        <f>'Assumptions input'!E21</f>
        <v>6166.6597638795283</v>
      </c>
      <c r="E19" s="254">
        <f t="shared" si="3"/>
        <v>4316.66183471567</v>
      </c>
      <c r="F19" s="255"/>
      <c r="G19" s="256">
        <f t="shared" si="4"/>
        <v>0</v>
      </c>
      <c r="H19" s="257">
        <f t="shared" si="5"/>
        <v>0</v>
      </c>
      <c r="I19" s="258">
        <f t="shared" si="6"/>
        <v>0</v>
      </c>
      <c r="J19" s="184"/>
    </row>
    <row r="20" spans="1:10" ht="14.4" thickBot="1" x14ac:dyDescent="0.3">
      <c r="A20" s="192" t="s">
        <v>538</v>
      </c>
      <c r="B20" s="259"/>
      <c r="C20" s="385">
        <f>SUM(C14:C19)</f>
        <v>30833.298819397638</v>
      </c>
      <c r="D20" s="386">
        <f>SUM(D14:D19)</f>
        <v>30833.298819397638</v>
      </c>
      <c r="E20" s="387">
        <f>SUM(E14:E19)</f>
        <v>0</v>
      </c>
      <c r="F20" s="255"/>
      <c r="G20" s="260">
        <f>SUM(G14:G19)</f>
        <v>0</v>
      </c>
      <c r="H20" s="356">
        <f>SUM(H14:H19)</f>
        <v>0</v>
      </c>
      <c r="I20" s="260">
        <f>SUM(I14:I19)</f>
        <v>0</v>
      </c>
      <c r="J20" s="184"/>
    </row>
    <row r="21" spans="1:10" ht="14.4" thickBot="1" x14ac:dyDescent="0.3">
      <c r="A21" s="223" t="s">
        <v>3</v>
      </c>
      <c r="B21" s="252" t="s">
        <v>3</v>
      </c>
      <c r="C21" s="223" t="s">
        <v>3</v>
      </c>
      <c r="D21" s="248" t="s">
        <v>3</v>
      </c>
      <c r="E21" s="248" t="s">
        <v>3</v>
      </c>
      <c r="F21" s="248" t="s">
        <v>3</v>
      </c>
      <c r="G21" s="253" t="s">
        <v>3</v>
      </c>
      <c r="H21" s="253" t="s">
        <v>3</v>
      </c>
      <c r="I21" s="253" t="s">
        <v>3</v>
      </c>
    </row>
    <row r="22" spans="1:10" s="186" customFormat="1" ht="53.25" customHeight="1" x14ac:dyDescent="0.3">
      <c r="A22" s="231" t="s">
        <v>576</v>
      </c>
      <c r="B22" s="357" t="s">
        <v>579</v>
      </c>
      <c r="C22" s="226" t="s">
        <v>447</v>
      </c>
      <c r="D22" s="227" t="s">
        <v>448</v>
      </c>
      <c r="E22" s="228" t="s">
        <v>449</v>
      </c>
      <c r="F22" s="195"/>
      <c r="G22" s="230" t="s">
        <v>450</v>
      </c>
      <c r="H22" s="227" t="s">
        <v>451</v>
      </c>
      <c r="I22" s="228" t="s">
        <v>452</v>
      </c>
      <c r="J22" s="261"/>
    </row>
    <row r="23" spans="1:10" ht="13.8" x14ac:dyDescent="0.25">
      <c r="A23" s="320" t="s">
        <v>524</v>
      </c>
      <c r="B23" s="358">
        <f>'Unit costs'!F21</f>
        <v>20.14</v>
      </c>
      <c r="C23" s="360">
        <f>C14*'Unit costs'!G21</f>
        <v>610499.3166240732</v>
      </c>
      <c r="D23" s="183">
        <f>D14*'Unit costs'!G21</f>
        <v>0</v>
      </c>
      <c r="E23" s="254">
        <f t="shared" ref="E23:E28" si="7">D23-C23</f>
        <v>-610499.3166240732</v>
      </c>
      <c r="F23" s="255"/>
      <c r="G23" s="256">
        <f>B23*C23</f>
        <v>12295456.236808835</v>
      </c>
      <c r="H23" s="257">
        <f>B23*D23</f>
        <v>0</v>
      </c>
      <c r="I23" s="258">
        <f>H23-G23</f>
        <v>-12295456.236808835</v>
      </c>
      <c r="J23" s="184"/>
    </row>
    <row r="24" spans="1:10" ht="13.8" x14ac:dyDescent="0.25">
      <c r="A24" s="320" t="s">
        <v>515</v>
      </c>
      <c r="B24" s="358">
        <f>'Unit costs'!F22</f>
        <v>20.14</v>
      </c>
      <c r="C24" s="360">
        <f>C15*'Unit costs'!G22</f>
        <v>683265.90183785174</v>
      </c>
      <c r="D24" s="183">
        <f>D15*'Unit costs'!G22</f>
        <v>256224.71318919436</v>
      </c>
      <c r="E24" s="254">
        <f t="shared" si="7"/>
        <v>-427041.18864865741</v>
      </c>
      <c r="F24" s="255"/>
      <c r="G24" s="256">
        <f>B24*C24</f>
        <v>13760975.263014335</v>
      </c>
      <c r="H24" s="257">
        <f>B24*D24</f>
        <v>5160365.7236303743</v>
      </c>
      <c r="I24" s="258">
        <f>H24-G24</f>
        <v>-8600609.5393839609</v>
      </c>
      <c r="J24" s="184"/>
    </row>
    <row r="25" spans="1:10" ht="13.8" x14ac:dyDescent="0.25">
      <c r="A25" s="185" t="s">
        <v>519</v>
      </c>
      <c r="B25" s="358">
        <f>'Unit costs'!F24</f>
        <v>20.14</v>
      </c>
      <c r="C25" s="360">
        <f>C16*'Unit costs'!G23</f>
        <v>271333.02961069922</v>
      </c>
      <c r="D25" s="183">
        <f>D16*'Unit costs'!G23</f>
        <v>493332.78111036227</v>
      </c>
      <c r="E25" s="254">
        <f t="shared" si="7"/>
        <v>221999.75149966305</v>
      </c>
      <c r="F25" s="255"/>
      <c r="G25" s="256">
        <f>B25*C25</f>
        <v>5464647.2163594821</v>
      </c>
      <c r="H25" s="257">
        <f>B25*D25</f>
        <v>9935722.2115626968</v>
      </c>
      <c r="I25" s="258">
        <f>H25-G25</f>
        <v>4471074.9952032147</v>
      </c>
      <c r="J25" s="184"/>
    </row>
    <row r="26" spans="1:10" ht="13.8" x14ac:dyDescent="0.25">
      <c r="A26" s="284" t="s">
        <v>516</v>
      </c>
      <c r="B26" s="358">
        <f>'Unit costs'!F23</f>
        <v>20.14</v>
      </c>
      <c r="C26" s="360">
        <f>C17*'Unit costs'!G24</f>
        <v>135666.51480534964</v>
      </c>
      <c r="D26" s="183">
        <f>D17*'Unit costs'!G24</f>
        <v>339166.28701337404</v>
      </c>
      <c r="E26" s="254">
        <f t="shared" si="7"/>
        <v>203499.7722080244</v>
      </c>
      <c r="F26" s="255"/>
      <c r="G26" s="256">
        <f t="shared" ref="G26:G28" si="8">B26*C26</f>
        <v>2732323.608179742</v>
      </c>
      <c r="H26" s="257">
        <f t="shared" ref="H26:H28" si="9">B26*D26</f>
        <v>6830809.0204493534</v>
      </c>
      <c r="I26" s="258">
        <f t="shared" ref="I26:I28" si="10">H26-G26</f>
        <v>4098485.4122696114</v>
      </c>
      <c r="J26" s="184"/>
    </row>
    <row r="27" spans="1:10" ht="13.8" x14ac:dyDescent="0.25">
      <c r="A27" s="284" t="s">
        <v>517</v>
      </c>
      <c r="B27" s="358">
        <f>'Unit costs'!F26</f>
        <v>20.14</v>
      </c>
      <c r="C27" s="360">
        <f>C18*'Unit costs'!G25</f>
        <v>12949.985504147007</v>
      </c>
      <c r="D27" s="183">
        <f>D18*'Unit costs'!G25</f>
        <v>86333.236694313397</v>
      </c>
      <c r="E27" s="254">
        <f t="shared" si="7"/>
        <v>73383.251190166397</v>
      </c>
      <c r="F27" s="255"/>
      <c r="G27" s="256">
        <f t="shared" si="8"/>
        <v>260812.70805352074</v>
      </c>
      <c r="H27" s="257">
        <f t="shared" si="9"/>
        <v>1738751.3870234718</v>
      </c>
      <c r="I27" s="258">
        <f t="shared" si="10"/>
        <v>1477938.6789699511</v>
      </c>
      <c r="J27" s="184"/>
    </row>
    <row r="28" spans="1:10" ht="13.8" x14ac:dyDescent="0.25">
      <c r="A28" s="185" t="s">
        <v>518</v>
      </c>
      <c r="B28" s="358">
        <f>'Unit costs'!F25</f>
        <v>20.14</v>
      </c>
      <c r="C28" s="360">
        <f>C19*'Unit costs'!G26</f>
        <v>32374.963760367522</v>
      </c>
      <c r="D28" s="183">
        <f>D19*'Unit costs'!G26</f>
        <v>107916.54586789175</v>
      </c>
      <c r="E28" s="254">
        <f t="shared" si="7"/>
        <v>75541.582107524227</v>
      </c>
      <c r="F28" s="255"/>
      <c r="G28" s="256">
        <f t="shared" si="8"/>
        <v>652031.77013380185</v>
      </c>
      <c r="H28" s="257">
        <f t="shared" si="9"/>
        <v>2173439.2337793401</v>
      </c>
      <c r="I28" s="258">
        <f t="shared" si="10"/>
        <v>1521407.4636455383</v>
      </c>
      <c r="J28" s="184" t="s">
        <v>453</v>
      </c>
    </row>
    <row r="29" spans="1:10" s="186" customFormat="1" ht="15" customHeight="1" thickBot="1" x14ac:dyDescent="0.3">
      <c r="A29" s="192" t="s">
        <v>539</v>
      </c>
      <c r="B29" s="262"/>
      <c r="C29" s="263">
        <f>SUM(C23:C28)</f>
        <v>1746089.7121424882</v>
      </c>
      <c r="D29" s="264">
        <f>SUM(D23:D28)</f>
        <v>1282973.5638751357</v>
      </c>
      <c r="E29" s="264">
        <f>SUM(E23:E28)</f>
        <v>-463116.14826735266</v>
      </c>
      <c r="F29" s="265"/>
      <c r="G29" s="260">
        <f>SUM(G23:G28)</f>
        <v>35166246.802549712</v>
      </c>
      <c r="H29" s="356">
        <f>SUM(H23:H28)</f>
        <v>25839087.576445237</v>
      </c>
      <c r="I29" s="260">
        <f>SUM(I23:I28)</f>
        <v>-9327159.2261044793</v>
      </c>
      <c r="J29" s="261"/>
    </row>
    <row r="30" spans="1:10" ht="14.4" thickBot="1" x14ac:dyDescent="0.3">
      <c r="A30" s="223" t="s">
        <v>3</v>
      </c>
      <c r="B30" s="252" t="s">
        <v>3</v>
      </c>
      <c r="C30" s="223" t="s">
        <v>3</v>
      </c>
      <c r="D30" s="248" t="s">
        <v>3</v>
      </c>
      <c r="E30" s="248" t="s">
        <v>3</v>
      </c>
      <c r="F30" s="248" t="s">
        <v>3</v>
      </c>
      <c r="G30" s="253" t="s">
        <v>3</v>
      </c>
      <c r="H30" s="253" t="s">
        <v>3</v>
      </c>
      <c r="I30" s="253" t="s">
        <v>3</v>
      </c>
    </row>
    <row r="31" spans="1:10" s="186" customFormat="1" ht="53.25" customHeight="1" x14ac:dyDescent="0.3">
      <c r="A31" s="231" t="s">
        <v>577</v>
      </c>
      <c r="B31" s="357" t="s">
        <v>580</v>
      </c>
      <c r="C31" s="226" t="s">
        <v>447</v>
      </c>
      <c r="D31" s="227" t="s">
        <v>448</v>
      </c>
      <c r="E31" s="228" t="s">
        <v>449</v>
      </c>
      <c r="F31" s="195"/>
      <c r="G31" s="230" t="s">
        <v>450</v>
      </c>
      <c r="H31" s="227" t="s">
        <v>451</v>
      </c>
      <c r="I31" s="228" t="s">
        <v>452</v>
      </c>
      <c r="J31" s="261"/>
    </row>
    <row r="32" spans="1:10" ht="13.8" x14ac:dyDescent="0.25">
      <c r="A32" s="320" t="s">
        <v>524</v>
      </c>
      <c r="B32" s="358">
        <f>'Unit costs'!F29</f>
        <v>365</v>
      </c>
      <c r="C32" s="360">
        <f>C14*'Unit costs'!G29</f>
        <v>28027.468626832448</v>
      </c>
      <c r="D32" s="183">
        <f>D14*'Unit costs'!G29</f>
        <v>0</v>
      </c>
      <c r="E32" s="254">
        <f t="shared" ref="E32:E37" si="11">D32-C32</f>
        <v>-28027.468626832448</v>
      </c>
      <c r="F32" s="255"/>
      <c r="G32" s="256">
        <f>B32*C32</f>
        <v>10230026.048793843</v>
      </c>
      <c r="H32" s="257">
        <f>B32*D32</f>
        <v>0</v>
      </c>
      <c r="I32" s="258">
        <f>H32-G32</f>
        <v>-10230026.048793843</v>
      </c>
      <c r="J32" s="184"/>
    </row>
    <row r="33" spans="1:10" ht="13.8" x14ac:dyDescent="0.25">
      <c r="A33" s="320" t="s">
        <v>515</v>
      </c>
      <c r="B33" s="358">
        <f>'Unit costs'!F30</f>
        <v>365</v>
      </c>
      <c r="C33" s="360">
        <f>C15*'Unit costs'!G30</f>
        <v>22199.975149966303</v>
      </c>
      <c r="D33" s="183">
        <f>D15*'Unit costs'!G30</f>
        <v>8324.9906812373611</v>
      </c>
      <c r="E33" s="254">
        <f t="shared" si="11"/>
        <v>-13874.984468728942</v>
      </c>
      <c r="F33" s="255"/>
      <c r="G33" s="256">
        <f>B33*C33</f>
        <v>8102990.9297377011</v>
      </c>
      <c r="H33" s="257">
        <f>B33*D33</f>
        <v>3038621.5986516369</v>
      </c>
      <c r="I33" s="258">
        <f>H33-G33</f>
        <v>-5064369.3310860638</v>
      </c>
      <c r="J33" s="184"/>
    </row>
    <row r="34" spans="1:10" ht="13.8" x14ac:dyDescent="0.25">
      <c r="A34" s="185" t="s">
        <v>519</v>
      </c>
      <c r="B34" s="358">
        <f>'Unit costs'!F32</f>
        <v>365</v>
      </c>
      <c r="C34" s="360">
        <f>C16*'Unit costs'!G31</f>
        <v>3391.6628701337404</v>
      </c>
      <c r="D34" s="183">
        <f>D16*'Unit costs'!G31</f>
        <v>6166.6597638795283</v>
      </c>
      <c r="E34" s="254">
        <f t="shared" si="11"/>
        <v>2774.9968937457879</v>
      </c>
      <c r="F34" s="255"/>
      <c r="G34" s="256">
        <f>B34*C34</f>
        <v>1237956.9475988152</v>
      </c>
      <c r="H34" s="257">
        <f>B34*D34</f>
        <v>2250830.8138160277</v>
      </c>
      <c r="I34" s="258">
        <f>H34-G34</f>
        <v>1012873.8662172125</v>
      </c>
      <c r="J34" s="184"/>
    </row>
    <row r="35" spans="1:10" ht="13.8" x14ac:dyDescent="0.25">
      <c r="A35" s="284" t="s">
        <v>516</v>
      </c>
      <c r="B35" s="358">
        <f>'Unit costs'!F31</f>
        <v>365</v>
      </c>
      <c r="C35" s="360">
        <f>C17*'Unit costs'!G32</f>
        <v>1849.9979291638583</v>
      </c>
      <c r="D35" s="183">
        <f>D17*'Unit costs'!G32</f>
        <v>4624.9948229096453</v>
      </c>
      <c r="E35" s="254">
        <f t="shared" si="11"/>
        <v>2774.996893745787</v>
      </c>
      <c r="F35" s="255"/>
      <c r="G35" s="256">
        <f t="shared" ref="G35:G37" si="12">B35*C35</f>
        <v>675249.24414480827</v>
      </c>
      <c r="H35" s="257">
        <f t="shared" ref="H35:H37" si="13">B35*D35</f>
        <v>1688123.1103620206</v>
      </c>
      <c r="I35" s="258">
        <f t="shared" ref="I35:I37" si="14">H35-G35</f>
        <v>1012873.8662172123</v>
      </c>
      <c r="J35" s="184"/>
    </row>
    <row r="36" spans="1:10" ht="13.8" x14ac:dyDescent="0.25">
      <c r="A36" s="284" t="s">
        <v>517</v>
      </c>
      <c r="B36" s="358">
        <f>'Unit costs'!F34</f>
        <v>365</v>
      </c>
      <c r="C36" s="360">
        <f>C18*'Unit costs'!G33</f>
        <v>120.2498653956508</v>
      </c>
      <c r="D36" s="183">
        <f>D18*'Unit costs'!G33</f>
        <v>801.66576930433871</v>
      </c>
      <c r="E36" s="254">
        <f t="shared" si="11"/>
        <v>681.41590390868794</v>
      </c>
      <c r="F36" s="255"/>
      <c r="G36" s="256">
        <f t="shared" si="12"/>
        <v>43891.20086941254</v>
      </c>
      <c r="H36" s="257">
        <f t="shared" si="13"/>
        <v>292608.00579608366</v>
      </c>
      <c r="I36" s="258">
        <f t="shared" si="14"/>
        <v>248716.80492667112</v>
      </c>
      <c r="J36" s="184"/>
    </row>
    <row r="37" spans="1:10" ht="13.8" x14ac:dyDescent="0.25">
      <c r="A37" s="185" t="s">
        <v>518</v>
      </c>
      <c r="B37" s="358">
        <f>'Unit costs'!F33</f>
        <v>365</v>
      </c>
      <c r="C37" s="360">
        <f>C19*'Unit costs'!G34</f>
        <v>647.49927520735037</v>
      </c>
      <c r="D37" s="183">
        <f>D19*'Unit costs'!G34</f>
        <v>2158.3309173578346</v>
      </c>
      <c r="E37" s="254">
        <f t="shared" si="11"/>
        <v>1510.8316421504842</v>
      </c>
      <c r="F37" s="255"/>
      <c r="G37" s="256">
        <f t="shared" si="12"/>
        <v>236337.23545068287</v>
      </c>
      <c r="H37" s="257">
        <f t="shared" si="13"/>
        <v>787790.78483560961</v>
      </c>
      <c r="I37" s="258">
        <f t="shared" si="14"/>
        <v>551453.54938492668</v>
      </c>
      <c r="J37" s="184" t="s">
        <v>453</v>
      </c>
    </row>
    <row r="38" spans="1:10" ht="13.8" x14ac:dyDescent="0.25">
      <c r="A38" s="185"/>
      <c r="B38" s="358"/>
      <c r="C38" s="360"/>
      <c r="D38" s="183"/>
      <c r="E38" s="254"/>
      <c r="F38" s="255"/>
      <c r="G38" s="287" t="s">
        <v>3</v>
      </c>
      <c r="H38" s="288" t="s">
        <v>3</v>
      </c>
      <c r="I38" s="289" t="s">
        <v>3</v>
      </c>
      <c r="J38" s="184"/>
    </row>
    <row r="39" spans="1:10" s="186" customFormat="1" ht="15" customHeight="1" thickBot="1" x14ac:dyDescent="0.3">
      <c r="A39" s="192" t="s">
        <v>510</v>
      </c>
      <c r="B39" s="262"/>
      <c r="C39" s="263">
        <f>SUM(C32:C38)</f>
        <v>56236.853716699356</v>
      </c>
      <c r="D39" s="264">
        <f t="shared" ref="D39:E39" si="15">SUM(D32:D38)</f>
        <v>22076.641954688708</v>
      </c>
      <c r="E39" s="264">
        <f t="shared" si="15"/>
        <v>-34160.211762010636</v>
      </c>
      <c r="F39" s="265"/>
      <c r="G39" s="260">
        <f>SUM(G32:G38)</f>
        <v>20526451.606595259</v>
      </c>
      <c r="H39" s="356">
        <f t="shared" ref="H39:I39" si="16">SUM(H32:H38)</f>
        <v>8057974.3134613773</v>
      </c>
      <c r="I39" s="260">
        <f t="shared" si="16"/>
        <v>-12468477.293133883</v>
      </c>
      <c r="J39" s="261"/>
    </row>
    <row r="40" spans="1:10" ht="14.4" thickBot="1" x14ac:dyDescent="0.3">
      <c r="A40" s="223" t="s">
        <v>3</v>
      </c>
      <c r="B40" s="252" t="s">
        <v>3</v>
      </c>
      <c r="C40" s="223" t="s">
        <v>3</v>
      </c>
      <c r="D40" s="248" t="s">
        <v>3</v>
      </c>
      <c r="E40" s="248" t="s">
        <v>3</v>
      </c>
      <c r="F40" s="248" t="s">
        <v>3</v>
      </c>
      <c r="G40" s="253" t="s">
        <v>3</v>
      </c>
      <c r="H40" s="253" t="s">
        <v>3</v>
      </c>
      <c r="I40" s="253" t="s">
        <v>3</v>
      </c>
    </row>
    <row r="41" spans="1:10" s="186" customFormat="1" ht="53.25" customHeight="1" x14ac:dyDescent="0.3">
      <c r="A41" s="231" t="s">
        <v>542</v>
      </c>
      <c r="B41" s="357" t="s">
        <v>581</v>
      </c>
      <c r="C41" s="226" t="s">
        <v>447</v>
      </c>
      <c r="D41" s="227" t="s">
        <v>448</v>
      </c>
      <c r="E41" s="228" t="s">
        <v>449</v>
      </c>
      <c r="F41" s="195"/>
      <c r="G41" s="230" t="s">
        <v>450</v>
      </c>
      <c r="H41" s="227" t="s">
        <v>451</v>
      </c>
      <c r="I41" s="228" t="s">
        <v>452</v>
      </c>
      <c r="J41" s="261"/>
    </row>
    <row r="42" spans="1:10" ht="13.8" x14ac:dyDescent="0.25">
      <c r="A42" s="320" t="s">
        <v>524</v>
      </c>
      <c r="B42" s="358">
        <f>'Unit costs'!H37</f>
        <v>3061.79</v>
      </c>
      <c r="C42" s="360">
        <f>'Assumptions input'!C25</f>
        <v>351.49960654113306</v>
      </c>
      <c r="D42" s="183">
        <f>'Assumptions input'!E25</f>
        <v>0</v>
      </c>
      <c r="E42" s="254">
        <f t="shared" ref="E42:E47" si="17">D42-C42</f>
        <v>-351.49960654113306</v>
      </c>
      <c r="F42" s="255"/>
      <c r="G42" s="256">
        <f>B42*C42</f>
        <v>1076217.9803115758</v>
      </c>
      <c r="H42" s="257">
        <f>B42*D42</f>
        <v>0</v>
      </c>
      <c r="I42" s="258">
        <f>H42-G42</f>
        <v>-1076217.9803115758</v>
      </c>
      <c r="J42" s="184"/>
    </row>
    <row r="43" spans="1:10" ht="13.8" x14ac:dyDescent="0.25">
      <c r="A43" s="320" t="s">
        <v>515</v>
      </c>
      <c r="B43" s="358">
        <f>B42</f>
        <v>3061.79</v>
      </c>
      <c r="C43" s="360">
        <f>'Assumptions input'!C26</f>
        <v>369.99958583277169</v>
      </c>
      <c r="D43" s="183">
        <f>'Assumptions input'!E26</f>
        <v>138.74984468728937</v>
      </c>
      <c r="E43" s="254">
        <f t="shared" si="17"/>
        <v>-231.24974114548232</v>
      </c>
      <c r="F43" s="255"/>
      <c r="G43" s="256">
        <f>B43*C43</f>
        <v>1132861.0319069221</v>
      </c>
      <c r="H43" s="257">
        <f>B43*D43</f>
        <v>424822.88696509571</v>
      </c>
      <c r="I43" s="258">
        <f>H43-G43</f>
        <v>-708038.14494182635</v>
      </c>
      <c r="J43" s="184"/>
    </row>
    <row r="44" spans="1:10" ht="13.8" x14ac:dyDescent="0.25">
      <c r="A44" s="185" t="s">
        <v>519</v>
      </c>
      <c r="B44" s="358">
        <f>B43</f>
        <v>3061.79</v>
      </c>
      <c r="C44" s="360">
        <f>'Assumptions input'!C27</f>
        <v>33.916628701337402</v>
      </c>
      <c r="D44" s="183">
        <f>'Assumptions input'!E27</f>
        <v>61.666597638795288</v>
      </c>
      <c r="E44" s="254">
        <f t="shared" si="17"/>
        <v>27.749968937457886</v>
      </c>
      <c r="F44" s="255"/>
      <c r="G44" s="256">
        <f>B44*C44</f>
        <v>103845.59459146785</v>
      </c>
      <c r="H44" s="257">
        <f>B44*D44</f>
        <v>188810.17198448701</v>
      </c>
      <c r="I44" s="258">
        <f>H44-G44</f>
        <v>84964.577393019164</v>
      </c>
      <c r="J44" s="184"/>
    </row>
    <row r="45" spans="1:10" ht="13.8" x14ac:dyDescent="0.25">
      <c r="A45" s="284" t="s">
        <v>516</v>
      </c>
      <c r="B45" s="358">
        <f>B42</f>
        <v>3061.79</v>
      </c>
      <c r="C45" s="360">
        <f>'Assumptions input'!C28</f>
        <v>61.666597638795288</v>
      </c>
      <c r="D45" s="183">
        <f>'Assumptions input'!E28</f>
        <v>154.1664940969882</v>
      </c>
      <c r="E45" s="254">
        <f t="shared" si="17"/>
        <v>92.499896458192922</v>
      </c>
      <c r="F45" s="255"/>
      <c r="G45" s="256">
        <f t="shared" ref="G45:G47" si="18">B45*C45</f>
        <v>188810.17198448701</v>
      </c>
      <c r="H45" s="257">
        <f t="shared" ref="H45:H47" si="19">B45*D45</f>
        <v>472025.42996121751</v>
      </c>
      <c r="I45" s="258">
        <f t="shared" ref="I45:I47" si="20">H45-G45</f>
        <v>283215.25797673047</v>
      </c>
      <c r="J45" s="184"/>
    </row>
    <row r="46" spans="1:10" ht="13.8" x14ac:dyDescent="0.25">
      <c r="A46" s="284" t="s">
        <v>517</v>
      </c>
      <c r="B46" s="358">
        <f>B42</f>
        <v>3061.79</v>
      </c>
      <c r="C46" s="360">
        <f>'Assumptions input'!C29</f>
        <v>3.6999958583277168</v>
      </c>
      <c r="D46" s="183">
        <f>'Assumptions input'!E29</f>
        <v>24.666639055518115</v>
      </c>
      <c r="E46" s="254">
        <f t="shared" si="17"/>
        <v>20.966643197190397</v>
      </c>
      <c r="F46" s="255"/>
      <c r="G46" s="256">
        <f t="shared" si="18"/>
        <v>11328.610319069219</v>
      </c>
      <c r="H46" s="257">
        <f t="shared" si="19"/>
        <v>75524.06879379481</v>
      </c>
      <c r="I46" s="258">
        <f t="shared" si="20"/>
        <v>64195.458474725587</v>
      </c>
      <c r="J46" s="184"/>
    </row>
    <row r="47" spans="1:10" ht="13.8" x14ac:dyDescent="0.25">
      <c r="A47" s="185" t="s">
        <v>518</v>
      </c>
      <c r="B47" s="358">
        <f>B42</f>
        <v>3061.79</v>
      </c>
      <c r="C47" s="360">
        <f>'Assumptions input'!C30</f>
        <v>9.2499896458192925</v>
      </c>
      <c r="D47" s="183">
        <f>'Assumptions input'!E30</f>
        <v>30.833298819397644</v>
      </c>
      <c r="E47" s="254">
        <f t="shared" si="17"/>
        <v>21.58330917357835</v>
      </c>
      <c r="F47" s="255"/>
      <c r="G47" s="256">
        <f t="shared" si="18"/>
        <v>28321.52579767305</v>
      </c>
      <c r="H47" s="257">
        <f t="shared" si="19"/>
        <v>94405.085992243505</v>
      </c>
      <c r="I47" s="258">
        <f t="shared" si="20"/>
        <v>66083.560194570455</v>
      </c>
      <c r="J47" s="184" t="s">
        <v>453</v>
      </c>
    </row>
    <row r="48" spans="1:10" s="186" customFormat="1" ht="15" customHeight="1" thickBot="1" x14ac:dyDescent="0.3">
      <c r="A48" s="192" t="s">
        <v>553</v>
      </c>
      <c r="B48" s="262"/>
      <c r="C48" s="263">
        <f>SUM(C42:C47)</f>
        <v>830.03240421818441</v>
      </c>
      <c r="D48" s="264">
        <f>SUM(D42:D47)</f>
        <v>410.08287429798861</v>
      </c>
      <c r="E48" s="264">
        <f>SUM(E42:E47)</f>
        <v>-419.9495299201958</v>
      </c>
      <c r="F48" s="265"/>
      <c r="G48" s="260">
        <f>SUM(G42:G47)</f>
        <v>2541384.9149111947</v>
      </c>
      <c r="H48" s="356">
        <f>SUM(H42:H47)</f>
        <v>1255587.6436968388</v>
      </c>
      <c r="I48" s="260">
        <f>SUM(I42:I47)</f>
        <v>-1285797.2712143566</v>
      </c>
      <c r="J48" s="261"/>
    </row>
    <row r="49" spans="1:10" ht="14.4" thickBot="1" x14ac:dyDescent="0.3">
      <c r="A49" s="223" t="s">
        <v>3</v>
      </c>
      <c r="B49" s="252" t="s">
        <v>3</v>
      </c>
      <c r="C49" s="223" t="s">
        <v>3</v>
      </c>
      <c r="D49" s="248" t="s">
        <v>3</v>
      </c>
      <c r="E49" s="248" t="s">
        <v>3</v>
      </c>
      <c r="F49" s="248" t="s">
        <v>3</v>
      </c>
      <c r="G49" s="253" t="s">
        <v>3</v>
      </c>
      <c r="H49" s="253" t="s">
        <v>3</v>
      </c>
      <c r="I49" s="253" t="s">
        <v>3</v>
      </c>
    </row>
    <row r="50" spans="1:10" s="186" customFormat="1" ht="53.25" customHeight="1" x14ac:dyDescent="0.3">
      <c r="A50" s="231" t="s">
        <v>551</v>
      </c>
      <c r="B50" s="357" t="s">
        <v>582</v>
      </c>
      <c r="C50" s="226" t="s">
        <v>447</v>
      </c>
      <c r="D50" s="227" t="s">
        <v>448</v>
      </c>
      <c r="E50" s="228" t="s">
        <v>449</v>
      </c>
      <c r="F50" s="195"/>
      <c r="G50" s="230" t="s">
        <v>450</v>
      </c>
      <c r="H50" s="227" t="s">
        <v>451</v>
      </c>
      <c r="I50" s="228" t="s">
        <v>452</v>
      </c>
      <c r="J50" s="261"/>
    </row>
    <row r="51" spans="1:10" ht="13.8" x14ac:dyDescent="0.25">
      <c r="A51" s="320" t="s">
        <v>524</v>
      </c>
      <c r="B51" s="358">
        <f>'Unit costs'!F38</f>
        <v>520.4</v>
      </c>
      <c r="C51" s="360">
        <f>'Assumptions input'!C34</f>
        <v>647.49927520735037</v>
      </c>
      <c r="D51" s="183">
        <f>'Assumptions input'!E34</f>
        <v>0</v>
      </c>
      <c r="E51" s="254">
        <f t="shared" ref="E51:E56" si="21">D51-C51</f>
        <v>-647.49927520735037</v>
      </c>
      <c r="F51" s="255"/>
      <c r="G51" s="256">
        <f>B51*C51</f>
        <v>336958.6228179051</v>
      </c>
      <c r="H51" s="257">
        <f>B51*D51</f>
        <v>0</v>
      </c>
      <c r="I51" s="258">
        <f>H51-G51</f>
        <v>-336958.6228179051</v>
      </c>
      <c r="J51" s="184"/>
    </row>
    <row r="52" spans="1:10" ht="13.8" x14ac:dyDescent="0.25">
      <c r="A52" s="320" t="s">
        <v>515</v>
      </c>
      <c r="B52" s="358">
        <f>B51</f>
        <v>520.4</v>
      </c>
      <c r="C52" s="360">
        <f>'Assumptions input'!C35</f>
        <v>493.3327811103623</v>
      </c>
      <c r="D52" s="183">
        <f>'Assumptions input'!E35</f>
        <v>184.99979291638581</v>
      </c>
      <c r="E52" s="254">
        <f t="shared" si="21"/>
        <v>-308.33298819397646</v>
      </c>
      <c r="F52" s="255"/>
      <c r="G52" s="256">
        <f>B52*C52</f>
        <v>256730.37928983252</v>
      </c>
      <c r="H52" s="257">
        <f>B52*D52</f>
        <v>96273.892233687176</v>
      </c>
      <c r="I52" s="258">
        <f>H52-G52</f>
        <v>-160456.48705614533</v>
      </c>
      <c r="J52" s="184"/>
    </row>
    <row r="53" spans="1:10" ht="13.8" x14ac:dyDescent="0.25">
      <c r="A53" s="185" t="s">
        <v>519</v>
      </c>
      <c r="B53" s="358">
        <f>B52</f>
        <v>520.4</v>
      </c>
      <c r="C53" s="360">
        <f>'Assumptions input'!C36</f>
        <v>101.74988610401221</v>
      </c>
      <c r="D53" s="183">
        <f>'Assumptions input'!E36</f>
        <v>184.99979291638584</v>
      </c>
      <c r="E53" s="254">
        <f t="shared" si="21"/>
        <v>83.249906812373638</v>
      </c>
      <c r="F53" s="255"/>
      <c r="G53" s="256">
        <f>B53*C53</f>
        <v>52950.640728527949</v>
      </c>
      <c r="H53" s="257">
        <f>B53*D53</f>
        <v>96273.892233687191</v>
      </c>
      <c r="I53" s="258">
        <f>H53-G53</f>
        <v>43323.251505159242</v>
      </c>
      <c r="J53" s="184"/>
    </row>
    <row r="54" spans="1:10" ht="13.8" x14ac:dyDescent="0.25">
      <c r="A54" s="284" t="s">
        <v>516</v>
      </c>
      <c r="B54" s="358">
        <f>B51</f>
        <v>520.4</v>
      </c>
      <c r="C54" s="360">
        <f>'Assumptions input'!C37</f>
        <v>55.499937874915751</v>
      </c>
      <c r="D54" s="183">
        <f>'Assumptions input'!E37</f>
        <v>138.74984468728937</v>
      </c>
      <c r="E54" s="254">
        <f t="shared" si="21"/>
        <v>83.249906812373609</v>
      </c>
      <c r="F54" s="255"/>
      <c r="G54" s="256">
        <f t="shared" ref="G54:G56" si="22">B54*C54</f>
        <v>28882.167670106155</v>
      </c>
      <c r="H54" s="257">
        <f t="shared" ref="H54:H56" si="23">B54*D54</f>
        <v>72205.419175265386</v>
      </c>
      <c r="I54" s="258">
        <f t="shared" ref="I54:I56" si="24">H54-G54</f>
        <v>43323.251505159235</v>
      </c>
      <c r="J54" s="184"/>
    </row>
    <row r="55" spans="1:10" ht="13.8" x14ac:dyDescent="0.25">
      <c r="A55" s="284" t="s">
        <v>517</v>
      </c>
      <c r="B55" s="358">
        <f>B51</f>
        <v>520.4</v>
      </c>
      <c r="C55" s="360">
        <f>'Assumptions input'!C38</f>
        <v>0</v>
      </c>
      <c r="D55" s="183">
        <f>'Assumptions input'!E38</f>
        <v>0</v>
      </c>
      <c r="E55" s="254">
        <f t="shared" si="21"/>
        <v>0</v>
      </c>
      <c r="F55" s="255"/>
      <c r="G55" s="256">
        <f t="shared" si="22"/>
        <v>0</v>
      </c>
      <c r="H55" s="257">
        <f t="shared" si="23"/>
        <v>0</v>
      </c>
      <c r="I55" s="258">
        <f t="shared" si="24"/>
        <v>0</v>
      </c>
      <c r="J55" s="184"/>
    </row>
    <row r="56" spans="1:10" ht="13.8" x14ac:dyDescent="0.25">
      <c r="A56" s="185" t="s">
        <v>518</v>
      </c>
      <c r="B56" s="358">
        <f>B51</f>
        <v>520.4</v>
      </c>
      <c r="C56" s="360">
        <f>'Assumptions input'!C39</f>
        <v>3.6999958583277168</v>
      </c>
      <c r="D56" s="183">
        <f>'Assumptions input'!E39</f>
        <v>12.333319527759057</v>
      </c>
      <c r="E56" s="254">
        <f t="shared" si="21"/>
        <v>8.6333236694313413</v>
      </c>
      <c r="F56" s="255"/>
      <c r="G56" s="256">
        <f t="shared" si="22"/>
        <v>1925.4778446737437</v>
      </c>
      <c r="H56" s="257">
        <f t="shared" si="23"/>
        <v>6418.2594822458132</v>
      </c>
      <c r="I56" s="258">
        <f t="shared" si="24"/>
        <v>4492.7816375720695</v>
      </c>
      <c r="J56" s="184" t="s">
        <v>453</v>
      </c>
    </row>
    <row r="57" spans="1:10" s="186" customFormat="1" ht="15" customHeight="1" thickBot="1" x14ac:dyDescent="0.3">
      <c r="A57" s="192" t="s">
        <v>554</v>
      </c>
      <c r="B57" s="262"/>
      <c r="C57" s="263">
        <f>SUM(C51:C56)</f>
        <v>1301.7818761549681</v>
      </c>
      <c r="D57" s="264">
        <f>SUM(D51:D56)</f>
        <v>521.08275004782013</v>
      </c>
      <c r="E57" s="264">
        <f>SUM(E51:E56)</f>
        <v>-780.69912610714823</v>
      </c>
      <c r="F57" s="265"/>
      <c r="G57" s="260">
        <f>SUM(G51:G56)</f>
        <v>677447.28835104546</v>
      </c>
      <c r="H57" s="356">
        <f>SUM(H51:H56)</f>
        <v>271171.46312488563</v>
      </c>
      <c r="I57" s="260">
        <f>SUM(I51:I56)</f>
        <v>-406275.82522615988</v>
      </c>
      <c r="J57" s="261"/>
    </row>
    <row r="58" spans="1:10" ht="14.4" thickBot="1" x14ac:dyDescent="0.3">
      <c r="A58" s="223" t="s">
        <v>3</v>
      </c>
      <c r="B58" s="252" t="s">
        <v>3</v>
      </c>
      <c r="C58" s="223" t="s">
        <v>3</v>
      </c>
      <c r="D58" s="248" t="s">
        <v>3</v>
      </c>
      <c r="E58" s="248" t="s">
        <v>3</v>
      </c>
      <c r="F58" s="248" t="s">
        <v>3</v>
      </c>
      <c r="G58" s="253" t="s">
        <v>3</v>
      </c>
      <c r="H58" s="253" t="s">
        <v>3</v>
      </c>
      <c r="I58" s="253" t="s">
        <v>3</v>
      </c>
    </row>
    <row r="59" spans="1:10" s="186" customFormat="1" ht="55.2" x14ac:dyDescent="0.3">
      <c r="A59" s="231" t="s">
        <v>552</v>
      </c>
      <c r="B59" s="357" t="s">
        <v>583</v>
      </c>
      <c r="C59" s="226" t="s">
        <v>447</v>
      </c>
      <c r="D59" s="227" t="s">
        <v>448</v>
      </c>
      <c r="E59" s="228" t="s">
        <v>449</v>
      </c>
      <c r="F59" s="195"/>
      <c r="G59" s="230" t="s">
        <v>450</v>
      </c>
      <c r="H59" s="227" t="s">
        <v>451</v>
      </c>
      <c r="I59" s="228" t="s">
        <v>452</v>
      </c>
      <c r="J59" s="261"/>
    </row>
    <row r="60" spans="1:10" ht="13.8" x14ac:dyDescent="0.25">
      <c r="A60" s="320" t="s">
        <v>524</v>
      </c>
      <c r="B60" s="358">
        <f>'Unit costs'!F39</f>
        <v>348</v>
      </c>
      <c r="C60" s="360">
        <f>'Assumptions input'!C43</f>
        <v>739.99917166554326</v>
      </c>
      <c r="D60" s="183">
        <f>'Assumptions input'!E43</f>
        <v>0</v>
      </c>
      <c r="E60" s="254">
        <f t="shared" ref="E60:E65" si="25">D60-C60</f>
        <v>-739.99917166554326</v>
      </c>
      <c r="F60" s="255"/>
      <c r="G60" s="256">
        <f>B60*C60</f>
        <v>257519.71173960905</v>
      </c>
      <c r="H60" s="257">
        <f>B60*D60</f>
        <v>0</v>
      </c>
      <c r="I60" s="258">
        <f>H60-G60</f>
        <v>-257519.71173960905</v>
      </c>
      <c r="J60" s="184"/>
    </row>
    <row r="61" spans="1:10" ht="13.8" x14ac:dyDescent="0.25">
      <c r="A61" s="320" t="s">
        <v>515</v>
      </c>
      <c r="B61" s="358">
        <f>B60</f>
        <v>348</v>
      </c>
      <c r="C61" s="360">
        <f>'Assumptions input'!C44</f>
        <v>184.99979291638584</v>
      </c>
      <c r="D61" s="183">
        <f>'Assumptions input'!E44</f>
        <v>69.374922343644684</v>
      </c>
      <c r="E61" s="254">
        <f t="shared" si="25"/>
        <v>-115.62487057274116</v>
      </c>
      <c r="F61" s="255"/>
      <c r="G61" s="256">
        <f>B61*C61</f>
        <v>64379.927934902276</v>
      </c>
      <c r="H61" s="257">
        <f>B61*D61</f>
        <v>24142.472975588349</v>
      </c>
      <c r="I61" s="258">
        <f>H61-G61</f>
        <v>-40237.454959313924</v>
      </c>
      <c r="J61" s="184"/>
    </row>
    <row r="62" spans="1:10" ht="13.8" x14ac:dyDescent="0.25">
      <c r="A62" s="185" t="s">
        <v>519</v>
      </c>
      <c r="B62" s="358">
        <f>B61</f>
        <v>348</v>
      </c>
      <c r="C62" s="360">
        <f>'Assumptions input'!C45</f>
        <v>3.3916628701337403</v>
      </c>
      <c r="D62" s="183">
        <f>'Assumptions input'!E45</f>
        <v>6.1666597638795286</v>
      </c>
      <c r="E62" s="435">
        <f t="shared" si="25"/>
        <v>2.7749968937457883</v>
      </c>
      <c r="F62" s="436"/>
      <c r="G62" s="437">
        <f>B62*C62</f>
        <v>1180.2986788065416</v>
      </c>
      <c r="H62" s="438">
        <f>B62*D62</f>
        <v>2145.9975978300758</v>
      </c>
      <c r="I62" s="439">
        <f>H62-G62</f>
        <v>965.69891902353424</v>
      </c>
      <c r="J62" s="184"/>
    </row>
    <row r="63" spans="1:10" ht="13.8" x14ac:dyDescent="0.25">
      <c r="A63" s="284" t="s">
        <v>516</v>
      </c>
      <c r="B63" s="358">
        <f>B60</f>
        <v>348</v>
      </c>
      <c r="C63" s="360">
        <f>'Assumptions input'!C46</f>
        <v>0</v>
      </c>
      <c r="D63" s="183">
        <f>'Assumptions input'!E46</f>
        <v>0</v>
      </c>
      <c r="E63" s="254">
        <f t="shared" si="25"/>
        <v>0</v>
      </c>
      <c r="F63" s="255"/>
      <c r="G63" s="256">
        <f t="shared" ref="G63:G65" si="26">B63*C63</f>
        <v>0</v>
      </c>
      <c r="H63" s="257">
        <f t="shared" ref="H63:H65" si="27">B63*D63</f>
        <v>0</v>
      </c>
      <c r="I63" s="258">
        <f t="shared" ref="I63:I65" si="28">H63-G63</f>
        <v>0</v>
      </c>
      <c r="J63" s="184"/>
    </row>
    <row r="64" spans="1:10" ht="13.8" x14ac:dyDescent="0.25">
      <c r="A64" s="284" t="s">
        <v>517</v>
      </c>
      <c r="B64" s="358">
        <f>B60</f>
        <v>348</v>
      </c>
      <c r="C64" s="360">
        <f>'Assumptions input'!C47</f>
        <v>0</v>
      </c>
      <c r="D64" s="183">
        <f>'Assumptions input'!E47</f>
        <v>0</v>
      </c>
      <c r="E64" s="254">
        <f t="shared" si="25"/>
        <v>0</v>
      </c>
      <c r="F64" s="255"/>
      <c r="G64" s="256">
        <f t="shared" si="26"/>
        <v>0</v>
      </c>
      <c r="H64" s="257">
        <f t="shared" si="27"/>
        <v>0</v>
      </c>
      <c r="I64" s="258">
        <f t="shared" si="28"/>
        <v>0</v>
      </c>
      <c r="J64" s="184"/>
    </row>
    <row r="65" spans="1:10" ht="13.8" x14ac:dyDescent="0.25">
      <c r="A65" s="185" t="s">
        <v>518</v>
      </c>
      <c r="B65" s="358">
        <f>B60</f>
        <v>348</v>
      </c>
      <c r="C65" s="360">
        <f>'Assumptions input'!C48</f>
        <v>0</v>
      </c>
      <c r="D65" s="183">
        <f>'Assumptions input'!E48</f>
        <v>0</v>
      </c>
      <c r="E65" s="254">
        <f t="shared" si="25"/>
        <v>0</v>
      </c>
      <c r="F65" s="255"/>
      <c r="G65" s="256">
        <f t="shared" si="26"/>
        <v>0</v>
      </c>
      <c r="H65" s="257">
        <f t="shared" si="27"/>
        <v>0</v>
      </c>
      <c r="I65" s="258">
        <f t="shared" si="28"/>
        <v>0</v>
      </c>
      <c r="J65" s="184" t="s">
        <v>453</v>
      </c>
    </row>
    <row r="66" spans="1:10" s="186" customFormat="1" ht="15" customHeight="1" thickBot="1" x14ac:dyDescent="0.3">
      <c r="A66" s="192" t="s">
        <v>555</v>
      </c>
      <c r="B66" s="262"/>
      <c r="C66" s="263">
        <f>SUM(C60:C65)</f>
        <v>928.39062745206286</v>
      </c>
      <c r="D66" s="264">
        <f>SUM(D60:D65)</f>
        <v>75.541582107524206</v>
      </c>
      <c r="E66" s="264">
        <f>SUM(E60:E65)</f>
        <v>-852.84904534453869</v>
      </c>
      <c r="F66" s="265"/>
      <c r="G66" s="260">
        <f>SUM(G60:G65)</f>
        <v>323079.93835331785</v>
      </c>
      <c r="H66" s="356">
        <f>SUM(H60:H65)</f>
        <v>26288.470573418424</v>
      </c>
      <c r="I66" s="260">
        <f>SUM(I60:I65)</f>
        <v>-296791.46777989942</v>
      </c>
      <c r="J66" s="261"/>
    </row>
    <row r="67" spans="1:10" ht="14.4" thickBot="1" x14ac:dyDescent="0.3">
      <c r="A67" s="223" t="s">
        <v>3</v>
      </c>
      <c r="B67" s="252" t="s">
        <v>3</v>
      </c>
      <c r="C67" s="223" t="s">
        <v>3</v>
      </c>
      <c r="D67" s="248" t="s">
        <v>3</v>
      </c>
      <c r="E67" s="248" t="s">
        <v>3</v>
      </c>
      <c r="F67" s="248" t="s">
        <v>3</v>
      </c>
      <c r="G67" s="253" t="s">
        <v>3</v>
      </c>
      <c r="H67" s="253" t="s">
        <v>3</v>
      </c>
      <c r="I67" s="253" t="s">
        <v>3</v>
      </c>
    </row>
    <row r="68" spans="1:10" s="186" customFormat="1" ht="55.2" x14ac:dyDescent="0.3">
      <c r="A68" s="231" t="s">
        <v>556</v>
      </c>
      <c r="B68" s="357" t="s">
        <v>584</v>
      </c>
      <c r="C68" s="226" t="s">
        <v>447</v>
      </c>
      <c r="D68" s="227" t="s">
        <v>448</v>
      </c>
      <c r="E68" s="228" t="s">
        <v>449</v>
      </c>
      <c r="F68" s="195"/>
      <c r="G68" s="230" t="s">
        <v>450</v>
      </c>
      <c r="H68" s="227" t="s">
        <v>451</v>
      </c>
      <c r="I68" s="228" t="s">
        <v>452</v>
      </c>
      <c r="J68" s="261"/>
    </row>
    <row r="69" spans="1:10" ht="13.8" x14ac:dyDescent="0.25">
      <c r="A69" s="320" t="s">
        <v>524</v>
      </c>
      <c r="B69" s="358">
        <f>'Unit costs'!F40</f>
        <v>2500</v>
      </c>
      <c r="C69" s="360">
        <f>'Assumptions input'!C52</f>
        <v>277.49968937457874</v>
      </c>
      <c r="D69" s="183">
        <f>'Assumptions input'!E52</f>
        <v>0</v>
      </c>
      <c r="E69" s="254">
        <f t="shared" ref="E69:E74" si="29">D69-C69</f>
        <v>-277.49968937457874</v>
      </c>
      <c r="F69" s="255"/>
      <c r="G69" s="256">
        <f>B69*C69</f>
        <v>693749.22343644686</v>
      </c>
      <c r="H69" s="257">
        <f>B69*D69</f>
        <v>0</v>
      </c>
      <c r="I69" s="258">
        <f>H69-G69</f>
        <v>-693749.22343644686</v>
      </c>
      <c r="J69" s="184"/>
    </row>
    <row r="70" spans="1:10" ht="13.8" x14ac:dyDescent="0.25">
      <c r="A70" s="320" t="s">
        <v>515</v>
      </c>
      <c r="B70" s="358">
        <f>B69</f>
        <v>2500</v>
      </c>
      <c r="C70" s="360">
        <f>'Assumptions input'!C53</f>
        <v>0</v>
      </c>
      <c r="D70" s="183">
        <f>'Assumptions input'!E53</f>
        <v>0</v>
      </c>
      <c r="E70" s="254">
        <f t="shared" si="29"/>
        <v>0</v>
      </c>
      <c r="F70" s="255"/>
      <c r="G70" s="256">
        <f>B70*C70</f>
        <v>0</v>
      </c>
      <c r="H70" s="257">
        <f>B70*D70</f>
        <v>0</v>
      </c>
      <c r="I70" s="258">
        <f>H70-G70</f>
        <v>0</v>
      </c>
      <c r="J70" s="184"/>
    </row>
    <row r="71" spans="1:10" ht="13.8" x14ac:dyDescent="0.25">
      <c r="A71" s="185" t="s">
        <v>519</v>
      </c>
      <c r="B71" s="358">
        <f>B70</f>
        <v>2500</v>
      </c>
      <c r="C71" s="360">
        <f>'Assumptions input'!C54</f>
        <v>0</v>
      </c>
      <c r="D71" s="183">
        <f>'Assumptions input'!E54</f>
        <v>0</v>
      </c>
      <c r="E71" s="254">
        <f t="shared" si="29"/>
        <v>0</v>
      </c>
      <c r="F71" s="255"/>
      <c r="G71" s="256">
        <f>B71*C71</f>
        <v>0</v>
      </c>
      <c r="H71" s="257">
        <f>B71*D71</f>
        <v>0</v>
      </c>
      <c r="I71" s="258">
        <f>H71-G71</f>
        <v>0</v>
      </c>
      <c r="J71" s="184"/>
    </row>
    <row r="72" spans="1:10" ht="13.8" x14ac:dyDescent="0.25">
      <c r="A72" s="284" t="s">
        <v>516</v>
      </c>
      <c r="B72" s="358">
        <f>B69</f>
        <v>2500</v>
      </c>
      <c r="C72" s="360">
        <f>'Assumptions input'!C55</f>
        <v>0</v>
      </c>
      <c r="D72" s="183">
        <f>'Assumptions input'!E55</f>
        <v>0</v>
      </c>
      <c r="E72" s="254">
        <f t="shared" si="29"/>
        <v>0</v>
      </c>
      <c r="F72" s="255"/>
      <c r="G72" s="256">
        <f t="shared" ref="G72:G74" si="30">B72*C72</f>
        <v>0</v>
      </c>
      <c r="H72" s="257">
        <f t="shared" ref="H72:H74" si="31">B72*D72</f>
        <v>0</v>
      </c>
      <c r="I72" s="258">
        <f t="shared" ref="I72:I74" si="32">H72-G72</f>
        <v>0</v>
      </c>
      <c r="J72" s="184"/>
    </row>
    <row r="73" spans="1:10" ht="13.8" x14ac:dyDescent="0.25">
      <c r="A73" s="284" t="s">
        <v>517</v>
      </c>
      <c r="B73" s="358">
        <f>B69</f>
        <v>2500</v>
      </c>
      <c r="C73" s="360">
        <f>'Assumptions input'!C56</f>
        <v>0</v>
      </c>
      <c r="D73" s="183">
        <f>'Assumptions input'!E56</f>
        <v>0</v>
      </c>
      <c r="E73" s="254">
        <f t="shared" si="29"/>
        <v>0</v>
      </c>
      <c r="F73" s="255"/>
      <c r="G73" s="256">
        <f t="shared" si="30"/>
        <v>0</v>
      </c>
      <c r="H73" s="257">
        <f t="shared" si="31"/>
        <v>0</v>
      </c>
      <c r="I73" s="258">
        <f t="shared" si="32"/>
        <v>0</v>
      </c>
      <c r="J73" s="184"/>
    </row>
    <row r="74" spans="1:10" ht="13.8" x14ac:dyDescent="0.25">
      <c r="A74" s="185" t="s">
        <v>518</v>
      </c>
      <c r="B74" s="358">
        <f>B69</f>
        <v>2500</v>
      </c>
      <c r="C74" s="360">
        <f>'Assumptions input'!C57</f>
        <v>0</v>
      </c>
      <c r="D74" s="183">
        <f>'Assumptions input'!E57</f>
        <v>0</v>
      </c>
      <c r="E74" s="254">
        <f t="shared" si="29"/>
        <v>0</v>
      </c>
      <c r="F74" s="255"/>
      <c r="G74" s="256">
        <f t="shared" si="30"/>
        <v>0</v>
      </c>
      <c r="H74" s="257">
        <f t="shared" si="31"/>
        <v>0</v>
      </c>
      <c r="I74" s="258">
        <f t="shared" si="32"/>
        <v>0</v>
      </c>
      <c r="J74" s="184" t="s">
        <v>453</v>
      </c>
    </row>
    <row r="75" spans="1:10" s="186" customFormat="1" ht="15" customHeight="1" thickBot="1" x14ac:dyDescent="0.3">
      <c r="A75" s="192" t="s">
        <v>570</v>
      </c>
      <c r="B75" s="262"/>
      <c r="C75" s="263">
        <f>SUM(C69:C74)</f>
        <v>277.49968937457874</v>
      </c>
      <c r="D75" s="264">
        <f>SUM(D69:D74)</f>
        <v>0</v>
      </c>
      <c r="E75" s="264">
        <f>SUM(E69:E74)</f>
        <v>-277.49968937457874</v>
      </c>
      <c r="F75" s="265"/>
      <c r="G75" s="260">
        <f>SUM(G69:G74)</f>
        <v>693749.22343644686</v>
      </c>
      <c r="H75" s="356">
        <f>SUM(H69:H74)</f>
        <v>0</v>
      </c>
      <c r="I75" s="260">
        <f>SUM(I69:I74)</f>
        <v>-693749.22343644686</v>
      </c>
      <c r="J75" s="261"/>
    </row>
    <row r="76" spans="1:10" ht="14.4" thickBot="1" x14ac:dyDescent="0.3">
      <c r="A76" s="223" t="s">
        <v>3</v>
      </c>
      <c r="B76" s="252" t="s">
        <v>3</v>
      </c>
      <c r="C76" s="223" t="s">
        <v>3</v>
      </c>
      <c r="D76" s="248" t="s">
        <v>3</v>
      </c>
      <c r="E76" s="248" t="s">
        <v>3</v>
      </c>
      <c r="F76" s="248" t="s">
        <v>3</v>
      </c>
      <c r="G76" s="253" t="s">
        <v>3</v>
      </c>
      <c r="H76" s="253" t="s">
        <v>3</v>
      </c>
      <c r="I76" s="253" t="s">
        <v>3</v>
      </c>
    </row>
    <row r="77" spans="1:10" s="186" customFormat="1" ht="53.25" customHeight="1" x14ac:dyDescent="0.3">
      <c r="A77" s="231" t="s">
        <v>557</v>
      </c>
      <c r="B77" s="357" t="s">
        <v>571</v>
      </c>
      <c r="C77" s="226" t="s">
        <v>447</v>
      </c>
      <c r="D77" s="227" t="s">
        <v>448</v>
      </c>
      <c r="E77" s="228" t="s">
        <v>449</v>
      </c>
      <c r="F77" s="195"/>
      <c r="G77" s="230" t="s">
        <v>450</v>
      </c>
      <c r="H77" s="227" t="s">
        <v>451</v>
      </c>
      <c r="I77" s="228" t="s">
        <v>452</v>
      </c>
      <c r="J77" s="261"/>
    </row>
    <row r="78" spans="1:10" ht="13.8" x14ac:dyDescent="0.25">
      <c r="A78" s="320" t="s">
        <v>524</v>
      </c>
      <c r="B78" s="358">
        <f>'Unit costs'!F41</f>
        <v>738</v>
      </c>
      <c r="C78" s="360">
        <f>'Assumptions input'!C61</f>
        <v>554.99937874915747</v>
      </c>
      <c r="D78" s="183">
        <f>'Assumptions input'!E61</f>
        <v>0</v>
      </c>
      <c r="E78" s="254">
        <f t="shared" ref="E78:E83" si="33">D78-C78</f>
        <v>-554.99937874915747</v>
      </c>
      <c r="F78" s="255"/>
      <c r="G78" s="256">
        <f>B78*C78</f>
        <v>409589.54151687823</v>
      </c>
      <c r="H78" s="257">
        <f>B78*D78</f>
        <v>0</v>
      </c>
      <c r="I78" s="258">
        <f>H78-G78</f>
        <v>-409589.54151687823</v>
      </c>
      <c r="J78" s="184"/>
    </row>
    <row r="79" spans="1:10" ht="13.8" x14ac:dyDescent="0.25">
      <c r="A79" s="320" t="s">
        <v>515</v>
      </c>
      <c r="B79" s="358">
        <f>B78</f>
        <v>738</v>
      </c>
      <c r="C79" s="360">
        <f>'Assumptions input'!C62</f>
        <v>493.3327811103623</v>
      </c>
      <c r="D79" s="183">
        <f>'Assumptions input'!E62</f>
        <v>184.99979291638581</v>
      </c>
      <c r="E79" s="254">
        <f t="shared" si="33"/>
        <v>-308.33298819397646</v>
      </c>
      <c r="F79" s="255"/>
      <c r="G79" s="256">
        <f>B79*C79</f>
        <v>364079.59245944739</v>
      </c>
      <c r="H79" s="257">
        <f>B79*D79</f>
        <v>136529.84717229274</v>
      </c>
      <c r="I79" s="258">
        <f>H79-G79</f>
        <v>-227549.74528715466</v>
      </c>
      <c r="J79" s="184"/>
    </row>
    <row r="80" spans="1:10" ht="13.8" x14ac:dyDescent="0.25">
      <c r="A80" s="185" t="s">
        <v>519</v>
      </c>
      <c r="B80" s="358">
        <f>B79</f>
        <v>738</v>
      </c>
      <c r="C80" s="360">
        <f>'Assumptions input'!C63</f>
        <v>135.66651480534961</v>
      </c>
      <c r="D80" s="183">
        <f>'Assumptions input'!E63</f>
        <v>246.66639055518115</v>
      </c>
      <c r="E80" s="254">
        <f t="shared" si="33"/>
        <v>110.99987574983155</v>
      </c>
      <c r="F80" s="255"/>
      <c r="G80" s="256">
        <f>B80*C80</f>
        <v>100121.887926348</v>
      </c>
      <c r="H80" s="257">
        <f>B80*D80</f>
        <v>182039.7962297237</v>
      </c>
      <c r="I80" s="258">
        <f>H80-G80</f>
        <v>81917.908303375691</v>
      </c>
      <c r="J80" s="184"/>
    </row>
    <row r="81" spans="1:10" ht="13.8" x14ac:dyDescent="0.25">
      <c r="A81" s="284" t="s">
        <v>516</v>
      </c>
      <c r="B81" s="358">
        <f>B78</f>
        <v>738</v>
      </c>
      <c r="C81" s="360">
        <f>'Assumptions input'!C64</f>
        <v>107.91654586789176</v>
      </c>
      <c r="D81" s="183">
        <f>'Assumptions input'!E64</f>
        <v>269.79136466972938</v>
      </c>
      <c r="E81" s="254">
        <f t="shared" si="33"/>
        <v>161.87481880183762</v>
      </c>
      <c r="F81" s="255"/>
      <c r="G81" s="256">
        <f t="shared" ref="G81:G83" si="34">B81*C81</f>
        <v>79642.410850504122</v>
      </c>
      <c r="H81" s="257">
        <f t="shared" ref="H81:H83" si="35">B81*D81</f>
        <v>199106.02712626028</v>
      </c>
      <c r="I81" s="258">
        <f t="shared" ref="I81:I83" si="36">H81-G81</f>
        <v>119463.61627575615</v>
      </c>
      <c r="J81" s="184"/>
    </row>
    <row r="82" spans="1:10" ht="13.8" x14ac:dyDescent="0.25">
      <c r="A82" s="284" t="s">
        <v>517</v>
      </c>
      <c r="B82" s="358">
        <f>B78</f>
        <v>738</v>
      </c>
      <c r="C82" s="360">
        <f>'Assumptions input'!C65</f>
        <v>26.824969972875948</v>
      </c>
      <c r="D82" s="183">
        <f>'Assumptions input'!E65</f>
        <v>178.83313315250632</v>
      </c>
      <c r="E82" s="254">
        <f t="shared" si="33"/>
        <v>152.00816317963037</v>
      </c>
      <c r="F82" s="255"/>
      <c r="G82" s="256">
        <f t="shared" si="34"/>
        <v>19796.827839982448</v>
      </c>
      <c r="H82" s="257">
        <f t="shared" si="35"/>
        <v>131978.85226654966</v>
      </c>
      <c r="I82" s="258">
        <f t="shared" si="36"/>
        <v>112182.02442656721</v>
      </c>
      <c r="J82" s="184"/>
    </row>
    <row r="83" spans="1:10" ht="13.8" x14ac:dyDescent="0.25">
      <c r="A83" s="185" t="s">
        <v>518</v>
      </c>
      <c r="B83" s="358">
        <f>B78</f>
        <v>738</v>
      </c>
      <c r="C83" s="360">
        <f>'Assumptions input'!C66</f>
        <v>110.99987574983149</v>
      </c>
      <c r="D83" s="183">
        <f>'Assumptions input'!E66</f>
        <v>369.99958583277169</v>
      </c>
      <c r="E83" s="254">
        <f t="shared" si="33"/>
        <v>258.99971008294017</v>
      </c>
      <c r="F83" s="255"/>
      <c r="G83" s="256">
        <f t="shared" si="34"/>
        <v>81917.908303375632</v>
      </c>
      <c r="H83" s="257">
        <f t="shared" si="35"/>
        <v>273059.69434458553</v>
      </c>
      <c r="I83" s="258">
        <f t="shared" si="36"/>
        <v>191141.78604120988</v>
      </c>
      <c r="J83" s="184" t="s">
        <v>453</v>
      </c>
    </row>
    <row r="84" spans="1:10" s="186" customFormat="1" ht="15" customHeight="1" thickBot="1" x14ac:dyDescent="0.3">
      <c r="A84" s="192" t="s">
        <v>569</v>
      </c>
      <c r="B84" s="262"/>
      <c r="C84" s="263">
        <f>SUM(C78:C83)</f>
        <v>1429.7400662554687</v>
      </c>
      <c r="D84" s="264">
        <f>SUM(D78:D83)</f>
        <v>1250.2902671265742</v>
      </c>
      <c r="E84" s="264">
        <f>SUM(E78:E83)</f>
        <v>-179.44979912889426</v>
      </c>
      <c r="F84" s="265"/>
      <c r="G84" s="260">
        <f>SUM(G78:G83)</f>
        <v>1055148.1688965359</v>
      </c>
      <c r="H84" s="356">
        <f>SUM(H78:H83)</f>
        <v>922714.21713941195</v>
      </c>
      <c r="I84" s="260">
        <f>SUM(I78:I83)</f>
        <v>-132433.95175712393</v>
      </c>
      <c r="J84" s="261"/>
    </row>
    <row r="85" spans="1:10" ht="14.4" thickBot="1" x14ac:dyDescent="0.3">
      <c r="A85" s="223" t="s">
        <v>3</v>
      </c>
      <c r="B85" s="252" t="s">
        <v>3</v>
      </c>
      <c r="C85" s="223" t="s">
        <v>3</v>
      </c>
      <c r="D85" s="248" t="s">
        <v>3</v>
      </c>
      <c r="E85" s="248" t="s">
        <v>3</v>
      </c>
      <c r="F85" s="248" t="s">
        <v>3</v>
      </c>
      <c r="G85" s="253" t="s">
        <v>3</v>
      </c>
      <c r="H85" s="253" t="s">
        <v>3</v>
      </c>
      <c r="I85" s="253" t="s">
        <v>3</v>
      </c>
    </row>
    <row r="86" spans="1:10" s="186" customFormat="1" ht="55.2" x14ac:dyDescent="0.3">
      <c r="A86" s="231" t="s">
        <v>558</v>
      </c>
      <c r="B86" s="357" t="s">
        <v>585</v>
      </c>
      <c r="C86" s="226" t="s">
        <v>447</v>
      </c>
      <c r="D86" s="227" t="s">
        <v>448</v>
      </c>
      <c r="E86" s="228" t="s">
        <v>449</v>
      </c>
      <c r="F86" s="195"/>
      <c r="G86" s="230" t="s">
        <v>450</v>
      </c>
      <c r="H86" s="227" t="s">
        <v>451</v>
      </c>
      <c r="I86" s="228" t="s">
        <v>452</v>
      </c>
      <c r="J86" s="261"/>
    </row>
    <row r="87" spans="1:10" ht="13.8" x14ac:dyDescent="0.25">
      <c r="A87" s="320" t="s">
        <v>524</v>
      </c>
      <c r="B87" s="358">
        <f>'Unit costs'!F42</f>
        <v>10641.8</v>
      </c>
      <c r="C87" s="360">
        <f>'Assumptions input'!C69</f>
        <v>277.49968937457874</v>
      </c>
      <c r="D87" s="183">
        <f>'Assumptions input'!E69</f>
        <v>0</v>
      </c>
      <c r="E87" s="254">
        <f t="shared" ref="E87:E92" si="37">D87-C87</f>
        <v>-277.49968937457874</v>
      </c>
      <c r="F87" s="255"/>
      <c r="G87" s="256">
        <f>B87*C87</f>
        <v>2953096.1943863919</v>
      </c>
      <c r="H87" s="257">
        <f>B87*D87</f>
        <v>0</v>
      </c>
      <c r="I87" s="258">
        <f>H87-G87</f>
        <v>-2953096.1943863919</v>
      </c>
      <c r="J87" s="184"/>
    </row>
    <row r="88" spans="1:10" ht="13.8" x14ac:dyDescent="0.25">
      <c r="A88" s="320" t="s">
        <v>534</v>
      </c>
      <c r="B88" s="358">
        <f>B87</f>
        <v>10641.8</v>
      </c>
      <c r="C88" s="360">
        <f>'Assumptions input'!C70</f>
        <v>246.66639055518115</v>
      </c>
      <c r="D88" s="183">
        <f>'Assumptions input'!E70</f>
        <v>92.499896458192907</v>
      </c>
      <c r="E88" s="254">
        <f t="shared" si="37"/>
        <v>-154.16649409698823</v>
      </c>
      <c r="F88" s="255"/>
      <c r="G88" s="256">
        <f>B88*C88</f>
        <v>2624974.3950101268</v>
      </c>
      <c r="H88" s="257">
        <f>B88*D88</f>
        <v>984365.39812879718</v>
      </c>
      <c r="I88" s="258">
        <f>H88-G88</f>
        <v>-1640608.9968813295</v>
      </c>
      <c r="J88" s="184"/>
    </row>
    <row r="89" spans="1:10" ht="13.8" x14ac:dyDescent="0.25">
      <c r="A89" s="185" t="s">
        <v>519</v>
      </c>
      <c r="B89" s="358">
        <f>B88</f>
        <v>10641.8</v>
      </c>
      <c r="C89" s="360">
        <f>'Assumptions input'!C71</f>
        <v>67.833257402674803</v>
      </c>
      <c r="D89" s="183">
        <f>'Assumptions input'!E71</f>
        <v>123.33319527759058</v>
      </c>
      <c r="E89" s="254">
        <f t="shared" si="37"/>
        <v>55.499937874915773</v>
      </c>
      <c r="F89" s="255"/>
      <c r="G89" s="256">
        <f>B89*C89</f>
        <v>721867.95862778462</v>
      </c>
      <c r="H89" s="257">
        <f>B89*D89</f>
        <v>1312487.1975050634</v>
      </c>
      <c r="I89" s="258">
        <f>H89-G89</f>
        <v>590619.23887727875</v>
      </c>
      <c r="J89" s="184"/>
    </row>
    <row r="90" spans="1:10" ht="13.8" x14ac:dyDescent="0.25">
      <c r="A90" s="284" t="s">
        <v>516</v>
      </c>
      <c r="B90" s="358">
        <f>B87</f>
        <v>10641.8</v>
      </c>
      <c r="C90" s="360">
        <f>'Assumptions input'!C72</f>
        <v>15.416649409698822</v>
      </c>
      <c r="D90" s="183">
        <f>'Assumptions input'!E72</f>
        <v>38.541623524247051</v>
      </c>
      <c r="E90" s="254">
        <f t="shared" si="37"/>
        <v>23.12497411454823</v>
      </c>
      <c r="F90" s="255"/>
      <c r="G90" s="256">
        <f t="shared" ref="G90:G92" si="38">B90*C90</f>
        <v>164060.89968813292</v>
      </c>
      <c r="H90" s="257">
        <f t="shared" ref="H90:H92" si="39">B90*D90</f>
        <v>410152.24922033225</v>
      </c>
      <c r="I90" s="258">
        <f t="shared" ref="I90:I92" si="40">H90-G90</f>
        <v>246091.34953219933</v>
      </c>
      <c r="J90" s="184"/>
    </row>
    <row r="91" spans="1:10" ht="13.8" x14ac:dyDescent="0.25">
      <c r="A91" s="284" t="s">
        <v>517</v>
      </c>
      <c r="B91" s="358">
        <f>B87</f>
        <v>10641.8</v>
      </c>
      <c r="C91" s="360">
        <f>'Assumptions input'!C73</f>
        <v>0</v>
      </c>
      <c r="D91" s="183">
        <f>'Assumptions input'!E73</f>
        <v>0</v>
      </c>
      <c r="E91" s="254">
        <f t="shared" si="37"/>
        <v>0</v>
      </c>
      <c r="F91" s="255"/>
      <c r="G91" s="256">
        <f t="shared" si="38"/>
        <v>0</v>
      </c>
      <c r="H91" s="257">
        <f t="shared" si="39"/>
        <v>0</v>
      </c>
      <c r="I91" s="258">
        <f t="shared" si="40"/>
        <v>0</v>
      </c>
      <c r="J91" s="184"/>
    </row>
    <row r="92" spans="1:10" ht="13.8" x14ac:dyDescent="0.25">
      <c r="A92" s="185" t="s">
        <v>518</v>
      </c>
      <c r="B92" s="358">
        <f>B87</f>
        <v>10641.8</v>
      </c>
      <c r="C92" s="360">
        <f>'Assumptions input'!C74</f>
        <v>0</v>
      </c>
      <c r="D92" s="183">
        <f>'Assumptions input'!E74</f>
        <v>0</v>
      </c>
      <c r="E92" s="254">
        <f t="shared" si="37"/>
        <v>0</v>
      </c>
      <c r="F92" s="255"/>
      <c r="G92" s="256">
        <f t="shared" si="38"/>
        <v>0</v>
      </c>
      <c r="H92" s="257">
        <f t="shared" si="39"/>
        <v>0</v>
      </c>
      <c r="I92" s="258">
        <f t="shared" si="40"/>
        <v>0</v>
      </c>
      <c r="J92" s="184" t="s">
        <v>453</v>
      </c>
    </row>
    <row r="93" spans="1:10" s="186" customFormat="1" ht="15" customHeight="1" thickBot="1" x14ac:dyDescent="0.3">
      <c r="A93" s="192" t="s">
        <v>568</v>
      </c>
      <c r="B93" s="262"/>
      <c r="C93" s="263">
        <f>SUM(C87:C92)</f>
        <v>607.41598674213355</v>
      </c>
      <c r="D93" s="264">
        <f>SUM(D87:D92)</f>
        <v>254.37471526003054</v>
      </c>
      <c r="E93" s="264">
        <f>SUM(E87:E92)</f>
        <v>-353.04127148210296</v>
      </c>
      <c r="F93" s="265"/>
      <c r="G93" s="260">
        <f>SUM(G87:G92)</f>
        <v>6463999.4477124363</v>
      </c>
      <c r="H93" s="356">
        <f>SUM(H87:H92)</f>
        <v>2707004.8448541928</v>
      </c>
      <c r="I93" s="260">
        <f>SUM(I87:I92)</f>
        <v>-3756994.6028582435</v>
      </c>
      <c r="J93" s="261"/>
    </row>
    <row r="94" spans="1:10" ht="14.4" thickBot="1" x14ac:dyDescent="0.3">
      <c r="A94" s="223" t="s">
        <v>3</v>
      </c>
      <c r="B94" s="252" t="s">
        <v>3</v>
      </c>
      <c r="C94" s="223" t="s">
        <v>3</v>
      </c>
      <c r="D94" s="248" t="s">
        <v>3</v>
      </c>
      <c r="E94" s="248" t="s">
        <v>3</v>
      </c>
      <c r="F94" s="248" t="s">
        <v>3</v>
      </c>
      <c r="G94" s="253" t="s">
        <v>3</v>
      </c>
      <c r="H94" s="253" t="s">
        <v>3</v>
      </c>
      <c r="I94" s="253" t="s">
        <v>3</v>
      </c>
    </row>
    <row r="95" spans="1:10" s="186" customFormat="1" ht="30" customHeight="1" thickBot="1" x14ac:dyDescent="0.35">
      <c r="A95" s="193" t="s">
        <v>560</v>
      </c>
      <c r="B95" s="266" t="s">
        <v>3</v>
      </c>
      <c r="C95" s="267" t="s">
        <v>3</v>
      </c>
      <c r="D95" s="268" t="s">
        <v>3</v>
      </c>
      <c r="E95" s="268" t="s">
        <v>3</v>
      </c>
      <c r="F95" s="269"/>
      <c r="G95" s="270">
        <f>IF(G20=0,0,G93+G84+G75+G66+G57+G48+G29+G39+G20)</f>
        <v>0</v>
      </c>
      <c r="H95" s="270">
        <f t="shared" ref="H95:I95" si="41">IF(H20=0,0,H93+H84+H75+H66+H57+H48+H29+H39+H20)</f>
        <v>0</v>
      </c>
      <c r="I95" s="271">
        <f t="shared" si="41"/>
        <v>0</v>
      </c>
    </row>
    <row r="96" spans="1:10" ht="16.5" customHeight="1" thickBot="1" x14ac:dyDescent="0.3">
      <c r="A96" s="223" t="s">
        <v>3</v>
      </c>
      <c r="B96" s="252" t="s">
        <v>3</v>
      </c>
      <c r="C96" s="223" t="s">
        <v>3</v>
      </c>
      <c r="D96" s="248" t="s">
        <v>3</v>
      </c>
      <c r="E96" s="248" t="s">
        <v>3</v>
      </c>
      <c r="F96" s="248" t="s">
        <v>3</v>
      </c>
      <c r="G96" s="253" t="s">
        <v>3</v>
      </c>
      <c r="H96" s="253" t="s">
        <v>3</v>
      </c>
      <c r="I96" s="253" t="s">
        <v>3</v>
      </c>
    </row>
    <row r="97" spans="1:9" ht="14.4" thickBot="1" x14ac:dyDescent="0.3">
      <c r="A97" s="420" t="s">
        <v>538</v>
      </c>
      <c r="B97" s="421" t="s">
        <v>3</v>
      </c>
      <c r="C97" s="422" t="s">
        <v>3</v>
      </c>
      <c r="D97" s="423" t="s">
        <v>3</v>
      </c>
      <c r="E97" s="423" t="s">
        <v>3</v>
      </c>
      <c r="F97" s="269"/>
      <c r="G97" s="424">
        <f>G20</f>
        <v>0</v>
      </c>
      <c r="H97" s="424">
        <f>H20</f>
        <v>0</v>
      </c>
      <c r="I97" s="425">
        <f>I20</f>
        <v>0</v>
      </c>
    </row>
    <row r="98" spans="1:9" ht="14.4" thickBot="1" x14ac:dyDescent="0.3">
      <c r="A98" s="420" t="s">
        <v>578</v>
      </c>
      <c r="B98" s="421" t="s">
        <v>3</v>
      </c>
      <c r="C98" s="422" t="s">
        <v>3</v>
      </c>
      <c r="D98" s="423" t="s">
        <v>3</v>
      </c>
      <c r="E98" s="423" t="s">
        <v>3</v>
      </c>
      <c r="F98" s="269"/>
      <c r="G98" s="424">
        <f>G39</f>
        <v>20526451.606595259</v>
      </c>
      <c r="H98" s="424">
        <f>H39</f>
        <v>8057974.3134613773</v>
      </c>
      <c r="I98" s="425">
        <f>I39</f>
        <v>-12468477.293133883</v>
      </c>
    </row>
    <row r="99" spans="1:9" ht="14.4" thickBot="1" x14ac:dyDescent="0.3">
      <c r="A99" s="420" t="s">
        <v>539</v>
      </c>
      <c r="B99" s="421" t="s">
        <v>3</v>
      </c>
      <c r="C99" s="422" t="s">
        <v>3</v>
      </c>
      <c r="D99" s="423" t="s">
        <v>3</v>
      </c>
      <c r="E99" s="423" t="s">
        <v>3</v>
      </c>
      <c r="F99" s="269"/>
      <c r="G99" s="424">
        <f>G29</f>
        <v>35166246.802549712</v>
      </c>
      <c r="H99" s="424">
        <f>H29</f>
        <v>25839087.576445237</v>
      </c>
      <c r="I99" s="425">
        <f>I29</f>
        <v>-9327159.2261044793</v>
      </c>
    </row>
    <row r="100" spans="1:9" ht="14.4" thickBot="1" x14ac:dyDescent="0.3">
      <c r="A100" s="420" t="s">
        <v>559</v>
      </c>
      <c r="B100" s="421" t="s">
        <v>3</v>
      </c>
      <c r="C100" s="422" t="s">
        <v>3</v>
      </c>
      <c r="D100" s="423" t="s">
        <v>3</v>
      </c>
      <c r="E100" s="423" t="s">
        <v>3</v>
      </c>
      <c r="F100" s="269"/>
      <c r="G100" s="424">
        <f>G93+G84+G75+G66+G57+G48</f>
        <v>11754808.981660977</v>
      </c>
      <c r="H100" s="424">
        <f t="shared" ref="H100:I100" si="42">H93+H84+H75+H66+H57+H48</f>
        <v>5182766.6393887475</v>
      </c>
      <c r="I100" s="425">
        <f t="shared" si="42"/>
        <v>-6572042.3422722295</v>
      </c>
    </row>
    <row r="101" spans="1:9" ht="13.8" x14ac:dyDescent="0.25">
      <c r="A101" s="194"/>
    </row>
    <row r="102" spans="1:9" ht="13.8" x14ac:dyDescent="0.25">
      <c r="A102" s="194"/>
    </row>
    <row r="103" spans="1:9" ht="13.8" x14ac:dyDescent="0.25">
      <c r="A103" s="194"/>
    </row>
    <row r="104" spans="1:9" ht="13.8" x14ac:dyDescent="0.25">
      <c r="A104" s="194"/>
    </row>
    <row r="105" spans="1:9" ht="13.8" x14ac:dyDescent="0.25">
      <c r="A105" s="194"/>
    </row>
    <row r="106" spans="1:9" ht="13.8" x14ac:dyDescent="0.25">
      <c r="A106" s="194"/>
    </row>
    <row r="107" spans="1:9" ht="13.8" x14ac:dyDescent="0.25">
      <c r="A107" s="194"/>
    </row>
    <row r="108" spans="1:9" ht="13.8" x14ac:dyDescent="0.25">
      <c r="A108" s="194"/>
    </row>
    <row r="109" spans="1:9" s="273" customFormat="1" ht="13.8" x14ac:dyDescent="0.25">
      <c r="A109" s="194"/>
      <c r="B109" s="272"/>
      <c r="C109" s="2"/>
      <c r="D109" s="70"/>
      <c r="E109" s="70"/>
      <c r="F109" s="70"/>
    </row>
    <row r="110" spans="1:9" s="273" customFormat="1" ht="13.8" x14ac:dyDescent="0.25">
      <c r="A110" s="194"/>
      <c r="B110" s="272"/>
      <c r="C110" s="2"/>
      <c r="D110" s="70"/>
      <c r="E110" s="70"/>
      <c r="F110" s="70"/>
    </row>
    <row r="111" spans="1:9" s="273" customFormat="1" ht="13.8" x14ac:dyDescent="0.25">
      <c r="A111" s="194"/>
      <c r="B111" s="272"/>
      <c r="C111" s="2"/>
      <c r="D111" s="70"/>
      <c r="E111" s="70"/>
      <c r="F111" s="70"/>
    </row>
    <row r="112" spans="1:9" s="273" customFormat="1" ht="13.8" x14ac:dyDescent="0.25">
      <c r="A112" s="194"/>
      <c r="B112" s="272"/>
      <c r="C112" s="2"/>
      <c r="D112" s="70"/>
      <c r="E112" s="70"/>
      <c r="F112" s="70"/>
    </row>
    <row r="113" spans="1:6" s="273" customFormat="1" ht="13.8" x14ac:dyDescent="0.25">
      <c r="A113" s="194"/>
      <c r="B113" s="272"/>
      <c r="C113" s="2"/>
      <c r="D113" s="70"/>
      <c r="E113" s="70"/>
      <c r="F113" s="70"/>
    </row>
    <row r="114" spans="1:6" s="273" customFormat="1" ht="13.8" x14ac:dyDescent="0.25">
      <c r="A114" s="194"/>
      <c r="B114" s="272"/>
      <c r="C114" s="2"/>
      <c r="D114" s="70"/>
      <c r="E114" s="70"/>
      <c r="F114" s="70"/>
    </row>
    <row r="115" spans="1:6" s="273" customFormat="1" ht="13.8" x14ac:dyDescent="0.25">
      <c r="A115" s="194"/>
      <c r="B115" s="272"/>
      <c r="C115" s="2"/>
      <c r="D115" s="70"/>
      <c r="E115" s="70"/>
      <c r="F115" s="70"/>
    </row>
    <row r="116" spans="1:6" s="273" customFormat="1" ht="13.8" x14ac:dyDescent="0.25">
      <c r="A116" s="194"/>
      <c r="B116" s="272"/>
      <c r="C116" s="2"/>
      <c r="D116" s="70"/>
      <c r="E116" s="70"/>
      <c r="F116" s="70"/>
    </row>
    <row r="117" spans="1:6" s="273" customFormat="1" ht="13.8" x14ac:dyDescent="0.25">
      <c r="A117" s="194"/>
      <c r="B117" s="272"/>
      <c r="C117" s="2"/>
      <c r="D117" s="70"/>
      <c r="E117" s="70"/>
      <c r="F117" s="70"/>
    </row>
    <row r="118" spans="1:6" s="273" customFormat="1" ht="13.8" x14ac:dyDescent="0.25">
      <c r="A118" s="194"/>
      <c r="B118" s="272"/>
      <c r="C118" s="2"/>
      <c r="D118" s="70"/>
      <c r="E118" s="70"/>
      <c r="F118" s="70"/>
    </row>
    <row r="119" spans="1:6" s="273" customFormat="1" ht="13.8" x14ac:dyDescent="0.25">
      <c r="A119" s="194"/>
      <c r="B119" s="272"/>
      <c r="C119" s="2"/>
      <c r="D119" s="70"/>
      <c r="E119" s="70"/>
      <c r="F119" s="70"/>
    </row>
    <row r="120" spans="1:6" s="273" customFormat="1" ht="13.8" x14ac:dyDescent="0.25">
      <c r="A120" s="194"/>
      <c r="B120" s="272"/>
      <c r="C120" s="2"/>
      <c r="D120" s="70"/>
      <c r="E120" s="70"/>
      <c r="F120" s="70"/>
    </row>
    <row r="121" spans="1:6" s="273" customFormat="1" ht="13.8" x14ac:dyDescent="0.25">
      <c r="A121" s="194"/>
      <c r="B121" s="272"/>
      <c r="C121" s="2"/>
      <c r="D121" s="70"/>
      <c r="E121" s="70"/>
      <c r="F121" s="70"/>
    </row>
    <row r="122" spans="1:6" s="273" customFormat="1" ht="13.8" x14ac:dyDescent="0.25">
      <c r="A122" s="194"/>
      <c r="B122" s="272"/>
      <c r="C122" s="2"/>
      <c r="D122" s="70"/>
      <c r="E122" s="70"/>
      <c r="F122" s="70"/>
    </row>
    <row r="123" spans="1:6" s="273" customFormat="1" ht="13.8" x14ac:dyDescent="0.25">
      <c r="A123" s="194"/>
      <c r="B123" s="272"/>
      <c r="C123" s="2"/>
      <c r="D123" s="70"/>
      <c r="E123" s="70"/>
      <c r="F123" s="70"/>
    </row>
    <row r="124" spans="1:6" s="273" customFormat="1" ht="13.8" x14ac:dyDescent="0.25">
      <c r="A124" s="194"/>
      <c r="B124" s="272"/>
      <c r="C124" s="2"/>
      <c r="D124" s="70"/>
      <c r="E124" s="70"/>
      <c r="F124" s="70"/>
    </row>
    <row r="125" spans="1:6" s="273" customFormat="1" ht="13.8" x14ac:dyDescent="0.25">
      <c r="A125" s="194"/>
      <c r="B125" s="272"/>
      <c r="C125" s="2"/>
      <c r="D125" s="70"/>
      <c r="E125" s="70"/>
      <c r="F125" s="70"/>
    </row>
    <row r="126" spans="1:6" s="273" customFormat="1" ht="13.8" x14ac:dyDescent="0.25">
      <c r="A126" s="194"/>
      <c r="B126" s="272"/>
      <c r="C126" s="2"/>
      <c r="D126" s="70"/>
      <c r="E126" s="70"/>
      <c r="F126" s="70"/>
    </row>
    <row r="127" spans="1:6" s="273" customFormat="1" ht="13.8" x14ac:dyDescent="0.25">
      <c r="A127" s="194"/>
      <c r="B127" s="272"/>
      <c r="C127" s="2"/>
      <c r="D127" s="70"/>
      <c r="E127" s="70"/>
      <c r="F127" s="70"/>
    </row>
    <row r="128" spans="1:6" s="273" customFormat="1" ht="13.8" x14ac:dyDescent="0.25">
      <c r="A128" s="194"/>
      <c r="B128" s="272"/>
      <c r="C128" s="2"/>
      <c r="D128" s="70"/>
      <c r="E128" s="70"/>
      <c r="F128" s="70"/>
    </row>
    <row r="129" spans="1:6" s="273" customFormat="1" ht="13.8" x14ac:dyDescent="0.25">
      <c r="A129" s="194"/>
      <c r="B129" s="272"/>
      <c r="C129" s="2"/>
      <c r="D129" s="70"/>
      <c r="E129" s="70"/>
      <c r="F129" s="70"/>
    </row>
    <row r="130" spans="1:6" s="273" customFormat="1" ht="13.8" x14ac:dyDescent="0.25">
      <c r="A130" s="194"/>
      <c r="B130" s="272"/>
      <c r="C130" s="2"/>
      <c r="D130" s="70"/>
      <c r="E130" s="70"/>
      <c r="F130" s="70"/>
    </row>
    <row r="131" spans="1:6" s="273" customFormat="1" ht="13.8" x14ac:dyDescent="0.25">
      <c r="A131" s="194"/>
      <c r="B131" s="272"/>
      <c r="C131" s="2"/>
      <c r="D131" s="70"/>
      <c r="E131" s="70"/>
      <c r="F131" s="70"/>
    </row>
    <row r="132" spans="1:6" s="273" customFormat="1" ht="13.8" x14ac:dyDescent="0.25">
      <c r="A132" s="194"/>
      <c r="B132" s="272"/>
      <c r="C132" s="2"/>
      <c r="D132" s="70"/>
      <c r="E132" s="70"/>
      <c r="F132" s="70"/>
    </row>
    <row r="133" spans="1:6" s="273" customFormat="1" ht="13.8" x14ac:dyDescent="0.25">
      <c r="A133" s="194"/>
      <c r="B133" s="272"/>
      <c r="C133" s="2"/>
      <c r="D133" s="70"/>
      <c r="E133" s="70"/>
      <c r="F133" s="70"/>
    </row>
    <row r="134" spans="1:6" s="273" customFormat="1" ht="13.8" x14ac:dyDescent="0.25">
      <c r="A134" s="194"/>
      <c r="B134" s="272"/>
      <c r="C134" s="2"/>
      <c r="D134" s="70"/>
      <c r="E134" s="70"/>
      <c r="F134" s="70"/>
    </row>
    <row r="135" spans="1:6" s="273" customFormat="1" ht="13.8" x14ac:dyDescent="0.25">
      <c r="A135" s="194"/>
      <c r="B135" s="272"/>
      <c r="C135" s="2"/>
      <c r="D135" s="70"/>
      <c r="E135" s="70"/>
      <c r="F135" s="70"/>
    </row>
    <row r="136" spans="1:6" s="273" customFormat="1" ht="13.8" x14ac:dyDescent="0.25">
      <c r="A136" s="194"/>
      <c r="B136" s="272"/>
      <c r="C136" s="2"/>
      <c r="D136" s="70"/>
      <c r="E136" s="70"/>
      <c r="F136" s="70"/>
    </row>
    <row r="137" spans="1:6" s="273" customFormat="1" ht="13.8" x14ac:dyDescent="0.25">
      <c r="A137" s="194"/>
      <c r="B137" s="272"/>
      <c r="C137" s="2"/>
      <c r="D137" s="70"/>
      <c r="E137" s="70"/>
      <c r="F137" s="70"/>
    </row>
    <row r="138" spans="1:6" s="273" customFormat="1" ht="13.8" x14ac:dyDescent="0.25">
      <c r="A138" s="194"/>
      <c r="B138" s="272"/>
      <c r="C138" s="2"/>
      <c r="D138" s="70"/>
      <c r="E138" s="70"/>
      <c r="F138" s="70"/>
    </row>
    <row r="139" spans="1:6" s="273" customFormat="1" ht="13.8" x14ac:dyDescent="0.25">
      <c r="A139" s="194"/>
      <c r="B139" s="272"/>
      <c r="C139" s="2"/>
      <c r="D139" s="70"/>
      <c r="E139" s="70"/>
      <c r="F139" s="70"/>
    </row>
    <row r="140" spans="1:6" s="273" customFormat="1" ht="13.8" x14ac:dyDescent="0.25">
      <c r="A140" s="194"/>
      <c r="B140" s="272"/>
      <c r="C140" s="2"/>
      <c r="D140" s="70"/>
      <c r="E140" s="70"/>
      <c r="F140" s="70"/>
    </row>
    <row r="141" spans="1:6" s="273" customFormat="1" ht="13.8" x14ac:dyDescent="0.25">
      <c r="A141" s="194"/>
      <c r="B141" s="272"/>
      <c r="C141" s="2"/>
      <c r="D141" s="70"/>
      <c r="E141" s="70"/>
      <c r="F141" s="70"/>
    </row>
    <row r="142" spans="1:6" s="273" customFormat="1" ht="13.8" x14ac:dyDescent="0.25">
      <c r="A142" s="194"/>
      <c r="B142" s="272"/>
      <c r="C142" s="2"/>
      <c r="D142" s="70"/>
      <c r="E142" s="70"/>
      <c r="F142" s="70"/>
    </row>
    <row r="143" spans="1:6" s="273" customFormat="1" ht="13.8" x14ac:dyDescent="0.25">
      <c r="A143" s="194"/>
      <c r="B143" s="272"/>
      <c r="C143" s="2"/>
      <c r="D143" s="70"/>
      <c r="E143" s="70"/>
      <c r="F143" s="70"/>
    </row>
    <row r="144" spans="1:6" s="273" customFormat="1" ht="13.8" x14ac:dyDescent="0.25">
      <c r="A144" s="194"/>
      <c r="B144" s="272"/>
      <c r="C144" s="2"/>
      <c r="D144" s="70"/>
      <c r="E144" s="70"/>
      <c r="F144" s="70"/>
    </row>
    <row r="145" spans="1:6" s="273" customFormat="1" ht="13.8" x14ac:dyDescent="0.25">
      <c r="A145" s="194"/>
      <c r="B145" s="272"/>
      <c r="C145" s="2"/>
      <c r="D145" s="70"/>
      <c r="E145" s="70"/>
      <c r="F145" s="70"/>
    </row>
    <row r="146" spans="1:6" s="273" customFormat="1" ht="13.8" x14ac:dyDescent="0.25">
      <c r="A146" s="194"/>
      <c r="B146" s="272"/>
      <c r="C146" s="2"/>
      <c r="D146" s="70"/>
      <c r="E146" s="70"/>
      <c r="F146" s="70"/>
    </row>
    <row r="147" spans="1:6" s="273" customFormat="1" ht="13.8" x14ac:dyDescent="0.25">
      <c r="A147" s="194"/>
      <c r="B147" s="272"/>
      <c r="C147" s="2"/>
      <c r="D147" s="70"/>
      <c r="E147" s="70"/>
      <c r="F147" s="70"/>
    </row>
    <row r="148" spans="1:6" s="273" customFormat="1" ht="13.8" x14ac:dyDescent="0.25">
      <c r="A148" s="194"/>
      <c r="B148" s="272"/>
      <c r="C148" s="2"/>
      <c r="D148" s="70"/>
      <c r="E148" s="70"/>
      <c r="F148" s="70"/>
    </row>
    <row r="149" spans="1:6" s="273" customFormat="1" ht="13.8" x14ac:dyDescent="0.25">
      <c r="A149" s="194"/>
      <c r="B149" s="272"/>
      <c r="C149" s="2"/>
      <c r="D149" s="70"/>
      <c r="E149" s="70"/>
      <c r="F149" s="70"/>
    </row>
    <row r="150" spans="1:6" s="273" customFormat="1" ht="13.8" x14ac:dyDescent="0.25">
      <c r="A150" s="194"/>
      <c r="B150" s="272"/>
      <c r="C150" s="2"/>
      <c r="D150" s="70"/>
      <c r="E150" s="70"/>
      <c r="F150" s="70"/>
    </row>
    <row r="151" spans="1:6" s="273" customFormat="1" ht="13.8" x14ac:dyDescent="0.25">
      <c r="A151" s="194"/>
      <c r="B151" s="272"/>
      <c r="C151" s="2"/>
      <c r="D151" s="70"/>
      <c r="E151" s="70"/>
      <c r="F151" s="70"/>
    </row>
    <row r="152" spans="1:6" s="273" customFormat="1" ht="13.8" x14ac:dyDescent="0.25">
      <c r="A152" s="194"/>
      <c r="B152" s="272"/>
      <c r="C152" s="2"/>
      <c r="D152" s="70"/>
      <c r="E152" s="70"/>
      <c r="F152" s="70"/>
    </row>
    <row r="153" spans="1:6" s="273" customFormat="1" ht="13.8" x14ac:dyDescent="0.25">
      <c r="A153" s="194"/>
      <c r="B153" s="272"/>
      <c r="C153" s="2"/>
      <c r="D153" s="70"/>
      <c r="E153" s="70"/>
      <c r="F153" s="70"/>
    </row>
    <row r="154" spans="1:6" s="273" customFormat="1" ht="13.8" x14ac:dyDescent="0.25">
      <c r="A154" s="194"/>
      <c r="B154" s="272"/>
      <c r="C154" s="2"/>
      <c r="D154" s="70"/>
      <c r="E154" s="70"/>
      <c r="F154" s="70"/>
    </row>
    <row r="155" spans="1:6" s="273" customFormat="1" ht="13.8" x14ac:dyDescent="0.25">
      <c r="A155" s="194"/>
      <c r="B155" s="272"/>
      <c r="C155" s="2"/>
      <c r="D155" s="70"/>
      <c r="E155" s="70"/>
      <c r="F155" s="70"/>
    </row>
    <row r="156" spans="1:6" s="273" customFormat="1" ht="13.8" x14ac:dyDescent="0.25">
      <c r="A156" s="194"/>
      <c r="B156" s="272"/>
      <c r="C156" s="2"/>
      <c r="D156" s="70"/>
      <c r="E156" s="70"/>
      <c r="F156" s="70"/>
    </row>
    <row r="157" spans="1:6" s="273" customFormat="1" ht="13.8" x14ac:dyDescent="0.25">
      <c r="A157" s="194"/>
      <c r="B157" s="272"/>
      <c r="C157" s="2"/>
      <c r="D157" s="70"/>
      <c r="E157" s="70"/>
      <c r="F157" s="70"/>
    </row>
    <row r="158" spans="1:6" s="273" customFormat="1" ht="13.8" x14ac:dyDescent="0.25">
      <c r="A158" s="194"/>
      <c r="B158" s="272"/>
      <c r="C158" s="2"/>
      <c r="D158" s="70"/>
      <c r="E158" s="70"/>
      <c r="F158" s="70"/>
    </row>
    <row r="159" spans="1:6" s="273" customFormat="1" ht="13.8" x14ac:dyDescent="0.25">
      <c r="A159" s="194"/>
      <c r="B159" s="272"/>
      <c r="C159" s="2"/>
      <c r="D159" s="70"/>
      <c r="E159" s="70"/>
      <c r="F159" s="70"/>
    </row>
    <row r="160" spans="1:6" s="273" customFormat="1" ht="13.8" x14ac:dyDescent="0.25">
      <c r="A160" s="194"/>
      <c r="B160" s="272"/>
      <c r="C160" s="2"/>
      <c r="D160" s="70"/>
      <c r="E160" s="70"/>
      <c r="F160" s="70"/>
    </row>
    <row r="161" spans="1:6" s="273" customFormat="1" ht="13.8" x14ac:dyDescent="0.25">
      <c r="A161" s="194"/>
      <c r="B161" s="272"/>
      <c r="C161" s="2"/>
      <c r="D161" s="70"/>
      <c r="E161" s="70"/>
      <c r="F161" s="70"/>
    </row>
    <row r="162" spans="1:6" s="273" customFormat="1" ht="13.8" x14ac:dyDescent="0.25">
      <c r="A162" s="194"/>
      <c r="B162" s="272"/>
      <c r="C162" s="2"/>
      <c r="D162" s="70"/>
      <c r="E162" s="70"/>
      <c r="F162" s="70"/>
    </row>
    <row r="163" spans="1:6" s="273" customFormat="1" ht="13.8" x14ac:dyDescent="0.25">
      <c r="A163" s="194"/>
      <c r="B163" s="272"/>
      <c r="C163" s="2"/>
      <c r="D163" s="70"/>
      <c r="E163" s="70"/>
      <c r="F163" s="70"/>
    </row>
    <row r="164" spans="1:6" s="273" customFormat="1" ht="13.8" x14ac:dyDescent="0.25">
      <c r="A164" s="194"/>
      <c r="B164" s="272"/>
      <c r="C164" s="2"/>
      <c r="D164" s="70"/>
      <c r="E164" s="70"/>
      <c r="F164" s="70"/>
    </row>
    <row r="165" spans="1:6" s="273" customFormat="1" ht="13.8" x14ac:dyDescent="0.25">
      <c r="A165" s="194"/>
      <c r="B165" s="272"/>
      <c r="C165" s="2"/>
      <c r="D165" s="70"/>
      <c r="E165" s="70"/>
      <c r="F165" s="70"/>
    </row>
    <row r="166" spans="1:6" s="273" customFormat="1" ht="13.8" x14ac:dyDescent="0.25">
      <c r="A166" s="194"/>
      <c r="B166" s="272"/>
      <c r="C166" s="2"/>
      <c r="D166" s="70"/>
      <c r="E166" s="70"/>
      <c r="F166" s="70"/>
    </row>
    <row r="167" spans="1:6" s="273" customFormat="1" ht="13.8" x14ac:dyDescent="0.25">
      <c r="A167" s="194"/>
      <c r="B167" s="272"/>
      <c r="C167" s="2"/>
      <c r="D167" s="70"/>
      <c r="E167" s="70"/>
      <c r="F167" s="70"/>
    </row>
    <row r="168" spans="1:6" s="273" customFormat="1" ht="13.8" x14ac:dyDescent="0.25">
      <c r="A168" s="194"/>
      <c r="B168" s="272"/>
      <c r="C168" s="2"/>
      <c r="D168" s="70"/>
      <c r="E168" s="70"/>
      <c r="F168" s="70"/>
    </row>
    <row r="169" spans="1:6" s="273" customFormat="1" ht="13.8" x14ac:dyDescent="0.25">
      <c r="A169" s="194"/>
      <c r="B169" s="272"/>
      <c r="C169" s="2"/>
      <c r="D169" s="70"/>
      <c r="E169" s="70"/>
      <c r="F169" s="70"/>
    </row>
    <row r="170" spans="1:6" s="273" customFormat="1" ht="13.8" x14ac:dyDescent="0.25">
      <c r="A170" s="194"/>
      <c r="B170" s="272"/>
      <c r="C170" s="2"/>
      <c r="D170" s="70"/>
      <c r="E170" s="70"/>
      <c r="F170" s="70"/>
    </row>
    <row r="171" spans="1:6" s="273" customFormat="1" ht="13.8" x14ac:dyDescent="0.25">
      <c r="A171" s="194"/>
      <c r="B171" s="272"/>
      <c r="C171" s="2"/>
      <c r="D171" s="70"/>
      <c r="E171" s="70"/>
      <c r="F171" s="70"/>
    </row>
    <row r="172" spans="1:6" s="273" customFormat="1" ht="13.8" x14ac:dyDescent="0.25">
      <c r="A172" s="194"/>
      <c r="B172" s="272"/>
      <c r="C172" s="2"/>
      <c r="D172" s="70"/>
      <c r="E172" s="70"/>
      <c r="F172" s="70"/>
    </row>
    <row r="173" spans="1:6" s="273" customFormat="1" ht="13.8" x14ac:dyDescent="0.25">
      <c r="A173" s="194"/>
      <c r="B173" s="272"/>
      <c r="C173" s="2"/>
      <c r="D173" s="70"/>
      <c r="E173" s="70"/>
      <c r="F173" s="70"/>
    </row>
    <row r="174" spans="1:6" s="273" customFormat="1" ht="13.8" x14ac:dyDescent="0.25">
      <c r="A174" s="194"/>
      <c r="B174" s="272"/>
      <c r="C174" s="2"/>
      <c r="D174" s="70"/>
      <c r="E174" s="70"/>
      <c r="F174" s="70"/>
    </row>
    <row r="175" spans="1:6" s="273" customFormat="1" ht="13.8" x14ac:dyDescent="0.25">
      <c r="A175" s="194"/>
      <c r="B175" s="272"/>
      <c r="C175" s="2"/>
      <c r="D175" s="70"/>
      <c r="E175" s="70"/>
      <c r="F175" s="70"/>
    </row>
    <row r="176" spans="1:6" s="273" customFormat="1" ht="13.8" x14ac:dyDescent="0.25">
      <c r="A176" s="194"/>
      <c r="B176" s="272"/>
      <c r="C176" s="2"/>
      <c r="D176" s="70"/>
      <c r="E176" s="70"/>
      <c r="F176" s="70"/>
    </row>
    <row r="177" spans="1:6" s="273" customFormat="1" ht="13.8" x14ac:dyDescent="0.25">
      <c r="A177" s="194"/>
      <c r="B177" s="272"/>
      <c r="C177" s="2"/>
      <c r="D177" s="70"/>
      <c r="E177" s="70"/>
      <c r="F177" s="70"/>
    </row>
    <row r="178" spans="1:6" s="273" customFormat="1" ht="13.8" x14ac:dyDescent="0.25">
      <c r="A178" s="194"/>
      <c r="B178" s="272"/>
      <c r="C178" s="2"/>
      <c r="D178" s="70"/>
      <c r="E178" s="70"/>
      <c r="F178" s="70"/>
    </row>
    <row r="179" spans="1:6" s="273" customFormat="1" ht="13.8" x14ac:dyDescent="0.25">
      <c r="A179" s="194"/>
      <c r="B179" s="272"/>
      <c r="C179" s="2"/>
      <c r="D179" s="70"/>
      <c r="E179" s="70"/>
      <c r="F179" s="70"/>
    </row>
    <row r="180" spans="1:6" s="273" customFormat="1" ht="13.8" x14ac:dyDescent="0.25">
      <c r="A180" s="194"/>
      <c r="B180" s="272"/>
      <c r="C180" s="2"/>
      <c r="D180" s="70"/>
      <c r="E180" s="70"/>
      <c r="F180" s="70"/>
    </row>
    <row r="181" spans="1:6" s="273" customFormat="1" ht="13.8" x14ac:dyDescent="0.25">
      <c r="A181" s="194"/>
      <c r="B181" s="272"/>
      <c r="C181" s="2"/>
      <c r="D181" s="70"/>
      <c r="E181" s="70"/>
      <c r="F181" s="70"/>
    </row>
    <row r="182" spans="1:6" s="273" customFormat="1" ht="13.8" x14ac:dyDescent="0.25">
      <c r="A182" s="194"/>
      <c r="B182" s="272"/>
      <c r="C182" s="2"/>
      <c r="D182" s="70"/>
      <c r="E182" s="70"/>
      <c r="F182" s="70"/>
    </row>
    <row r="183" spans="1:6" s="273" customFormat="1" ht="13.8" x14ac:dyDescent="0.25">
      <c r="A183" s="194"/>
      <c r="B183" s="272"/>
      <c r="C183" s="2"/>
      <c r="D183" s="70"/>
      <c r="E183" s="70"/>
      <c r="F183" s="70"/>
    </row>
    <row r="184" spans="1:6" s="273" customFormat="1" ht="13.8" x14ac:dyDescent="0.25">
      <c r="A184" s="194"/>
      <c r="B184" s="272"/>
      <c r="C184" s="2"/>
      <c r="D184" s="70"/>
      <c r="E184" s="70"/>
      <c r="F184" s="70"/>
    </row>
    <row r="185" spans="1:6" s="273" customFormat="1" ht="13.8" x14ac:dyDescent="0.25">
      <c r="A185" s="194"/>
      <c r="B185" s="272"/>
      <c r="C185" s="2"/>
      <c r="D185" s="70"/>
      <c r="E185" s="70"/>
      <c r="F185" s="70"/>
    </row>
    <row r="186" spans="1:6" s="273" customFormat="1" ht="13.8" x14ac:dyDescent="0.25">
      <c r="A186" s="194"/>
      <c r="B186" s="272"/>
      <c r="C186" s="2"/>
      <c r="D186" s="70"/>
      <c r="E186" s="70"/>
      <c r="F186" s="70"/>
    </row>
    <row r="187" spans="1:6" s="273" customFormat="1" ht="13.8" x14ac:dyDescent="0.25">
      <c r="A187" s="194"/>
      <c r="B187" s="272"/>
      <c r="C187" s="2"/>
      <c r="D187" s="70"/>
      <c r="E187" s="70"/>
      <c r="F187" s="70"/>
    </row>
    <row r="188" spans="1:6" s="273" customFormat="1" ht="13.8" x14ac:dyDescent="0.25">
      <c r="A188" s="194"/>
      <c r="B188" s="272"/>
      <c r="C188" s="2"/>
      <c r="D188" s="70"/>
      <c r="E188" s="70"/>
      <c r="F188" s="70"/>
    </row>
    <row r="189" spans="1:6" s="273" customFormat="1" ht="13.8" x14ac:dyDescent="0.25">
      <c r="A189" s="194"/>
      <c r="B189" s="272"/>
      <c r="C189" s="2"/>
      <c r="D189" s="70"/>
      <c r="E189" s="70"/>
      <c r="F189" s="70"/>
    </row>
    <row r="190" spans="1:6" s="273" customFormat="1" ht="13.8" x14ac:dyDescent="0.25">
      <c r="A190" s="194"/>
      <c r="B190" s="272"/>
      <c r="C190" s="2"/>
      <c r="D190" s="70"/>
      <c r="E190" s="70"/>
      <c r="F190" s="70"/>
    </row>
    <row r="191" spans="1:6" s="273" customFormat="1" ht="13.8" x14ac:dyDescent="0.25">
      <c r="A191" s="194"/>
      <c r="B191" s="272"/>
      <c r="C191" s="2"/>
      <c r="D191" s="70"/>
      <c r="E191" s="70"/>
      <c r="F191" s="70"/>
    </row>
    <row r="192" spans="1:6" s="273" customFormat="1" ht="13.8" x14ac:dyDescent="0.25">
      <c r="A192" s="194"/>
      <c r="B192" s="272"/>
      <c r="C192" s="2"/>
      <c r="D192" s="70"/>
      <c r="E192" s="70"/>
      <c r="F192" s="70"/>
    </row>
    <row r="193" spans="1:6" s="273" customFormat="1" ht="13.8" x14ac:dyDescent="0.25">
      <c r="A193" s="194"/>
      <c r="B193" s="272"/>
      <c r="C193" s="2"/>
      <c r="D193" s="70"/>
      <c r="E193" s="70"/>
      <c r="F193" s="70"/>
    </row>
    <row r="194" spans="1:6" s="273" customFormat="1" ht="13.8" x14ac:dyDescent="0.25">
      <c r="A194" s="194"/>
      <c r="B194" s="272"/>
      <c r="C194" s="2"/>
      <c r="D194" s="70"/>
      <c r="E194" s="70"/>
      <c r="F194" s="70"/>
    </row>
    <row r="195" spans="1:6" s="273" customFormat="1" ht="13.8" x14ac:dyDescent="0.25">
      <c r="A195" s="194"/>
      <c r="B195" s="272"/>
      <c r="C195" s="2"/>
      <c r="D195" s="70"/>
      <c r="E195" s="70"/>
      <c r="F195" s="70"/>
    </row>
    <row r="196" spans="1:6" s="273" customFormat="1" ht="13.8" x14ac:dyDescent="0.25">
      <c r="A196" s="194"/>
      <c r="B196" s="272"/>
      <c r="C196" s="2"/>
      <c r="D196" s="70"/>
      <c r="E196" s="70"/>
      <c r="F196" s="70"/>
    </row>
    <row r="197" spans="1:6" s="273" customFormat="1" ht="13.8" x14ac:dyDescent="0.25">
      <c r="A197" s="194"/>
      <c r="B197" s="272"/>
      <c r="C197" s="2"/>
      <c r="D197" s="70"/>
      <c r="E197" s="70"/>
      <c r="F197" s="70"/>
    </row>
    <row r="198" spans="1:6" s="273" customFormat="1" ht="13.8" x14ac:dyDescent="0.25">
      <c r="A198" s="194"/>
      <c r="B198" s="272"/>
      <c r="C198" s="2"/>
      <c r="D198" s="70"/>
      <c r="E198" s="70"/>
      <c r="F198" s="70"/>
    </row>
    <row r="199" spans="1:6" s="273" customFormat="1" ht="13.8" x14ac:dyDescent="0.25">
      <c r="A199" s="194"/>
      <c r="B199" s="272"/>
      <c r="C199" s="2"/>
      <c r="D199" s="70"/>
      <c r="E199" s="70"/>
      <c r="F199" s="70"/>
    </row>
    <row r="200" spans="1:6" s="273" customFormat="1" ht="13.8" x14ac:dyDescent="0.25">
      <c r="A200" s="194"/>
      <c r="B200" s="272"/>
      <c r="C200" s="2"/>
      <c r="D200" s="70"/>
      <c r="E200" s="70"/>
      <c r="F200" s="70"/>
    </row>
    <row r="201" spans="1:6" s="273" customFormat="1" ht="13.8" x14ac:dyDescent="0.25">
      <c r="A201" s="194"/>
      <c r="B201" s="272"/>
      <c r="C201" s="2"/>
      <c r="D201" s="70"/>
      <c r="E201" s="70"/>
      <c r="F201" s="70"/>
    </row>
    <row r="202" spans="1:6" s="273" customFormat="1" ht="13.8" x14ac:dyDescent="0.25">
      <c r="A202" s="194"/>
      <c r="B202" s="272"/>
      <c r="C202" s="2"/>
      <c r="D202" s="70"/>
      <c r="E202" s="70"/>
      <c r="F202" s="70"/>
    </row>
    <row r="203" spans="1:6" s="273" customFormat="1" ht="13.8" x14ac:dyDescent="0.25">
      <c r="A203" s="194"/>
      <c r="B203" s="272"/>
      <c r="C203" s="2"/>
      <c r="D203" s="70"/>
      <c r="E203" s="70"/>
      <c r="F203" s="70"/>
    </row>
    <row r="204" spans="1:6" s="273" customFormat="1" ht="13.8" x14ac:dyDescent="0.25">
      <c r="A204" s="194"/>
      <c r="B204" s="272"/>
      <c r="C204" s="2"/>
      <c r="D204" s="70"/>
      <c r="E204" s="70"/>
      <c r="F204" s="70"/>
    </row>
    <row r="205" spans="1:6" s="273" customFormat="1" ht="13.8" x14ac:dyDescent="0.25">
      <c r="A205" s="194"/>
      <c r="B205" s="272"/>
      <c r="C205" s="2"/>
      <c r="D205" s="70"/>
      <c r="E205" s="70"/>
      <c r="F205" s="70"/>
    </row>
    <row r="206" spans="1:6" s="273" customFormat="1" ht="13.8" x14ac:dyDescent="0.25">
      <c r="A206" s="194"/>
      <c r="B206" s="272"/>
      <c r="C206" s="2"/>
      <c r="D206" s="70"/>
      <c r="E206" s="70"/>
      <c r="F206" s="70"/>
    </row>
    <row r="207" spans="1:6" s="273" customFormat="1" ht="13.8" x14ac:dyDescent="0.25">
      <c r="A207" s="194"/>
      <c r="B207" s="272"/>
      <c r="C207" s="2"/>
      <c r="D207" s="70"/>
      <c r="E207" s="70"/>
      <c r="F207" s="70"/>
    </row>
    <row r="208" spans="1:6" s="273" customFormat="1" ht="13.8" x14ac:dyDescent="0.25">
      <c r="A208" s="194"/>
      <c r="B208" s="272"/>
      <c r="C208" s="2"/>
      <c r="D208" s="70"/>
      <c r="E208" s="70"/>
      <c r="F208" s="70"/>
    </row>
    <row r="209" spans="1:6" s="273" customFormat="1" ht="13.8" x14ac:dyDescent="0.25">
      <c r="A209" s="194"/>
      <c r="B209" s="272"/>
      <c r="C209" s="2"/>
      <c r="D209" s="70"/>
      <c r="E209" s="70"/>
      <c r="F209" s="70"/>
    </row>
    <row r="210" spans="1:6" s="273" customFormat="1" ht="13.8" x14ac:dyDescent="0.25">
      <c r="A210" s="194"/>
      <c r="B210" s="272"/>
      <c r="C210" s="2"/>
      <c r="D210" s="70"/>
      <c r="E210" s="70"/>
      <c r="F210" s="70"/>
    </row>
    <row r="211" spans="1:6" s="273" customFormat="1" ht="13.8" x14ac:dyDescent="0.25">
      <c r="A211" s="194"/>
      <c r="B211" s="272"/>
      <c r="C211" s="2"/>
      <c r="D211" s="70"/>
      <c r="E211" s="70"/>
      <c r="F211" s="70"/>
    </row>
    <row r="212" spans="1:6" s="273" customFormat="1" ht="13.8" x14ac:dyDescent="0.25">
      <c r="A212" s="194"/>
      <c r="B212" s="272"/>
      <c r="C212" s="2"/>
      <c r="D212" s="70"/>
      <c r="E212" s="70"/>
      <c r="F212" s="70"/>
    </row>
    <row r="213" spans="1:6" s="273" customFormat="1" ht="13.8" x14ac:dyDescent="0.25">
      <c r="A213" s="194"/>
      <c r="B213" s="272"/>
      <c r="C213" s="2"/>
      <c r="D213" s="70"/>
      <c r="E213" s="70"/>
      <c r="F213" s="70"/>
    </row>
    <row r="214" spans="1:6" s="273" customFormat="1" ht="13.8" x14ac:dyDescent="0.25">
      <c r="A214" s="194"/>
      <c r="B214" s="272"/>
      <c r="C214" s="2"/>
      <c r="D214" s="70"/>
      <c r="E214" s="70"/>
      <c r="F214" s="70"/>
    </row>
    <row r="215" spans="1:6" s="273" customFormat="1" ht="13.8" x14ac:dyDescent="0.25">
      <c r="A215" s="194"/>
      <c r="B215" s="272"/>
      <c r="C215" s="2"/>
      <c r="D215" s="70"/>
      <c r="E215" s="70"/>
      <c r="F215" s="70"/>
    </row>
    <row r="216" spans="1:6" s="273" customFormat="1" ht="13.8" x14ac:dyDescent="0.25">
      <c r="A216" s="194"/>
      <c r="B216" s="272"/>
      <c r="C216" s="2"/>
      <c r="D216" s="70"/>
      <c r="E216" s="70"/>
      <c r="F216" s="70"/>
    </row>
    <row r="217" spans="1:6" s="273" customFormat="1" ht="13.8" x14ac:dyDescent="0.25">
      <c r="A217" s="194"/>
      <c r="B217" s="272"/>
      <c r="C217" s="2"/>
      <c r="D217" s="70"/>
      <c r="E217" s="70"/>
      <c r="F217" s="70"/>
    </row>
    <row r="218" spans="1:6" s="273" customFormat="1" ht="13.8" x14ac:dyDescent="0.25">
      <c r="A218" s="194"/>
      <c r="B218" s="272"/>
      <c r="C218" s="2"/>
      <c r="D218" s="70"/>
      <c r="E218" s="70"/>
      <c r="F218" s="70"/>
    </row>
    <row r="219" spans="1:6" s="273" customFormat="1" ht="13.8" x14ac:dyDescent="0.25">
      <c r="A219" s="194"/>
      <c r="B219" s="272"/>
      <c r="C219" s="2"/>
      <c r="D219" s="70"/>
      <c r="E219" s="70"/>
      <c r="F219" s="70"/>
    </row>
    <row r="220" spans="1:6" s="273" customFormat="1" ht="13.8" x14ac:dyDescent="0.25">
      <c r="A220" s="194"/>
      <c r="B220" s="272"/>
      <c r="C220" s="2"/>
      <c r="D220" s="70"/>
      <c r="E220" s="70"/>
      <c r="F220" s="70"/>
    </row>
    <row r="221" spans="1:6" s="273" customFormat="1" ht="13.8" x14ac:dyDescent="0.25">
      <c r="A221" s="194"/>
      <c r="B221" s="272"/>
      <c r="C221" s="2"/>
      <c r="D221" s="70"/>
      <c r="E221" s="70"/>
      <c r="F221" s="70"/>
    </row>
    <row r="222" spans="1:6" s="273" customFormat="1" ht="13.8" x14ac:dyDescent="0.25">
      <c r="A222" s="194"/>
      <c r="B222" s="272"/>
      <c r="C222" s="2"/>
      <c r="D222" s="70"/>
      <c r="E222" s="70"/>
      <c r="F222" s="70"/>
    </row>
    <row r="223" spans="1:6" s="273" customFormat="1" ht="13.8" x14ac:dyDescent="0.25">
      <c r="A223" s="194"/>
      <c r="B223" s="272"/>
      <c r="C223" s="2"/>
      <c r="D223" s="70"/>
      <c r="E223" s="70"/>
      <c r="F223" s="70"/>
    </row>
    <row r="224" spans="1:6" s="273" customFormat="1" ht="13.8" x14ac:dyDescent="0.25">
      <c r="A224" s="194"/>
      <c r="B224" s="272"/>
      <c r="C224" s="2"/>
      <c r="D224" s="70"/>
      <c r="E224" s="70"/>
      <c r="F224" s="70"/>
    </row>
    <row r="225" spans="1:6" s="273" customFormat="1" ht="13.8" x14ac:dyDescent="0.25">
      <c r="A225" s="194"/>
      <c r="B225" s="272"/>
      <c r="C225" s="2"/>
      <c r="D225" s="70"/>
      <c r="E225" s="70"/>
      <c r="F225" s="70"/>
    </row>
    <row r="226" spans="1:6" s="273" customFormat="1" ht="13.8" x14ac:dyDescent="0.25">
      <c r="A226" s="194"/>
      <c r="B226" s="272"/>
      <c r="C226" s="2"/>
      <c r="D226" s="70"/>
      <c r="E226" s="70"/>
      <c r="F226" s="70"/>
    </row>
    <row r="227" spans="1:6" s="273" customFormat="1" ht="13.8" x14ac:dyDescent="0.25">
      <c r="A227" s="194"/>
      <c r="B227" s="272"/>
      <c r="C227" s="2"/>
      <c r="D227" s="70"/>
      <c r="E227" s="70"/>
      <c r="F227" s="70"/>
    </row>
    <row r="228" spans="1:6" s="273" customFormat="1" ht="13.8" x14ac:dyDescent="0.25">
      <c r="A228" s="194"/>
      <c r="B228" s="272"/>
      <c r="C228" s="2"/>
      <c r="D228" s="70"/>
      <c r="E228" s="70"/>
      <c r="F228" s="70"/>
    </row>
    <row r="229" spans="1:6" s="273" customFormat="1" ht="13.8" x14ac:dyDescent="0.25">
      <c r="A229" s="194"/>
      <c r="B229" s="272"/>
      <c r="C229" s="2"/>
      <c r="D229" s="70"/>
      <c r="E229" s="70"/>
      <c r="F229" s="70"/>
    </row>
    <row r="230" spans="1:6" s="273" customFormat="1" ht="13.8" x14ac:dyDescent="0.25">
      <c r="A230" s="194"/>
      <c r="B230" s="272"/>
      <c r="C230" s="2"/>
      <c r="D230" s="70"/>
      <c r="E230" s="70"/>
      <c r="F230" s="70"/>
    </row>
    <row r="231" spans="1:6" s="273" customFormat="1" ht="13.8" x14ac:dyDescent="0.25">
      <c r="A231" s="194"/>
      <c r="B231" s="272"/>
      <c r="C231" s="2"/>
      <c r="D231" s="70"/>
      <c r="E231" s="70"/>
      <c r="F231" s="70"/>
    </row>
    <row r="232" spans="1:6" s="273" customFormat="1" ht="13.8" x14ac:dyDescent="0.25">
      <c r="A232" s="194"/>
      <c r="B232" s="272"/>
      <c r="C232" s="2"/>
      <c r="D232" s="70"/>
      <c r="E232" s="70"/>
      <c r="F232" s="70"/>
    </row>
    <row r="233" spans="1:6" s="273" customFormat="1" ht="13.8" x14ac:dyDescent="0.25">
      <c r="A233" s="194"/>
      <c r="B233" s="272"/>
      <c r="C233" s="2"/>
      <c r="D233" s="70"/>
      <c r="E233" s="70"/>
      <c r="F233" s="70"/>
    </row>
    <row r="234" spans="1:6" s="273" customFormat="1" ht="13.8" x14ac:dyDescent="0.25">
      <c r="A234" s="194"/>
      <c r="B234" s="272"/>
      <c r="C234" s="2"/>
      <c r="D234" s="70"/>
      <c r="E234" s="70"/>
      <c r="F234" s="70"/>
    </row>
    <row r="235" spans="1:6" s="273" customFormat="1" ht="13.8" x14ac:dyDescent="0.25">
      <c r="A235" s="194"/>
      <c r="B235" s="272"/>
      <c r="C235" s="2"/>
      <c r="D235" s="70"/>
      <c r="E235" s="70"/>
      <c r="F235" s="70"/>
    </row>
    <row r="236" spans="1:6" s="273" customFormat="1" ht="13.8" x14ac:dyDescent="0.25">
      <c r="A236" s="194"/>
      <c r="B236" s="272"/>
      <c r="C236" s="2"/>
      <c r="D236" s="70"/>
      <c r="E236" s="70"/>
      <c r="F236" s="70"/>
    </row>
    <row r="237" spans="1:6" s="273" customFormat="1" ht="13.8" x14ac:dyDescent="0.25">
      <c r="A237" s="194"/>
      <c r="B237" s="272"/>
      <c r="C237" s="2"/>
      <c r="D237" s="70"/>
      <c r="E237" s="70"/>
      <c r="F237" s="70"/>
    </row>
    <row r="238" spans="1:6" s="273" customFormat="1" ht="13.8" x14ac:dyDescent="0.25">
      <c r="A238" s="194"/>
      <c r="B238" s="272"/>
      <c r="C238" s="2"/>
      <c r="D238" s="70"/>
      <c r="E238" s="70"/>
      <c r="F238" s="70"/>
    </row>
    <row r="239" spans="1:6" s="273" customFormat="1" ht="13.8" x14ac:dyDescent="0.25">
      <c r="A239" s="194"/>
      <c r="B239" s="272"/>
      <c r="C239" s="2"/>
      <c r="D239" s="70"/>
      <c r="E239" s="70"/>
      <c r="F239" s="70"/>
    </row>
    <row r="240" spans="1:6" s="273" customFormat="1" ht="13.8" x14ac:dyDescent="0.25">
      <c r="A240" s="194"/>
      <c r="B240" s="272"/>
      <c r="C240" s="2"/>
      <c r="D240" s="70"/>
      <c r="E240" s="70"/>
      <c r="F240" s="70"/>
    </row>
    <row r="241" spans="1:6" s="273" customFormat="1" ht="13.8" x14ac:dyDescent="0.25">
      <c r="A241" s="194"/>
      <c r="B241" s="272"/>
      <c r="C241" s="2"/>
      <c r="D241" s="70"/>
      <c r="E241" s="70"/>
      <c r="F241" s="70"/>
    </row>
    <row r="242" spans="1:6" s="273" customFormat="1" ht="13.8" x14ac:dyDescent="0.25">
      <c r="A242" s="194"/>
      <c r="B242" s="272"/>
      <c r="C242" s="2"/>
      <c r="D242" s="70"/>
      <c r="E242" s="70"/>
      <c r="F242" s="70"/>
    </row>
    <row r="243" spans="1:6" s="273" customFormat="1" ht="13.8" x14ac:dyDescent="0.25">
      <c r="A243" s="194"/>
      <c r="B243" s="272"/>
      <c r="C243" s="2"/>
      <c r="D243" s="70"/>
      <c r="E243" s="70"/>
      <c r="F243" s="70"/>
    </row>
    <row r="244" spans="1:6" s="273" customFormat="1" ht="13.8" x14ac:dyDescent="0.25">
      <c r="A244" s="194"/>
      <c r="B244" s="272"/>
      <c r="C244" s="2"/>
      <c r="D244" s="70"/>
      <c r="E244" s="70"/>
      <c r="F244" s="70"/>
    </row>
    <row r="245" spans="1:6" s="273" customFormat="1" ht="13.8" x14ac:dyDescent="0.25">
      <c r="A245" s="194"/>
      <c r="B245" s="272"/>
      <c r="C245" s="2"/>
      <c r="D245" s="70"/>
      <c r="E245" s="70"/>
      <c r="F245" s="70"/>
    </row>
    <row r="246" spans="1:6" s="273" customFormat="1" ht="13.8" x14ac:dyDescent="0.25">
      <c r="A246" s="194"/>
      <c r="B246" s="272"/>
      <c r="C246" s="2"/>
      <c r="D246" s="70"/>
      <c r="E246" s="70"/>
      <c r="F246" s="70"/>
    </row>
    <row r="247" spans="1:6" s="273" customFormat="1" ht="13.8" x14ac:dyDescent="0.25">
      <c r="A247" s="194"/>
      <c r="B247" s="272"/>
      <c r="C247" s="2"/>
      <c r="D247" s="70"/>
      <c r="E247" s="70"/>
      <c r="F247" s="70"/>
    </row>
    <row r="248" spans="1:6" s="273" customFormat="1" ht="13.8" x14ac:dyDescent="0.25">
      <c r="A248" s="194"/>
      <c r="B248" s="272"/>
      <c r="C248" s="2"/>
      <c r="D248" s="70"/>
      <c r="E248" s="70"/>
      <c r="F248" s="70"/>
    </row>
    <row r="249" spans="1:6" s="273" customFormat="1" ht="13.8" x14ac:dyDescent="0.25">
      <c r="A249" s="194"/>
      <c r="B249" s="272"/>
      <c r="C249" s="2"/>
      <c r="D249" s="70"/>
      <c r="E249" s="70"/>
      <c r="F249" s="70"/>
    </row>
    <row r="250" spans="1:6" s="273" customFormat="1" ht="13.8" x14ac:dyDescent="0.25">
      <c r="A250" s="194"/>
      <c r="B250" s="272"/>
      <c r="C250" s="2"/>
      <c r="D250" s="70"/>
      <c r="E250" s="70"/>
      <c r="F250" s="70"/>
    </row>
    <row r="251" spans="1:6" s="273" customFormat="1" ht="13.8" x14ac:dyDescent="0.25">
      <c r="A251" s="194"/>
      <c r="B251" s="272"/>
      <c r="C251" s="2"/>
      <c r="D251" s="70"/>
      <c r="E251" s="70"/>
      <c r="F251" s="70"/>
    </row>
    <row r="252" spans="1:6" s="273" customFormat="1" ht="13.8" x14ac:dyDescent="0.25">
      <c r="A252" s="194"/>
      <c r="B252" s="272"/>
      <c r="C252" s="2"/>
      <c r="D252" s="70"/>
      <c r="E252" s="70"/>
      <c r="F252" s="70"/>
    </row>
    <row r="253" spans="1:6" s="273" customFormat="1" ht="13.8" x14ac:dyDescent="0.25">
      <c r="A253" s="194"/>
      <c r="B253" s="272"/>
      <c r="C253" s="2"/>
      <c r="D253" s="70"/>
      <c r="E253" s="70"/>
      <c r="F253" s="70"/>
    </row>
    <row r="254" spans="1:6" s="273" customFormat="1" ht="13.8" x14ac:dyDescent="0.25">
      <c r="A254" s="194"/>
      <c r="B254" s="272"/>
      <c r="C254" s="2"/>
      <c r="D254" s="70"/>
      <c r="E254" s="70"/>
      <c r="F254" s="70"/>
    </row>
    <row r="255" spans="1:6" s="273" customFormat="1" ht="13.8" x14ac:dyDescent="0.25">
      <c r="A255" s="194"/>
      <c r="B255" s="272"/>
      <c r="C255" s="2"/>
      <c r="D255" s="70"/>
      <c r="E255" s="70"/>
      <c r="F255" s="70"/>
    </row>
    <row r="256" spans="1:6" s="273" customFormat="1" ht="13.8" x14ac:dyDescent="0.25">
      <c r="A256" s="194"/>
      <c r="B256" s="272"/>
      <c r="C256" s="2"/>
      <c r="D256" s="70"/>
      <c r="E256" s="70"/>
      <c r="F256" s="70"/>
    </row>
    <row r="257" spans="1:6" s="273" customFormat="1" ht="13.8" x14ac:dyDescent="0.25">
      <c r="A257" s="194"/>
      <c r="B257" s="272"/>
      <c r="C257" s="2"/>
      <c r="D257" s="70"/>
      <c r="E257" s="70"/>
      <c r="F257" s="70"/>
    </row>
    <row r="258" spans="1:6" s="273" customFormat="1" ht="13.8" x14ac:dyDescent="0.25">
      <c r="A258" s="194"/>
      <c r="B258" s="272"/>
      <c r="C258" s="2"/>
      <c r="D258" s="70"/>
      <c r="E258" s="70"/>
      <c r="F258" s="70"/>
    </row>
    <row r="259" spans="1:6" s="273" customFormat="1" ht="13.8" x14ac:dyDescent="0.25">
      <c r="A259" s="194"/>
      <c r="B259" s="272"/>
      <c r="C259" s="2"/>
      <c r="D259" s="70"/>
      <c r="E259" s="70"/>
      <c r="F259" s="70"/>
    </row>
    <row r="260" spans="1:6" s="273" customFormat="1" ht="13.8" x14ac:dyDescent="0.25">
      <c r="A260" s="194"/>
      <c r="B260" s="272"/>
      <c r="C260" s="2"/>
      <c r="D260" s="70"/>
      <c r="E260" s="70"/>
      <c r="F260" s="70"/>
    </row>
    <row r="261" spans="1:6" s="273" customFormat="1" ht="13.8" x14ac:dyDescent="0.25">
      <c r="A261" s="194"/>
      <c r="B261" s="272"/>
      <c r="C261" s="2"/>
      <c r="D261" s="70"/>
      <c r="E261" s="70"/>
      <c r="F261" s="70"/>
    </row>
    <row r="262" spans="1:6" s="273" customFormat="1" ht="13.8" x14ac:dyDescent="0.25">
      <c r="A262" s="194"/>
      <c r="B262" s="272"/>
      <c r="C262" s="2"/>
      <c r="D262" s="70"/>
      <c r="E262" s="70"/>
      <c r="F262" s="70"/>
    </row>
    <row r="263" spans="1:6" s="273" customFormat="1" ht="13.8" x14ac:dyDescent="0.25">
      <c r="A263" s="194"/>
      <c r="B263" s="272"/>
      <c r="C263" s="2"/>
      <c r="D263" s="70"/>
      <c r="E263" s="70"/>
      <c r="F263" s="70"/>
    </row>
    <row r="264" spans="1:6" s="273" customFormat="1" ht="13.8" x14ac:dyDescent="0.25">
      <c r="A264" s="194"/>
      <c r="B264" s="272"/>
      <c r="C264" s="2"/>
      <c r="D264" s="70"/>
      <c r="E264" s="70"/>
      <c r="F264" s="70"/>
    </row>
    <row r="265" spans="1:6" s="273" customFormat="1" ht="13.8" x14ac:dyDescent="0.25">
      <c r="A265" s="194"/>
      <c r="B265" s="272"/>
      <c r="C265" s="2"/>
      <c r="D265" s="70"/>
      <c r="E265" s="70"/>
      <c r="F265" s="70"/>
    </row>
    <row r="266" spans="1:6" s="273" customFormat="1" ht="13.8" x14ac:dyDescent="0.25">
      <c r="A266" s="194"/>
      <c r="B266" s="272"/>
      <c r="C266" s="2"/>
      <c r="D266" s="70"/>
      <c r="E266" s="70"/>
      <c r="F266" s="70"/>
    </row>
    <row r="267" spans="1:6" s="273" customFormat="1" ht="13.8" x14ac:dyDescent="0.25">
      <c r="A267" s="194"/>
      <c r="B267" s="272"/>
      <c r="C267" s="2"/>
      <c r="D267" s="70"/>
      <c r="E267" s="70"/>
      <c r="F267" s="70"/>
    </row>
    <row r="268" spans="1:6" s="273" customFormat="1" ht="13.8" x14ac:dyDescent="0.25">
      <c r="A268" s="194"/>
      <c r="B268" s="272"/>
      <c r="C268" s="2"/>
      <c r="D268" s="70"/>
      <c r="E268" s="70"/>
      <c r="F268" s="70"/>
    </row>
    <row r="269" spans="1:6" s="273" customFormat="1" ht="13.8" x14ac:dyDescent="0.25">
      <c r="A269" s="194"/>
      <c r="B269" s="272"/>
      <c r="C269" s="2"/>
      <c r="D269" s="70"/>
      <c r="E269" s="70"/>
      <c r="F269" s="70"/>
    </row>
    <row r="270" spans="1:6" s="273" customFormat="1" ht="13.8" x14ac:dyDescent="0.25">
      <c r="A270" s="194"/>
      <c r="B270" s="272"/>
      <c r="C270" s="2"/>
      <c r="D270" s="70"/>
      <c r="E270" s="70"/>
      <c r="F270" s="70"/>
    </row>
    <row r="271" spans="1:6" s="273" customFormat="1" ht="13.8" x14ac:dyDescent="0.25">
      <c r="A271" s="194"/>
      <c r="B271" s="272"/>
      <c r="C271" s="2"/>
      <c r="D271" s="70"/>
      <c r="E271" s="70"/>
      <c r="F271" s="70"/>
    </row>
    <row r="272" spans="1:6" s="273" customFormat="1" ht="13.8" x14ac:dyDescent="0.25">
      <c r="A272" s="194"/>
      <c r="B272" s="272"/>
      <c r="C272" s="2"/>
      <c r="D272" s="70"/>
      <c r="E272" s="70"/>
      <c r="F272" s="70"/>
    </row>
    <row r="273" spans="1:6" s="273" customFormat="1" ht="13.8" x14ac:dyDescent="0.25">
      <c r="A273" s="194"/>
      <c r="B273" s="272"/>
      <c r="C273" s="2"/>
      <c r="D273" s="70"/>
      <c r="E273" s="70"/>
      <c r="F273" s="70"/>
    </row>
    <row r="274" spans="1:6" s="273" customFormat="1" ht="13.8" x14ac:dyDescent="0.25">
      <c r="A274" s="194"/>
      <c r="B274" s="272"/>
      <c r="C274" s="2"/>
      <c r="D274" s="70"/>
      <c r="E274" s="70"/>
      <c r="F274" s="70"/>
    </row>
    <row r="275" spans="1:6" s="273" customFormat="1" ht="13.8" x14ac:dyDescent="0.25">
      <c r="A275" s="194"/>
      <c r="B275" s="272"/>
      <c r="C275" s="2"/>
      <c r="D275" s="70"/>
      <c r="E275" s="70"/>
      <c r="F275" s="70"/>
    </row>
    <row r="276" spans="1:6" s="273" customFormat="1" ht="13.8" x14ac:dyDescent="0.25">
      <c r="A276" s="194"/>
      <c r="B276" s="272"/>
      <c r="C276" s="2"/>
      <c r="D276" s="70"/>
      <c r="E276" s="70"/>
      <c r="F276" s="70"/>
    </row>
    <row r="277" spans="1:6" s="273" customFormat="1" ht="13.8" x14ac:dyDescent="0.25">
      <c r="A277" s="194"/>
      <c r="B277" s="272"/>
      <c r="C277" s="2"/>
      <c r="D277" s="70"/>
      <c r="E277" s="70"/>
      <c r="F277" s="70"/>
    </row>
    <row r="278" spans="1:6" s="273" customFormat="1" ht="13.8" x14ac:dyDescent="0.25">
      <c r="A278" s="194"/>
      <c r="B278" s="272"/>
      <c r="C278" s="2"/>
      <c r="D278" s="70"/>
      <c r="E278" s="70"/>
      <c r="F278" s="70"/>
    </row>
    <row r="279" spans="1:6" s="273" customFormat="1" ht="13.8" x14ac:dyDescent="0.25">
      <c r="A279" s="194"/>
      <c r="B279" s="272"/>
      <c r="C279" s="2"/>
      <c r="D279" s="70"/>
      <c r="E279" s="70"/>
      <c r="F279" s="70"/>
    </row>
    <row r="280" spans="1:6" s="273" customFormat="1" ht="13.8" x14ac:dyDescent="0.25">
      <c r="A280" s="194"/>
      <c r="B280" s="272"/>
      <c r="C280" s="2"/>
      <c r="D280" s="70"/>
      <c r="E280" s="70"/>
      <c r="F280" s="70"/>
    </row>
    <row r="281" spans="1:6" s="273" customFormat="1" ht="13.8" x14ac:dyDescent="0.25">
      <c r="A281" s="194"/>
      <c r="B281" s="272"/>
      <c r="C281" s="2"/>
      <c r="D281" s="70"/>
      <c r="E281" s="70"/>
      <c r="F281" s="70"/>
    </row>
    <row r="282" spans="1:6" s="273" customFormat="1" ht="13.8" x14ac:dyDescent="0.25">
      <c r="A282" s="194"/>
      <c r="B282" s="272"/>
      <c r="C282" s="2"/>
      <c r="D282" s="70"/>
      <c r="E282" s="70"/>
      <c r="F282" s="70"/>
    </row>
    <row r="283" spans="1:6" s="273" customFormat="1" ht="13.8" x14ac:dyDescent="0.25">
      <c r="A283" s="194"/>
      <c r="B283" s="272"/>
      <c r="C283" s="2"/>
      <c r="D283" s="70"/>
      <c r="E283" s="70"/>
      <c r="F283" s="70"/>
    </row>
    <row r="284" spans="1:6" s="273" customFormat="1" ht="13.8" x14ac:dyDescent="0.25">
      <c r="A284" s="194"/>
      <c r="B284" s="272"/>
      <c r="C284" s="2"/>
      <c r="D284" s="70"/>
      <c r="E284" s="70"/>
      <c r="F284" s="70"/>
    </row>
    <row r="285" spans="1:6" s="273" customFormat="1" ht="13.8" x14ac:dyDescent="0.25">
      <c r="A285" s="194"/>
      <c r="B285" s="272"/>
      <c r="C285" s="2"/>
      <c r="D285" s="70"/>
      <c r="E285" s="70"/>
      <c r="F285" s="70"/>
    </row>
    <row r="286" spans="1:6" s="273" customFormat="1" ht="13.8" x14ac:dyDescent="0.25">
      <c r="A286" s="194"/>
      <c r="B286" s="272"/>
      <c r="C286" s="2"/>
      <c r="D286" s="70"/>
      <c r="E286" s="70"/>
      <c r="F286" s="70"/>
    </row>
    <row r="287" spans="1:6" s="273" customFormat="1" ht="13.8" x14ac:dyDescent="0.25">
      <c r="A287" s="194"/>
      <c r="B287" s="272"/>
      <c r="C287" s="2"/>
      <c r="D287" s="70"/>
      <c r="E287" s="70"/>
      <c r="F287" s="70"/>
    </row>
    <row r="288" spans="1:6" s="273" customFormat="1" ht="13.8" x14ac:dyDescent="0.25">
      <c r="A288" s="194"/>
      <c r="B288" s="272"/>
      <c r="C288" s="2"/>
      <c r="D288" s="70"/>
      <c r="E288" s="70"/>
      <c r="F288" s="70"/>
    </row>
    <row r="289" spans="1:6" s="273" customFormat="1" ht="13.8" x14ac:dyDescent="0.25">
      <c r="A289" s="194"/>
      <c r="B289" s="272"/>
      <c r="C289" s="2"/>
      <c r="D289" s="70"/>
      <c r="E289" s="70"/>
      <c r="F289" s="70"/>
    </row>
    <row r="290" spans="1:6" s="273" customFormat="1" ht="13.8" x14ac:dyDescent="0.25">
      <c r="A290" s="194"/>
      <c r="B290" s="272"/>
      <c r="C290" s="2"/>
      <c r="D290" s="70"/>
      <c r="E290" s="70"/>
      <c r="F290" s="70"/>
    </row>
    <row r="291" spans="1:6" s="273" customFormat="1" ht="13.8" x14ac:dyDescent="0.25">
      <c r="A291" s="194"/>
      <c r="B291" s="272"/>
      <c r="C291" s="2"/>
      <c r="D291" s="70"/>
      <c r="E291" s="70"/>
      <c r="F291" s="70"/>
    </row>
    <row r="292" spans="1:6" s="273" customFormat="1" ht="13.8" x14ac:dyDescent="0.25">
      <c r="A292" s="194"/>
      <c r="B292" s="272"/>
      <c r="C292" s="2"/>
      <c r="D292" s="70"/>
      <c r="E292" s="70"/>
      <c r="F292" s="70"/>
    </row>
    <row r="293" spans="1:6" s="273" customFormat="1" ht="13.8" x14ac:dyDescent="0.25">
      <c r="A293" s="194"/>
      <c r="B293" s="272"/>
      <c r="C293" s="2"/>
      <c r="D293" s="70"/>
      <c r="E293" s="70"/>
      <c r="F293" s="70"/>
    </row>
    <row r="294" spans="1:6" s="273" customFormat="1" ht="13.8" x14ac:dyDescent="0.25">
      <c r="A294" s="194"/>
      <c r="B294" s="272"/>
      <c r="C294" s="2"/>
      <c r="D294" s="70"/>
      <c r="E294" s="70"/>
      <c r="F294" s="70"/>
    </row>
    <row r="295" spans="1:6" s="273" customFormat="1" ht="13.8" x14ac:dyDescent="0.25">
      <c r="A295" s="194"/>
      <c r="B295" s="272"/>
      <c r="C295" s="2"/>
      <c r="D295" s="70"/>
      <c r="E295" s="70"/>
      <c r="F295" s="70"/>
    </row>
    <row r="296" spans="1:6" s="273" customFormat="1" ht="13.8" x14ac:dyDescent="0.25">
      <c r="A296" s="194"/>
      <c r="B296" s="272"/>
      <c r="C296" s="2"/>
      <c r="D296" s="70"/>
      <c r="E296" s="70"/>
      <c r="F296" s="70"/>
    </row>
    <row r="297" spans="1:6" s="273" customFormat="1" ht="13.8" x14ac:dyDescent="0.25">
      <c r="A297" s="194"/>
      <c r="B297" s="272"/>
      <c r="C297" s="2"/>
      <c r="D297" s="70"/>
      <c r="E297" s="70"/>
      <c r="F297" s="70"/>
    </row>
    <row r="298" spans="1:6" s="273" customFormat="1" ht="13.8" x14ac:dyDescent="0.25">
      <c r="A298" s="194"/>
      <c r="B298" s="272"/>
      <c r="C298" s="2"/>
      <c r="D298" s="70"/>
      <c r="E298" s="70"/>
      <c r="F298" s="70"/>
    </row>
    <row r="299" spans="1:6" s="273" customFormat="1" ht="13.8" x14ac:dyDescent="0.25">
      <c r="A299" s="194"/>
      <c r="B299" s="272"/>
      <c r="C299" s="2"/>
      <c r="D299" s="70"/>
      <c r="E299" s="70"/>
      <c r="F299" s="70"/>
    </row>
    <row r="300" spans="1:6" s="273" customFormat="1" ht="13.8" x14ac:dyDescent="0.25">
      <c r="A300" s="194"/>
      <c r="B300" s="272"/>
      <c r="C300" s="2"/>
      <c r="D300" s="70"/>
      <c r="E300" s="70"/>
      <c r="F300" s="70"/>
    </row>
    <row r="301" spans="1:6" s="273" customFormat="1" ht="13.8" x14ac:dyDescent="0.25">
      <c r="A301" s="194"/>
      <c r="B301" s="272"/>
      <c r="C301" s="2"/>
      <c r="D301" s="70"/>
      <c r="E301" s="70"/>
      <c r="F301" s="70"/>
    </row>
    <row r="302" spans="1:6" s="273" customFormat="1" ht="13.8" x14ac:dyDescent="0.25">
      <c r="A302" s="194"/>
      <c r="B302" s="272"/>
      <c r="C302" s="2"/>
      <c r="D302" s="70"/>
      <c r="E302" s="70"/>
      <c r="F302" s="70"/>
    </row>
    <row r="303" spans="1:6" s="273" customFormat="1" ht="13.8" x14ac:dyDescent="0.25">
      <c r="A303" s="194"/>
      <c r="B303" s="272"/>
      <c r="C303" s="2"/>
      <c r="D303" s="70"/>
      <c r="E303" s="70"/>
      <c r="F303" s="70"/>
    </row>
    <row r="304" spans="1:6" s="273" customFormat="1" ht="13.8" x14ac:dyDescent="0.25">
      <c r="A304" s="194"/>
      <c r="B304" s="272"/>
      <c r="C304" s="2"/>
      <c r="D304" s="70"/>
      <c r="E304" s="70"/>
      <c r="F304" s="70"/>
    </row>
    <row r="305" spans="1:6" s="273" customFormat="1" ht="13.8" x14ac:dyDescent="0.25">
      <c r="A305" s="194"/>
      <c r="B305" s="272"/>
      <c r="C305" s="2"/>
      <c r="D305" s="70"/>
      <c r="E305" s="70"/>
      <c r="F305" s="70"/>
    </row>
    <row r="306" spans="1:6" s="273" customFormat="1" ht="13.8" x14ac:dyDescent="0.25">
      <c r="A306" s="194"/>
      <c r="B306" s="272"/>
      <c r="C306" s="2"/>
      <c r="D306" s="70"/>
      <c r="E306" s="70"/>
      <c r="F306" s="70"/>
    </row>
    <row r="307" spans="1:6" s="273" customFormat="1" ht="13.8" x14ac:dyDescent="0.25">
      <c r="A307" s="194"/>
      <c r="B307" s="272"/>
      <c r="C307" s="2"/>
      <c r="D307" s="70"/>
      <c r="E307" s="70"/>
      <c r="F307" s="70"/>
    </row>
    <row r="308" spans="1:6" s="273" customFormat="1" ht="13.8" x14ac:dyDescent="0.25">
      <c r="A308" s="194"/>
      <c r="B308" s="272"/>
      <c r="C308" s="2"/>
      <c r="D308" s="70"/>
      <c r="E308" s="70"/>
      <c r="F308" s="70"/>
    </row>
    <row r="309" spans="1:6" s="273" customFormat="1" ht="13.8" x14ac:dyDescent="0.25">
      <c r="A309" s="194"/>
      <c r="B309" s="272"/>
      <c r="C309" s="2"/>
      <c r="D309" s="70"/>
      <c r="E309" s="70"/>
      <c r="F309" s="70"/>
    </row>
    <row r="310" spans="1:6" s="273" customFormat="1" ht="13.8" x14ac:dyDescent="0.25">
      <c r="A310" s="194"/>
      <c r="B310" s="272"/>
      <c r="C310" s="2"/>
      <c r="D310" s="70"/>
      <c r="E310" s="70"/>
      <c r="F310" s="70"/>
    </row>
    <row r="311" spans="1:6" s="273" customFormat="1" ht="13.8" x14ac:dyDescent="0.25">
      <c r="A311" s="194"/>
      <c r="B311" s="272"/>
      <c r="C311" s="2"/>
      <c r="D311" s="70"/>
      <c r="E311" s="70"/>
      <c r="F311" s="70"/>
    </row>
    <row r="312" spans="1:6" s="273" customFormat="1" ht="13.8" x14ac:dyDescent="0.25">
      <c r="A312" s="194"/>
      <c r="B312" s="272"/>
      <c r="C312" s="2"/>
      <c r="D312" s="70"/>
      <c r="E312" s="70"/>
      <c r="F312" s="70"/>
    </row>
    <row r="313" spans="1:6" s="273" customFormat="1" ht="13.8" x14ac:dyDescent="0.25">
      <c r="A313" s="194"/>
      <c r="B313" s="272"/>
      <c r="C313" s="2"/>
      <c r="D313" s="70"/>
      <c r="E313" s="70"/>
      <c r="F313" s="70"/>
    </row>
    <row r="314" spans="1:6" s="273" customFormat="1" ht="13.8" x14ac:dyDescent="0.25">
      <c r="A314" s="194"/>
      <c r="B314" s="272"/>
      <c r="C314" s="2"/>
      <c r="D314" s="70"/>
      <c r="E314" s="70"/>
      <c r="F314" s="70"/>
    </row>
    <row r="315" spans="1:6" s="273" customFormat="1" ht="13.8" x14ac:dyDescent="0.25">
      <c r="A315" s="194"/>
      <c r="B315" s="272"/>
      <c r="C315" s="2"/>
      <c r="D315" s="70"/>
      <c r="E315" s="70"/>
      <c r="F315" s="70"/>
    </row>
    <row r="316" spans="1:6" s="273" customFormat="1" ht="13.8" x14ac:dyDescent="0.25">
      <c r="A316" s="194"/>
      <c r="B316" s="272"/>
      <c r="C316" s="2"/>
      <c r="D316" s="70"/>
      <c r="E316" s="70"/>
      <c r="F316" s="70"/>
    </row>
    <row r="317" spans="1:6" s="273" customFormat="1" ht="13.8" x14ac:dyDescent="0.25">
      <c r="A317" s="194"/>
      <c r="B317" s="272"/>
      <c r="C317" s="2"/>
      <c r="D317" s="70"/>
      <c r="E317" s="70"/>
      <c r="F317" s="70"/>
    </row>
    <row r="318" spans="1:6" s="273" customFormat="1" ht="13.8" x14ac:dyDescent="0.25">
      <c r="A318" s="194"/>
      <c r="B318" s="272"/>
      <c r="C318" s="2"/>
      <c r="D318" s="70"/>
      <c r="E318" s="70"/>
      <c r="F318" s="70"/>
    </row>
    <row r="319" spans="1:6" s="273" customFormat="1" ht="13.8" x14ac:dyDescent="0.25">
      <c r="A319" s="194"/>
      <c r="B319" s="272"/>
      <c r="C319" s="2"/>
      <c r="D319" s="70"/>
      <c r="E319" s="70"/>
      <c r="F319" s="70"/>
    </row>
    <row r="320" spans="1:6" s="273" customFormat="1" ht="13.8" x14ac:dyDescent="0.25">
      <c r="A320" s="194"/>
      <c r="B320" s="272"/>
      <c r="C320" s="2"/>
      <c r="D320" s="70"/>
      <c r="E320" s="70"/>
      <c r="F320" s="70"/>
    </row>
    <row r="321" spans="1:6" s="273" customFormat="1" ht="13.8" x14ac:dyDescent="0.25">
      <c r="A321" s="194"/>
      <c r="B321" s="272"/>
      <c r="C321" s="2"/>
      <c r="D321" s="70"/>
      <c r="E321" s="70"/>
      <c r="F321" s="70"/>
    </row>
    <row r="322" spans="1:6" s="273" customFormat="1" ht="13.8" x14ac:dyDescent="0.25">
      <c r="A322" s="194"/>
      <c r="B322" s="272"/>
      <c r="C322" s="2"/>
      <c r="D322" s="70"/>
      <c r="E322" s="70"/>
      <c r="F322" s="70"/>
    </row>
    <row r="323" spans="1:6" s="273" customFormat="1" ht="13.8" x14ac:dyDescent="0.25">
      <c r="A323" s="194"/>
      <c r="B323" s="272"/>
      <c r="C323" s="2"/>
      <c r="D323" s="70"/>
      <c r="E323" s="70"/>
      <c r="F323" s="70"/>
    </row>
    <row r="324" spans="1:6" s="273" customFormat="1" ht="13.8" x14ac:dyDescent="0.25">
      <c r="A324" s="194"/>
      <c r="B324" s="272"/>
      <c r="C324" s="2"/>
      <c r="D324" s="70"/>
      <c r="E324" s="70"/>
      <c r="F324" s="70"/>
    </row>
    <row r="325" spans="1:6" s="273" customFormat="1" ht="13.8" x14ac:dyDescent="0.25">
      <c r="A325" s="194"/>
      <c r="B325" s="272"/>
      <c r="C325" s="2"/>
      <c r="D325" s="70"/>
      <c r="E325" s="70"/>
      <c r="F325" s="70"/>
    </row>
    <row r="326" spans="1:6" s="273" customFormat="1" ht="13.8" x14ac:dyDescent="0.25">
      <c r="A326" s="194"/>
      <c r="B326" s="272"/>
      <c r="C326" s="2"/>
      <c r="D326" s="70"/>
      <c r="E326" s="70"/>
      <c r="F326" s="70"/>
    </row>
    <row r="327" spans="1:6" s="273" customFormat="1" ht="13.8" x14ac:dyDescent="0.25">
      <c r="A327" s="194"/>
      <c r="B327" s="272"/>
      <c r="C327" s="2"/>
      <c r="D327" s="70"/>
      <c r="E327" s="70"/>
      <c r="F327" s="70"/>
    </row>
    <row r="328" spans="1:6" s="273" customFormat="1" ht="13.8" x14ac:dyDescent="0.25">
      <c r="A328" s="194"/>
      <c r="B328" s="272"/>
      <c r="C328" s="2"/>
      <c r="D328" s="70"/>
      <c r="E328" s="70"/>
      <c r="F328" s="70"/>
    </row>
    <row r="329" spans="1:6" s="273" customFormat="1" ht="13.8" x14ac:dyDescent="0.25">
      <c r="A329" s="194"/>
      <c r="B329" s="272"/>
      <c r="C329" s="2"/>
      <c r="D329" s="70"/>
      <c r="E329" s="70"/>
      <c r="F329" s="70"/>
    </row>
    <row r="330" spans="1:6" s="273" customFormat="1" ht="13.8" x14ac:dyDescent="0.25">
      <c r="A330" s="194"/>
      <c r="B330" s="272"/>
      <c r="C330" s="2"/>
      <c r="D330" s="70"/>
      <c r="E330" s="70"/>
      <c r="F330" s="70"/>
    </row>
    <row r="331" spans="1:6" s="273" customFormat="1" ht="13.8" x14ac:dyDescent="0.25">
      <c r="A331" s="194"/>
      <c r="B331" s="272"/>
      <c r="C331" s="2"/>
      <c r="D331" s="70"/>
      <c r="E331" s="70"/>
      <c r="F331" s="70"/>
    </row>
    <row r="332" spans="1:6" s="273" customFormat="1" ht="13.8" x14ac:dyDescent="0.25">
      <c r="A332" s="194"/>
      <c r="B332" s="272"/>
      <c r="C332" s="2"/>
      <c r="D332" s="70"/>
      <c r="E332" s="70"/>
      <c r="F332" s="70"/>
    </row>
    <row r="333" spans="1:6" s="273" customFormat="1" ht="13.8" x14ac:dyDescent="0.25">
      <c r="A333" s="194"/>
      <c r="B333" s="272"/>
      <c r="C333" s="2"/>
      <c r="D333" s="70"/>
      <c r="E333" s="70"/>
      <c r="F333" s="70"/>
    </row>
    <row r="334" spans="1:6" s="273" customFormat="1" ht="13.8" x14ac:dyDescent="0.25">
      <c r="A334" s="194"/>
      <c r="B334" s="272"/>
      <c r="C334" s="2"/>
      <c r="D334" s="70"/>
      <c r="E334" s="70"/>
      <c r="F334" s="70"/>
    </row>
    <row r="335" spans="1:6" s="273" customFormat="1" ht="13.8" x14ac:dyDescent="0.25">
      <c r="A335" s="194"/>
      <c r="B335" s="272"/>
      <c r="C335" s="2"/>
      <c r="D335" s="70"/>
      <c r="E335" s="70"/>
      <c r="F335" s="70"/>
    </row>
    <row r="336" spans="1:6" s="273" customFormat="1" ht="13.8" x14ac:dyDescent="0.25">
      <c r="A336" s="194"/>
      <c r="B336" s="272"/>
      <c r="C336" s="2"/>
      <c r="D336" s="70"/>
      <c r="E336" s="70"/>
      <c r="F336" s="70"/>
    </row>
    <row r="337" spans="1:6" s="273" customFormat="1" ht="13.8" x14ac:dyDescent="0.25">
      <c r="A337" s="194"/>
      <c r="B337" s="272"/>
      <c r="C337" s="2"/>
      <c r="D337" s="70"/>
      <c r="E337" s="70"/>
      <c r="F337" s="70"/>
    </row>
    <row r="338" spans="1:6" s="273" customFormat="1" ht="13.8" x14ac:dyDescent="0.25">
      <c r="A338" s="194"/>
      <c r="B338" s="272"/>
      <c r="C338" s="2"/>
      <c r="D338" s="70"/>
      <c r="E338" s="70"/>
      <c r="F338" s="70"/>
    </row>
    <row r="339" spans="1:6" s="273" customFormat="1" ht="13.8" x14ac:dyDescent="0.25">
      <c r="A339" s="194"/>
      <c r="B339" s="272"/>
      <c r="C339" s="2"/>
      <c r="D339" s="70"/>
      <c r="E339" s="70"/>
      <c r="F339" s="70"/>
    </row>
    <row r="340" spans="1:6" s="273" customFormat="1" ht="13.8" x14ac:dyDescent="0.25">
      <c r="A340" s="194"/>
      <c r="B340" s="272"/>
      <c r="C340" s="2"/>
      <c r="D340" s="70"/>
      <c r="E340" s="70"/>
      <c r="F340" s="70"/>
    </row>
    <row r="341" spans="1:6" s="273" customFormat="1" ht="13.8" x14ac:dyDescent="0.25">
      <c r="A341" s="194"/>
      <c r="B341" s="272"/>
      <c r="C341" s="2"/>
      <c r="D341" s="70"/>
      <c r="E341" s="70"/>
      <c r="F341" s="70"/>
    </row>
    <row r="342" spans="1:6" s="273" customFormat="1" ht="13.8" x14ac:dyDescent="0.25">
      <c r="A342" s="194"/>
      <c r="B342" s="272"/>
      <c r="C342" s="2"/>
      <c r="D342" s="70"/>
      <c r="E342" s="70"/>
      <c r="F342" s="70"/>
    </row>
    <row r="343" spans="1:6" s="273" customFormat="1" ht="13.8" x14ac:dyDescent="0.25">
      <c r="A343" s="194"/>
      <c r="B343" s="272"/>
      <c r="C343" s="2"/>
      <c r="D343" s="70"/>
      <c r="E343" s="70"/>
      <c r="F343" s="70"/>
    </row>
    <row r="344" spans="1:6" s="273" customFormat="1" ht="13.8" x14ac:dyDescent="0.25">
      <c r="A344" s="194"/>
      <c r="B344" s="272"/>
      <c r="C344" s="2"/>
      <c r="D344" s="70"/>
      <c r="E344" s="70"/>
      <c r="F344" s="70"/>
    </row>
    <row r="345" spans="1:6" s="273" customFormat="1" ht="13.8" x14ac:dyDescent="0.25">
      <c r="A345" s="194"/>
      <c r="B345" s="272"/>
      <c r="C345" s="2"/>
      <c r="D345" s="70"/>
      <c r="E345" s="70"/>
      <c r="F345" s="70"/>
    </row>
    <row r="346" spans="1:6" s="273" customFormat="1" ht="13.8" x14ac:dyDescent="0.25">
      <c r="A346" s="194"/>
      <c r="B346" s="272"/>
      <c r="C346" s="2"/>
      <c r="D346" s="70"/>
      <c r="E346" s="70"/>
      <c r="F346" s="70"/>
    </row>
    <row r="347" spans="1:6" s="273" customFormat="1" ht="13.8" x14ac:dyDescent="0.25">
      <c r="A347" s="194"/>
      <c r="B347" s="272"/>
      <c r="C347" s="2"/>
      <c r="D347" s="70"/>
      <c r="E347" s="70"/>
      <c r="F347" s="70"/>
    </row>
    <row r="348" spans="1:6" s="273" customFormat="1" ht="13.8" x14ac:dyDescent="0.25">
      <c r="A348" s="194"/>
      <c r="B348" s="272"/>
      <c r="C348" s="2"/>
      <c r="D348" s="70"/>
      <c r="E348" s="70"/>
      <c r="F348" s="70"/>
    </row>
    <row r="349" spans="1:6" s="273" customFormat="1" ht="13.8" x14ac:dyDescent="0.25">
      <c r="A349" s="194"/>
      <c r="B349" s="272"/>
      <c r="C349" s="2"/>
      <c r="D349" s="70"/>
      <c r="E349" s="70"/>
      <c r="F349" s="70"/>
    </row>
    <row r="350" spans="1:6" s="273" customFormat="1" ht="13.8" x14ac:dyDescent="0.25">
      <c r="A350" s="194"/>
      <c r="B350" s="272"/>
      <c r="C350" s="2"/>
      <c r="D350" s="70"/>
      <c r="E350" s="70"/>
      <c r="F350" s="70"/>
    </row>
    <row r="351" spans="1:6" s="273" customFormat="1" ht="13.8" x14ac:dyDescent="0.25">
      <c r="A351" s="194"/>
      <c r="B351" s="272"/>
      <c r="C351" s="2"/>
      <c r="D351" s="70"/>
      <c r="E351" s="70"/>
      <c r="F351" s="70"/>
    </row>
    <row r="352" spans="1:6" s="273" customFormat="1" ht="13.8" x14ac:dyDescent="0.25">
      <c r="A352" s="194"/>
      <c r="B352" s="272"/>
      <c r="C352" s="2"/>
      <c r="D352" s="70"/>
      <c r="E352" s="70"/>
      <c r="F352" s="70"/>
    </row>
    <row r="353" spans="1:6" s="273" customFormat="1" ht="13.8" x14ac:dyDescent="0.25">
      <c r="A353" s="194"/>
      <c r="B353" s="272"/>
      <c r="C353" s="2"/>
      <c r="D353" s="70"/>
      <c r="E353" s="70"/>
      <c r="F353" s="70"/>
    </row>
    <row r="354" spans="1:6" s="273" customFormat="1" ht="13.8" x14ac:dyDescent="0.25">
      <c r="A354" s="194"/>
      <c r="B354" s="272"/>
      <c r="C354" s="2"/>
      <c r="D354" s="70"/>
      <c r="E354" s="70"/>
      <c r="F354" s="70"/>
    </row>
    <row r="355" spans="1:6" s="273" customFormat="1" ht="13.8" x14ac:dyDescent="0.25">
      <c r="A355" s="194"/>
      <c r="B355" s="272"/>
      <c r="C355" s="2"/>
      <c r="D355" s="70"/>
      <c r="E355" s="70"/>
      <c r="F355" s="70"/>
    </row>
    <row r="356" spans="1:6" s="273" customFormat="1" ht="13.8" x14ac:dyDescent="0.25">
      <c r="A356" s="194"/>
      <c r="B356" s="272"/>
      <c r="C356" s="2"/>
      <c r="D356" s="70"/>
      <c r="E356" s="70"/>
      <c r="F356" s="70"/>
    </row>
    <row r="357" spans="1:6" s="273" customFormat="1" ht="13.8" x14ac:dyDescent="0.25">
      <c r="A357" s="194"/>
      <c r="B357" s="272"/>
      <c r="C357" s="2"/>
      <c r="D357" s="70"/>
      <c r="E357" s="70"/>
      <c r="F357" s="70"/>
    </row>
    <row r="358" spans="1:6" s="273" customFormat="1" ht="13.8" x14ac:dyDescent="0.25">
      <c r="A358" s="194"/>
      <c r="B358" s="272"/>
      <c r="C358" s="2"/>
      <c r="D358" s="70"/>
      <c r="E358" s="70"/>
      <c r="F358" s="70"/>
    </row>
    <row r="359" spans="1:6" s="273" customFormat="1" ht="13.8" x14ac:dyDescent="0.25">
      <c r="A359" s="194"/>
      <c r="B359" s="272"/>
      <c r="C359" s="2"/>
      <c r="D359" s="70"/>
      <c r="E359" s="70"/>
      <c r="F359" s="70"/>
    </row>
    <row r="360" spans="1:6" s="273" customFormat="1" ht="13.8" x14ac:dyDescent="0.25">
      <c r="A360" s="194"/>
      <c r="B360" s="272"/>
      <c r="C360" s="2"/>
      <c r="D360" s="70"/>
      <c r="E360" s="70"/>
      <c r="F360" s="70"/>
    </row>
    <row r="361" spans="1:6" s="273" customFormat="1" ht="13.8" x14ac:dyDescent="0.25">
      <c r="A361" s="194"/>
      <c r="B361" s="272"/>
      <c r="C361" s="2"/>
      <c r="D361" s="70"/>
      <c r="E361" s="70"/>
      <c r="F361" s="70"/>
    </row>
    <row r="362" spans="1:6" s="273" customFormat="1" ht="13.8" x14ac:dyDescent="0.25">
      <c r="A362" s="194"/>
      <c r="B362" s="272"/>
      <c r="C362" s="2"/>
      <c r="D362" s="70"/>
      <c r="E362" s="70"/>
      <c r="F362" s="70"/>
    </row>
    <row r="363" spans="1:6" s="273" customFormat="1" ht="13.8" x14ac:dyDescent="0.25">
      <c r="A363" s="194"/>
      <c r="B363" s="272"/>
      <c r="C363" s="2"/>
      <c r="D363" s="70"/>
      <c r="E363" s="70"/>
      <c r="F363" s="70"/>
    </row>
    <row r="364" spans="1:6" s="273" customFormat="1" ht="13.8" x14ac:dyDescent="0.25">
      <c r="A364" s="194"/>
      <c r="B364" s="272"/>
      <c r="C364" s="2"/>
      <c r="D364" s="70"/>
      <c r="E364" s="70"/>
      <c r="F364" s="70"/>
    </row>
    <row r="365" spans="1:6" s="273" customFormat="1" ht="13.8" x14ac:dyDescent="0.25">
      <c r="A365" s="194"/>
      <c r="B365" s="272"/>
      <c r="C365" s="2"/>
      <c r="D365" s="70"/>
      <c r="E365" s="70"/>
      <c r="F365" s="70"/>
    </row>
    <row r="366" spans="1:6" s="273" customFormat="1" ht="13.8" x14ac:dyDescent="0.25">
      <c r="A366" s="194"/>
      <c r="B366" s="272"/>
      <c r="C366" s="2"/>
      <c r="D366" s="70"/>
      <c r="E366" s="70"/>
      <c r="F366" s="70"/>
    </row>
    <row r="367" spans="1:6" s="273" customFormat="1" ht="13.8" x14ac:dyDescent="0.25">
      <c r="A367" s="194"/>
      <c r="B367" s="272"/>
      <c r="C367" s="2"/>
      <c r="D367" s="70"/>
      <c r="E367" s="70"/>
      <c r="F367" s="70"/>
    </row>
    <row r="368" spans="1:6" s="273" customFormat="1" ht="13.8" x14ac:dyDescent="0.25">
      <c r="A368" s="194"/>
      <c r="B368" s="272"/>
      <c r="C368" s="2"/>
      <c r="D368" s="70"/>
      <c r="E368" s="70"/>
      <c r="F368" s="70"/>
    </row>
    <row r="369" spans="1:6" s="273" customFormat="1" ht="13.8" x14ac:dyDescent="0.25">
      <c r="A369" s="194"/>
      <c r="B369" s="272"/>
      <c r="C369" s="2"/>
      <c r="D369" s="70"/>
      <c r="E369" s="70"/>
      <c r="F369" s="70"/>
    </row>
    <row r="370" spans="1:6" s="273" customFormat="1" ht="13.8" x14ac:dyDescent="0.25">
      <c r="A370" s="194"/>
      <c r="B370" s="272"/>
      <c r="C370" s="2"/>
      <c r="D370" s="70"/>
      <c r="E370" s="70"/>
      <c r="F370" s="70"/>
    </row>
    <row r="371" spans="1:6" s="273" customFormat="1" ht="13.8" x14ac:dyDescent="0.25">
      <c r="A371" s="194"/>
      <c r="B371" s="272"/>
      <c r="C371" s="2"/>
      <c r="D371" s="70"/>
      <c r="E371" s="70"/>
      <c r="F371" s="70"/>
    </row>
    <row r="372" spans="1:6" s="273" customFormat="1" ht="13.8" x14ac:dyDescent="0.25">
      <c r="A372" s="194"/>
      <c r="B372" s="272"/>
      <c r="C372" s="2"/>
      <c r="D372" s="70"/>
      <c r="E372" s="70"/>
      <c r="F372" s="70"/>
    </row>
    <row r="373" spans="1:6" s="273" customFormat="1" ht="13.8" x14ac:dyDescent="0.25">
      <c r="A373" s="194"/>
      <c r="B373" s="272"/>
      <c r="C373" s="2"/>
      <c r="D373" s="70"/>
      <c r="E373" s="70"/>
      <c r="F373" s="70"/>
    </row>
    <row r="374" spans="1:6" s="273" customFormat="1" ht="13.8" x14ac:dyDescent="0.25">
      <c r="A374" s="194"/>
      <c r="B374" s="272"/>
      <c r="C374" s="2"/>
      <c r="D374" s="70"/>
      <c r="E374" s="70"/>
      <c r="F374" s="70"/>
    </row>
    <row r="375" spans="1:6" s="273" customFormat="1" ht="13.8" x14ac:dyDescent="0.25">
      <c r="A375" s="194"/>
      <c r="B375" s="272"/>
      <c r="C375" s="2"/>
      <c r="D375" s="70"/>
      <c r="E375" s="70"/>
      <c r="F375" s="70"/>
    </row>
    <row r="376" spans="1:6" s="273" customFormat="1" ht="13.8" x14ac:dyDescent="0.25">
      <c r="A376" s="194"/>
      <c r="B376" s="272"/>
      <c r="C376" s="2"/>
      <c r="D376" s="70"/>
      <c r="E376" s="70"/>
      <c r="F376" s="70"/>
    </row>
    <row r="377" spans="1:6" s="273" customFormat="1" ht="13.8" x14ac:dyDescent="0.25">
      <c r="A377" s="194"/>
      <c r="B377" s="272"/>
      <c r="C377" s="2"/>
      <c r="D377" s="70"/>
      <c r="E377" s="70"/>
      <c r="F377" s="70"/>
    </row>
    <row r="378" spans="1:6" s="273" customFormat="1" ht="13.8" x14ac:dyDescent="0.25">
      <c r="A378" s="194"/>
      <c r="B378" s="272"/>
      <c r="C378" s="2"/>
      <c r="D378" s="70"/>
      <c r="E378" s="70"/>
      <c r="F378" s="70"/>
    </row>
    <row r="379" spans="1:6" s="273" customFormat="1" ht="13.8" x14ac:dyDescent="0.25">
      <c r="A379" s="194"/>
      <c r="B379" s="272"/>
      <c r="C379" s="2"/>
      <c r="D379" s="70"/>
      <c r="E379" s="70"/>
      <c r="F379" s="70"/>
    </row>
    <row r="380" spans="1:6" s="273" customFormat="1" ht="13.8" x14ac:dyDescent="0.25">
      <c r="A380" s="194"/>
      <c r="B380" s="272"/>
      <c r="C380" s="2"/>
      <c r="D380" s="70"/>
      <c r="E380" s="70"/>
      <c r="F380" s="70"/>
    </row>
    <row r="381" spans="1:6" s="273" customFormat="1" ht="13.8" x14ac:dyDescent="0.25">
      <c r="A381" s="194"/>
      <c r="B381" s="272"/>
      <c r="C381" s="2"/>
      <c r="D381" s="70"/>
      <c r="E381" s="70"/>
      <c r="F381" s="70"/>
    </row>
    <row r="382" spans="1:6" s="273" customFormat="1" ht="13.8" x14ac:dyDescent="0.25">
      <c r="A382" s="194"/>
      <c r="B382" s="272"/>
      <c r="C382" s="2"/>
      <c r="D382" s="70"/>
      <c r="E382" s="70"/>
      <c r="F382" s="70"/>
    </row>
    <row r="383" spans="1:6" s="273" customFormat="1" ht="13.8" x14ac:dyDescent="0.25">
      <c r="A383" s="194"/>
      <c r="B383" s="272"/>
      <c r="C383" s="2"/>
      <c r="D383" s="70"/>
      <c r="E383" s="70"/>
      <c r="F383" s="70"/>
    </row>
    <row r="384" spans="1:6" s="273" customFormat="1" ht="13.8" x14ac:dyDescent="0.25">
      <c r="A384" s="194"/>
      <c r="B384" s="272"/>
      <c r="C384" s="2"/>
      <c r="D384" s="70"/>
      <c r="E384" s="70"/>
      <c r="F384" s="70"/>
    </row>
    <row r="385" spans="1:6" s="273" customFormat="1" ht="13.8" x14ac:dyDescent="0.25">
      <c r="A385" s="194"/>
      <c r="B385" s="272"/>
      <c r="C385" s="2"/>
      <c r="D385" s="70"/>
      <c r="E385" s="70"/>
      <c r="F385" s="70"/>
    </row>
    <row r="386" spans="1:6" s="273" customFormat="1" ht="13.8" x14ac:dyDescent="0.25">
      <c r="A386" s="194"/>
      <c r="B386" s="272"/>
      <c r="C386" s="2"/>
      <c r="D386" s="70"/>
      <c r="E386" s="70"/>
      <c r="F386" s="70"/>
    </row>
    <row r="387" spans="1:6" s="273" customFormat="1" ht="13.8" x14ac:dyDescent="0.25">
      <c r="A387" s="194"/>
      <c r="B387" s="272"/>
      <c r="C387" s="2"/>
      <c r="D387" s="70"/>
      <c r="E387" s="70"/>
      <c r="F387" s="70"/>
    </row>
    <row r="388" spans="1:6" s="273" customFormat="1" ht="13.8" x14ac:dyDescent="0.25">
      <c r="A388" s="194"/>
      <c r="B388" s="272"/>
      <c r="C388" s="2"/>
      <c r="D388" s="70"/>
      <c r="E388" s="70"/>
      <c r="F388" s="70"/>
    </row>
    <row r="389" spans="1:6" s="273" customFormat="1" ht="13.8" x14ac:dyDescent="0.25">
      <c r="A389" s="194"/>
      <c r="B389" s="272"/>
      <c r="C389" s="2"/>
      <c r="D389" s="70"/>
      <c r="E389" s="70"/>
      <c r="F389" s="70"/>
    </row>
    <row r="390" spans="1:6" s="273" customFormat="1" ht="13.8" x14ac:dyDescent="0.25">
      <c r="A390" s="194"/>
      <c r="B390" s="272"/>
      <c r="C390" s="2"/>
      <c r="D390" s="70"/>
      <c r="E390" s="70"/>
      <c r="F390" s="70"/>
    </row>
    <row r="391" spans="1:6" s="273" customFormat="1" ht="13.8" x14ac:dyDescent="0.25">
      <c r="A391" s="194"/>
      <c r="B391" s="272"/>
      <c r="C391" s="2"/>
      <c r="D391" s="70"/>
      <c r="E391" s="70"/>
      <c r="F391" s="70"/>
    </row>
    <row r="392" spans="1:6" s="273" customFormat="1" ht="13.8" x14ac:dyDescent="0.25">
      <c r="A392" s="194"/>
      <c r="B392" s="272"/>
      <c r="C392" s="2"/>
      <c r="D392" s="70"/>
      <c r="E392" s="70"/>
      <c r="F392" s="70"/>
    </row>
    <row r="393" spans="1:6" s="273" customFormat="1" ht="13.8" x14ac:dyDescent="0.25">
      <c r="A393" s="194"/>
      <c r="B393" s="272"/>
      <c r="C393" s="2"/>
      <c r="D393" s="70"/>
      <c r="E393" s="70"/>
      <c r="F393" s="70"/>
    </row>
    <row r="394" spans="1:6" s="273" customFormat="1" ht="13.8" x14ac:dyDescent="0.25">
      <c r="A394" s="194"/>
      <c r="B394" s="272"/>
      <c r="C394" s="2"/>
      <c r="D394" s="70"/>
      <c r="E394" s="70"/>
      <c r="F394" s="70"/>
    </row>
    <row r="395" spans="1:6" s="273" customFormat="1" ht="13.8" x14ac:dyDescent="0.25">
      <c r="A395" s="194"/>
      <c r="B395" s="272"/>
      <c r="C395" s="2"/>
      <c r="D395" s="70"/>
      <c r="E395" s="70"/>
      <c r="F395" s="70"/>
    </row>
    <row r="396" spans="1:6" s="273" customFormat="1" ht="13.8" x14ac:dyDescent="0.25">
      <c r="A396" s="194"/>
      <c r="B396" s="272"/>
      <c r="C396" s="2"/>
      <c r="D396" s="70"/>
      <c r="E396" s="70"/>
      <c r="F396" s="70"/>
    </row>
    <row r="397" spans="1:6" s="273" customFormat="1" ht="13.8" x14ac:dyDescent="0.25">
      <c r="A397" s="194"/>
      <c r="B397" s="272"/>
      <c r="C397" s="2"/>
      <c r="D397" s="70"/>
      <c r="E397" s="70"/>
      <c r="F397" s="70"/>
    </row>
    <row r="398" spans="1:6" s="273" customFormat="1" ht="13.8" x14ac:dyDescent="0.25">
      <c r="A398" s="194"/>
      <c r="B398" s="272"/>
      <c r="C398" s="2"/>
      <c r="D398" s="70"/>
      <c r="E398" s="70"/>
      <c r="F398" s="70"/>
    </row>
    <row r="399" spans="1:6" s="273" customFormat="1" ht="13.8" x14ac:dyDescent="0.25">
      <c r="A399" s="194"/>
      <c r="B399" s="272"/>
      <c r="C399" s="2"/>
      <c r="D399" s="70"/>
      <c r="E399" s="70"/>
      <c r="F399" s="70"/>
    </row>
    <row r="400" spans="1:6" s="273" customFormat="1" ht="13.8" x14ac:dyDescent="0.25">
      <c r="A400" s="194"/>
      <c r="B400" s="272"/>
      <c r="C400" s="2"/>
      <c r="D400" s="70"/>
      <c r="E400" s="70"/>
      <c r="F400" s="70"/>
    </row>
    <row r="401" spans="1:6" s="273" customFormat="1" ht="13.8" x14ac:dyDescent="0.25">
      <c r="A401" s="194"/>
      <c r="B401" s="272"/>
      <c r="C401" s="2"/>
      <c r="D401" s="70"/>
      <c r="E401" s="70"/>
      <c r="F401" s="70"/>
    </row>
    <row r="402" spans="1:6" s="273" customFormat="1" ht="13.8" x14ac:dyDescent="0.25">
      <c r="A402" s="194"/>
      <c r="B402" s="272"/>
      <c r="C402" s="2"/>
      <c r="D402" s="70"/>
      <c r="E402" s="70"/>
      <c r="F402" s="70"/>
    </row>
    <row r="403" spans="1:6" s="273" customFormat="1" ht="13.8" x14ac:dyDescent="0.25">
      <c r="A403" s="194"/>
      <c r="B403" s="272"/>
      <c r="C403" s="2"/>
      <c r="D403" s="70"/>
      <c r="E403" s="70"/>
      <c r="F403" s="70"/>
    </row>
    <row r="404" spans="1:6" s="273" customFormat="1" ht="13.8" x14ac:dyDescent="0.25">
      <c r="A404" s="194"/>
      <c r="B404" s="272"/>
      <c r="C404" s="2"/>
      <c r="D404" s="70"/>
      <c r="E404" s="70"/>
      <c r="F404" s="70"/>
    </row>
    <row r="405" spans="1:6" s="273" customFormat="1" ht="13.8" x14ac:dyDescent="0.25">
      <c r="A405" s="194"/>
      <c r="B405" s="272"/>
      <c r="C405" s="2"/>
      <c r="D405" s="70"/>
      <c r="E405" s="70"/>
      <c r="F405" s="70"/>
    </row>
    <row r="406" spans="1:6" s="273" customFormat="1" ht="13.8" x14ac:dyDescent="0.25">
      <c r="A406" s="194"/>
      <c r="B406" s="272"/>
      <c r="C406" s="2"/>
      <c r="D406" s="70"/>
      <c r="E406" s="70"/>
      <c r="F406" s="70"/>
    </row>
    <row r="407" spans="1:6" s="273" customFormat="1" ht="13.8" x14ac:dyDescent="0.25">
      <c r="A407" s="194"/>
      <c r="B407" s="272"/>
      <c r="C407" s="2"/>
      <c r="D407" s="70"/>
      <c r="E407" s="70"/>
      <c r="F407" s="70"/>
    </row>
    <row r="408" spans="1:6" s="273" customFormat="1" ht="13.8" x14ac:dyDescent="0.25">
      <c r="A408" s="194"/>
      <c r="B408" s="272"/>
      <c r="C408" s="2"/>
      <c r="D408" s="70"/>
      <c r="E408" s="70"/>
      <c r="F408" s="70"/>
    </row>
    <row r="409" spans="1:6" s="273" customFormat="1" ht="13.8" x14ac:dyDescent="0.25">
      <c r="A409" s="194"/>
      <c r="B409" s="272"/>
      <c r="C409" s="2"/>
      <c r="D409" s="70"/>
      <c r="E409" s="70"/>
      <c r="F409" s="70"/>
    </row>
    <row r="410" spans="1:6" s="273" customFormat="1" ht="13.8" x14ac:dyDescent="0.25">
      <c r="A410" s="194"/>
      <c r="B410" s="272"/>
      <c r="C410" s="2"/>
      <c r="D410" s="70"/>
      <c r="E410" s="70"/>
      <c r="F410" s="70"/>
    </row>
    <row r="411" spans="1:6" s="273" customFormat="1" ht="13.8" x14ac:dyDescent="0.25">
      <c r="A411" s="194"/>
      <c r="B411" s="272"/>
      <c r="C411" s="2"/>
      <c r="D411" s="70"/>
      <c r="E411" s="70"/>
      <c r="F411" s="70"/>
    </row>
    <row r="412" spans="1:6" s="273" customFormat="1" ht="13.8" x14ac:dyDescent="0.25">
      <c r="A412" s="194"/>
      <c r="B412" s="272"/>
      <c r="C412" s="2"/>
      <c r="D412" s="70"/>
      <c r="E412" s="70"/>
      <c r="F412" s="70"/>
    </row>
    <row r="413" spans="1:6" s="273" customFormat="1" ht="13.8" x14ac:dyDescent="0.25">
      <c r="A413" s="194"/>
      <c r="B413" s="272"/>
      <c r="C413" s="2"/>
      <c r="D413" s="70"/>
      <c r="E413" s="70"/>
      <c r="F413" s="70"/>
    </row>
    <row r="414" spans="1:6" s="273" customFormat="1" ht="13.8" x14ac:dyDescent="0.25">
      <c r="A414" s="194"/>
      <c r="B414" s="272"/>
      <c r="C414" s="2"/>
      <c r="D414" s="70"/>
      <c r="E414" s="70"/>
      <c r="F414" s="70"/>
    </row>
    <row r="415" spans="1:6" s="273" customFormat="1" ht="13.8" x14ac:dyDescent="0.25">
      <c r="A415" s="194"/>
      <c r="B415" s="272"/>
      <c r="C415" s="2"/>
      <c r="D415" s="70"/>
      <c r="E415" s="70"/>
      <c r="F415" s="70"/>
    </row>
    <row r="416" spans="1:6" s="273" customFormat="1" ht="13.8" x14ac:dyDescent="0.25">
      <c r="A416" s="194"/>
      <c r="B416" s="272"/>
      <c r="C416" s="2"/>
      <c r="D416" s="70"/>
      <c r="E416" s="70"/>
      <c r="F416" s="70"/>
    </row>
    <row r="417" spans="1:6" s="273" customFormat="1" ht="13.8" x14ac:dyDescent="0.25">
      <c r="A417" s="194"/>
      <c r="B417" s="272"/>
      <c r="C417" s="2"/>
      <c r="D417" s="70"/>
      <c r="E417" s="70"/>
      <c r="F417" s="70"/>
    </row>
    <row r="418" spans="1:6" s="273" customFormat="1" ht="13.8" x14ac:dyDescent="0.25">
      <c r="A418" s="194"/>
      <c r="B418" s="272"/>
      <c r="C418" s="2"/>
      <c r="D418" s="70"/>
      <c r="E418" s="70"/>
      <c r="F418" s="70"/>
    </row>
    <row r="419" spans="1:6" s="273" customFormat="1" ht="13.8" x14ac:dyDescent="0.25">
      <c r="A419" s="194"/>
      <c r="B419" s="272"/>
      <c r="C419" s="2"/>
      <c r="D419" s="70"/>
      <c r="E419" s="70"/>
      <c r="F419" s="70"/>
    </row>
    <row r="420" spans="1:6" s="273" customFormat="1" ht="13.8" x14ac:dyDescent="0.25">
      <c r="A420" s="194"/>
      <c r="B420" s="272"/>
      <c r="C420" s="2"/>
      <c r="D420" s="70"/>
      <c r="E420" s="70"/>
      <c r="F420" s="70"/>
    </row>
    <row r="421" spans="1:6" s="273" customFormat="1" ht="13.8" x14ac:dyDescent="0.25">
      <c r="A421" s="194"/>
      <c r="B421" s="272"/>
      <c r="C421" s="2"/>
      <c r="D421" s="70"/>
      <c r="E421" s="70"/>
      <c r="F421" s="70"/>
    </row>
    <row r="422" spans="1:6" s="273" customFormat="1" ht="13.8" x14ac:dyDescent="0.25">
      <c r="A422" s="194"/>
      <c r="B422" s="272"/>
      <c r="C422" s="2"/>
      <c r="D422" s="70"/>
      <c r="E422" s="70"/>
      <c r="F422" s="70"/>
    </row>
    <row r="423" spans="1:6" s="273" customFormat="1" ht="13.8" x14ac:dyDescent="0.25">
      <c r="A423" s="194"/>
      <c r="B423" s="272"/>
      <c r="C423" s="2"/>
      <c r="D423" s="70"/>
      <c r="E423" s="70"/>
      <c r="F423" s="70"/>
    </row>
    <row r="424" spans="1:6" s="273" customFormat="1" ht="13.8" x14ac:dyDescent="0.25">
      <c r="A424" s="194"/>
      <c r="B424" s="272"/>
      <c r="C424" s="2"/>
      <c r="D424" s="70"/>
      <c r="E424" s="70"/>
      <c r="F424" s="70"/>
    </row>
    <row r="425" spans="1:6" s="273" customFormat="1" ht="13.8" x14ac:dyDescent="0.25">
      <c r="A425" s="194"/>
      <c r="B425" s="272"/>
      <c r="C425" s="2"/>
      <c r="D425" s="70"/>
      <c r="E425" s="70"/>
      <c r="F425" s="70"/>
    </row>
    <row r="426" spans="1:6" s="273" customFormat="1" ht="13.8" x14ac:dyDescent="0.25">
      <c r="A426" s="194"/>
      <c r="B426" s="272"/>
      <c r="C426" s="2"/>
      <c r="D426" s="70"/>
      <c r="E426" s="70"/>
      <c r="F426" s="70"/>
    </row>
    <row r="427" spans="1:6" s="273" customFormat="1" ht="13.8" x14ac:dyDescent="0.25">
      <c r="A427" s="194"/>
      <c r="B427" s="272"/>
      <c r="C427" s="2"/>
      <c r="D427" s="70"/>
      <c r="E427" s="70"/>
      <c r="F427" s="70"/>
    </row>
    <row r="428" spans="1:6" s="273" customFormat="1" ht="13.8" x14ac:dyDescent="0.25">
      <c r="A428" s="194"/>
      <c r="B428" s="272"/>
      <c r="C428" s="2"/>
      <c r="D428" s="70"/>
      <c r="E428" s="70"/>
      <c r="F428" s="70"/>
    </row>
    <row r="429" spans="1:6" s="273" customFormat="1" ht="13.8" x14ac:dyDescent="0.25">
      <c r="A429" s="194"/>
      <c r="B429" s="272"/>
      <c r="C429" s="2"/>
      <c r="D429" s="70"/>
      <c r="E429" s="70"/>
      <c r="F429" s="70"/>
    </row>
    <row r="430" spans="1:6" s="273" customFormat="1" ht="13.8" x14ac:dyDescent="0.25">
      <c r="A430" s="194"/>
      <c r="B430" s="272"/>
      <c r="C430" s="2"/>
      <c r="D430" s="70"/>
      <c r="E430" s="70"/>
      <c r="F430" s="70"/>
    </row>
    <row r="431" spans="1:6" s="273" customFormat="1" ht="13.8" x14ac:dyDescent="0.25">
      <c r="A431" s="194"/>
      <c r="B431" s="272"/>
      <c r="C431" s="2"/>
      <c r="D431" s="70"/>
      <c r="E431" s="70"/>
      <c r="F431" s="70"/>
    </row>
    <row r="432" spans="1:6" s="273" customFormat="1" ht="13.8" x14ac:dyDescent="0.25">
      <c r="A432" s="194"/>
      <c r="B432" s="272"/>
      <c r="C432" s="2"/>
      <c r="D432" s="70"/>
      <c r="E432" s="70"/>
      <c r="F432" s="70"/>
    </row>
    <row r="433" spans="1:6" s="273" customFormat="1" ht="13.8" x14ac:dyDescent="0.25">
      <c r="A433" s="194"/>
      <c r="B433" s="272"/>
      <c r="C433" s="2"/>
      <c r="D433" s="70"/>
      <c r="E433" s="70"/>
      <c r="F433" s="70"/>
    </row>
    <row r="434" spans="1:6" s="273" customFormat="1" ht="13.8" x14ac:dyDescent="0.25">
      <c r="A434" s="194"/>
      <c r="B434" s="272"/>
      <c r="C434" s="2"/>
      <c r="D434" s="70"/>
      <c r="E434" s="70"/>
      <c r="F434" s="70"/>
    </row>
    <row r="435" spans="1:6" s="273" customFormat="1" ht="13.8" x14ac:dyDescent="0.25">
      <c r="A435" s="194"/>
      <c r="B435" s="272"/>
      <c r="C435" s="2"/>
      <c r="D435" s="70"/>
      <c r="E435" s="70"/>
      <c r="F435" s="70"/>
    </row>
    <row r="436" spans="1:6" s="273" customFormat="1" ht="13.8" x14ac:dyDescent="0.25">
      <c r="A436" s="194"/>
      <c r="B436" s="272"/>
      <c r="C436" s="2"/>
      <c r="D436" s="70"/>
      <c r="E436" s="70"/>
      <c r="F436" s="70"/>
    </row>
    <row r="437" spans="1:6" s="273" customFormat="1" ht="13.8" x14ac:dyDescent="0.25">
      <c r="A437" s="194"/>
      <c r="B437" s="272"/>
      <c r="C437" s="2"/>
      <c r="D437" s="70"/>
      <c r="E437" s="70"/>
      <c r="F437" s="70"/>
    </row>
    <row r="438" spans="1:6" s="273" customFormat="1" ht="13.8" x14ac:dyDescent="0.25">
      <c r="A438" s="194"/>
      <c r="B438" s="272"/>
      <c r="C438" s="2"/>
      <c r="D438" s="70"/>
      <c r="E438" s="70"/>
      <c r="F438" s="70"/>
    </row>
    <row r="439" spans="1:6" s="273" customFormat="1" ht="13.8" x14ac:dyDescent="0.25">
      <c r="A439" s="194"/>
      <c r="B439" s="272"/>
      <c r="C439" s="2"/>
      <c r="D439" s="70"/>
      <c r="E439" s="70"/>
      <c r="F439" s="70"/>
    </row>
    <row r="440" spans="1:6" s="273" customFormat="1" ht="13.8" x14ac:dyDescent="0.25">
      <c r="A440" s="194"/>
      <c r="B440" s="272"/>
      <c r="C440" s="2"/>
      <c r="D440" s="70"/>
      <c r="E440" s="70"/>
      <c r="F440" s="70"/>
    </row>
    <row r="441" spans="1:6" s="273" customFormat="1" ht="13.8" x14ac:dyDescent="0.25">
      <c r="A441" s="194"/>
      <c r="B441" s="272"/>
      <c r="C441" s="2"/>
      <c r="D441" s="70"/>
      <c r="E441" s="70"/>
      <c r="F441" s="70"/>
    </row>
    <row r="442" spans="1:6" s="273" customFormat="1" ht="13.8" x14ac:dyDescent="0.25">
      <c r="A442" s="194"/>
      <c r="B442" s="272"/>
      <c r="C442" s="2"/>
      <c r="D442" s="70"/>
      <c r="E442" s="70"/>
      <c r="F442" s="70"/>
    </row>
    <row r="443" spans="1:6" s="273" customFormat="1" ht="13.8" x14ac:dyDescent="0.25">
      <c r="A443" s="194"/>
      <c r="B443" s="272"/>
      <c r="C443" s="2"/>
      <c r="D443" s="70"/>
      <c r="E443" s="70"/>
      <c r="F443" s="70"/>
    </row>
    <row r="444" spans="1:6" s="273" customFormat="1" ht="13.8" x14ac:dyDescent="0.25">
      <c r="A444" s="194"/>
      <c r="B444" s="272"/>
      <c r="C444" s="2"/>
      <c r="D444" s="70"/>
      <c r="E444" s="70"/>
      <c r="F444" s="70"/>
    </row>
    <row r="445" spans="1:6" s="273" customFormat="1" ht="13.8" x14ac:dyDescent="0.25">
      <c r="A445" s="194"/>
      <c r="B445" s="272"/>
      <c r="C445" s="2"/>
      <c r="D445" s="70"/>
      <c r="E445" s="70"/>
      <c r="F445" s="70"/>
    </row>
    <row r="446" spans="1:6" s="273" customFormat="1" ht="13.8" x14ac:dyDescent="0.25">
      <c r="A446" s="194"/>
      <c r="B446" s="272"/>
      <c r="C446" s="2"/>
      <c r="D446" s="70"/>
      <c r="E446" s="70"/>
      <c r="F446" s="70"/>
    </row>
    <row r="447" spans="1:6" s="273" customFormat="1" ht="13.8" x14ac:dyDescent="0.25">
      <c r="A447" s="194"/>
      <c r="B447" s="272"/>
      <c r="C447" s="2"/>
      <c r="D447" s="70"/>
      <c r="E447" s="70"/>
      <c r="F447" s="70"/>
    </row>
    <row r="448" spans="1:6" s="273" customFormat="1" ht="13.8" x14ac:dyDescent="0.25">
      <c r="A448" s="194"/>
      <c r="B448" s="272"/>
      <c r="C448" s="2"/>
      <c r="D448" s="70"/>
      <c r="E448" s="70"/>
      <c r="F448" s="70"/>
    </row>
    <row r="449" spans="1:6" s="273" customFormat="1" ht="13.8" x14ac:dyDescent="0.25">
      <c r="A449" s="194"/>
      <c r="B449" s="272"/>
      <c r="C449" s="2"/>
      <c r="D449" s="70"/>
      <c r="E449" s="70"/>
      <c r="F449" s="70"/>
    </row>
    <row r="450" spans="1:6" s="273" customFormat="1" ht="13.8" x14ac:dyDescent="0.25">
      <c r="A450" s="194"/>
      <c r="B450" s="272"/>
      <c r="C450" s="2"/>
      <c r="D450" s="70"/>
      <c r="E450" s="70"/>
      <c r="F450" s="70"/>
    </row>
    <row r="451" spans="1:6" s="273" customFormat="1" ht="13.8" x14ac:dyDescent="0.25">
      <c r="A451" s="194"/>
      <c r="B451" s="272"/>
      <c r="C451" s="2"/>
      <c r="D451" s="70"/>
      <c r="E451" s="70"/>
      <c r="F451" s="70"/>
    </row>
    <row r="452" spans="1:6" s="273" customFormat="1" ht="13.8" x14ac:dyDescent="0.25">
      <c r="A452" s="194"/>
      <c r="B452" s="272"/>
      <c r="C452" s="2"/>
      <c r="D452" s="70"/>
      <c r="E452" s="70"/>
      <c r="F452" s="70"/>
    </row>
    <row r="453" spans="1:6" s="273" customFormat="1" ht="13.8" x14ac:dyDescent="0.25">
      <c r="A453" s="194"/>
      <c r="B453" s="272"/>
      <c r="C453" s="2"/>
      <c r="D453" s="70"/>
      <c r="E453" s="70"/>
      <c r="F453" s="70"/>
    </row>
    <row r="454" spans="1:6" s="273" customFormat="1" ht="13.8" x14ac:dyDescent="0.25">
      <c r="A454" s="194"/>
      <c r="B454" s="272"/>
      <c r="C454" s="2"/>
      <c r="D454" s="70"/>
      <c r="E454" s="70"/>
      <c r="F454" s="70"/>
    </row>
    <row r="455" spans="1:6" s="273" customFormat="1" ht="13.8" x14ac:dyDescent="0.25">
      <c r="A455" s="194"/>
      <c r="B455" s="272"/>
      <c r="C455" s="2"/>
      <c r="D455" s="70"/>
      <c r="E455" s="70"/>
      <c r="F455" s="70"/>
    </row>
    <row r="456" spans="1:6" s="273" customFormat="1" ht="13.8" x14ac:dyDescent="0.25">
      <c r="A456" s="194"/>
      <c r="B456" s="272"/>
      <c r="C456" s="2"/>
      <c r="D456" s="70"/>
      <c r="E456" s="70"/>
      <c r="F456" s="70"/>
    </row>
    <row r="457" spans="1:6" s="273" customFormat="1" ht="13.8" x14ac:dyDescent="0.25">
      <c r="A457" s="194"/>
      <c r="B457" s="272"/>
      <c r="C457" s="2"/>
      <c r="D457" s="70"/>
      <c r="E457" s="70"/>
      <c r="F457" s="70"/>
    </row>
    <row r="458" spans="1:6" s="273" customFormat="1" ht="13.8" x14ac:dyDescent="0.25">
      <c r="A458" s="194"/>
      <c r="B458" s="272"/>
      <c r="C458" s="2"/>
      <c r="D458" s="70"/>
      <c r="E458" s="70"/>
      <c r="F458" s="70"/>
    </row>
    <row r="459" spans="1:6" s="273" customFormat="1" ht="13.8" x14ac:dyDescent="0.25">
      <c r="A459" s="194"/>
      <c r="B459" s="272"/>
      <c r="C459" s="2"/>
      <c r="D459" s="70"/>
      <c r="E459" s="70"/>
      <c r="F459" s="70"/>
    </row>
    <row r="460" spans="1:6" s="273" customFormat="1" ht="13.8" x14ac:dyDescent="0.25">
      <c r="A460" s="194"/>
      <c r="B460" s="272"/>
      <c r="C460" s="2"/>
      <c r="D460" s="70"/>
      <c r="E460" s="70"/>
      <c r="F460" s="70"/>
    </row>
    <row r="461" spans="1:6" s="273" customFormat="1" ht="13.8" x14ac:dyDescent="0.25">
      <c r="A461" s="194"/>
      <c r="B461" s="272"/>
      <c r="C461" s="2"/>
      <c r="D461" s="70"/>
      <c r="E461" s="70"/>
      <c r="F461" s="70"/>
    </row>
    <row r="462" spans="1:6" s="273" customFormat="1" ht="13.8" x14ac:dyDescent="0.25">
      <c r="A462" s="194"/>
      <c r="B462" s="272"/>
      <c r="C462" s="2"/>
      <c r="D462" s="70"/>
      <c r="E462" s="70"/>
      <c r="F462" s="70"/>
    </row>
    <row r="463" spans="1:6" s="273" customFormat="1" ht="13.8" x14ac:dyDescent="0.25">
      <c r="A463" s="194"/>
      <c r="B463" s="272"/>
      <c r="C463" s="2"/>
      <c r="D463" s="70"/>
      <c r="E463" s="70"/>
      <c r="F463" s="70"/>
    </row>
    <row r="464" spans="1:6" s="273" customFormat="1" ht="13.8" x14ac:dyDescent="0.25">
      <c r="A464" s="194"/>
      <c r="B464" s="272"/>
      <c r="C464" s="2"/>
      <c r="D464" s="70"/>
      <c r="E464" s="70"/>
      <c r="F464" s="70"/>
    </row>
    <row r="465" spans="1:6" s="273" customFormat="1" ht="13.8" x14ac:dyDescent="0.25">
      <c r="A465" s="194"/>
      <c r="B465" s="272"/>
      <c r="C465" s="2"/>
      <c r="D465" s="70"/>
      <c r="E465" s="70"/>
      <c r="F465" s="70"/>
    </row>
    <row r="466" spans="1:6" s="273" customFormat="1" ht="13.8" x14ac:dyDescent="0.25">
      <c r="A466" s="194"/>
      <c r="B466" s="272"/>
      <c r="C466" s="2"/>
      <c r="D466" s="70"/>
      <c r="E466" s="70"/>
      <c r="F466" s="70"/>
    </row>
    <row r="467" spans="1:6" s="273" customFormat="1" ht="13.8" x14ac:dyDescent="0.25">
      <c r="A467" s="194"/>
      <c r="B467" s="272"/>
      <c r="C467" s="2"/>
      <c r="D467" s="70"/>
      <c r="E467" s="70"/>
      <c r="F467" s="70"/>
    </row>
    <row r="468" spans="1:6" s="273" customFormat="1" ht="13.8" x14ac:dyDescent="0.25">
      <c r="A468" s="194"/>
      <c r="B468" s="272"/>
      <c r="C468" s="2"/>
      <c r="D468" s="70"/>
      <c r="E468" s="70"/>
      <c r="F468" s="70"/>
    </row>
    <row r="469" spans="1:6" s="273" customFormat="1" ht="13.8" x14ac:dyDescent="0.25">
      <c r="A469" s="194"/>
      <c r="B469" s="272"/>
      <c r="C469" s="2"/>
      <c r="D469" s="70"/>
      <c r="E469" s="70"/>
      <c r="F469" s="70"/>
    </row>
    <row r="470" spans="1:6" s="273" customFormat="1" ht="13.8" x14ac:dyDescent="0.25">
      <c r="A470" s="194"/>
      <c r="B470" s="272"/>
      <c r="C470" s="2"/>
      <c r="D470" s="70"/>
      <c r="E470" s="70"/>
      <c r="F470" s="70"/>
    </row>
    <row r="471" spans="1:6" s="273" customFormat="1" ht="13.8" x14ac:dyDescent="0.25">
      <c r="A471" s="194"/>
      <c r="B471" s="272"/>
      <c r="C471" s="2"/>
      <c r="D471" s="70"/>
      <c r="E471" s="70"/>
      <c r="F471" s="70"/>
    </row>
    <row r="472" spans="1:6" s="273" customFormat="1" ht="13.8" x14ac:dyDescent="0.25">
      <c r="A472" s="194"/>
      <c r="B472" s="272"/>
      <c r="C472" s="2"/>
      <c r="D472" s="70"/>
      <c r="E472" s="70"/>
      <c r="F472" s="70"/>
    </row>
    <row r="473" spans="1:6" s="273" customFormat="1" ht="13.8" x14ac:dyDescent="0.25">
      <c r="A473" s="194"/>
      <c r="B473" s="272"/>
      <c r="C473" s="2"/>
      <c r="D473" s="70"/>
      <c r="E473" s="70"/>
      <c r="F473" s="70"/>
    </row>
    <row r="474" spans="1:6" s="273" customFormat="1" ht="13.8" x14ac:dyDescent="0.25">
      <c r="A474" s="194"/>
      <c r="B474" s="272"/>
      <c r="C474" s="2"/>
      <c r="D474" s="70"/>
      <c r="E474" s="70"/>
      <c r="F474" s="70"/>
    </row>
    <row r="475" spans="1:6" s="273" customFormat="1" ht="13.8" x14ac:dyDescent="0.25">
      <c r="A475" s="194"/>
      <c r="B475" s="272"/>
      <c r="C475" s="2"/>
      <c r="D475" s="70"/>
      <c r="E475" s="70"/>
      <c r="F475" s="70"/>
    </row>
    <row r="476" spans="1:6" s="273" customFormat="1" ht="13.8" x14ac:dyDescent="0.25">
      <c r="A476" s="194"/>
      <c r="B476" s="272"/>
      <c r="C476" s="2"/>
      <c r="D476" s="70"/>
      <c r="E476" s="70"/>
      <c r="F476" s="70"/>
    </row>
    <row r="477" spans="1:6" s="273" customFormat="1" ht="13.8" x14ac:dyDescent="0.25">
      <c r="A477" s="194"/>
      <c r="B477" s="272"/>
      <c r="C477" s="2"/>
      <c r="D477" s="70"/>
      <c r="E477" s="70"/>
      <c r="F477" s="70"/>
    </row>
    <row r="478" spans="1:6" s="273" customFormat="1" ht="13.8" x14ac:dyDescent="0.25">
      <c r="A478" s="194"/>
      <c r="B478" s="272"/>
      <c r="C478" s="2"/>
      <c r="D478" s="70"/>
      <c r="E478" s="70"/>
      <c r="F478" s="70"/>
    </row>
    <row r="479" spans="1:6" s="273" customFormat="1" ht="13.8" x14ac:dyDescent="0.25">
      <c r="A479" s="194"/>
      <c r="B479" s="272"/>
      <c r="C479" s="2"/>
      <c r="D479" s="70"/>
      <c r="E479" s="70"/>
      <c r="F479" s="70"/>
    </row>
    <row r="480" spans="1:6" s="273" customFormat="1" ht="13.8" x14ac:dyDescent="0.25">
      <c r="A480" s="194"/>
      <c r="B480" s="272"/>
      <c r="C480" s="2"/>
      <c r="D480" s="70"/>
      <c r="E480" s="70"/>
      <c r="F480" s="70"/>
    </row>
    <row r="481" spans="1:6" s="273" customFormat="1" ht="13.8" x14ac:dyDescent="0.25">
      <c r="A481" s="194"/>
      <c r="B481" s="272"/>
      <c r="C481" s="2"/>
      <c r="D481" s="70"/>
      <c r="E481" s="70"/>
      <c r="F481" s="70"/>
    </row>
    <row r="482" spans="1:6" s="273" customFormat="1" ht="13.8" x14ac:dyDescent="0.25">
      <c r="A482" s="194"/>
      <c r="B482" s="272"/>
      <c r="C482" s="2"/>
      <c r="D482" s="70"/>
      <c r="E482" s="70"/>
      <c r="F482" s="70"/>
    </row>
    <row r="483" spans="1:6" s="273" customFormat="1" ht="13.8" x14ac:dyDescent="0.25">
      <c r="A483" s="194"/>
      <c r="B483" s="272"/>
      <c r="C483" s="2"/>
      <c r="D483" s="70"/>
      <c r="E483" s="70"/>
      <c r="F483" s="70"/>
    </row>
    <row r="484" spans="1:6" s="273" customFormat="1" ht="13.8" x14ac:dyDescent="0.25">
      <c r="A484" s="194"/>
      <c r="B484" s="272"/>
      <c r="C484" s="2"/>
      <c r="D484" s="70"/>
      <c r="E484" s="70"/>
      <c r="F484" s="70"/>
    </row>
    <row r="485" spans="1:6" s="273" customFormat="1" ht="13.8" x14ac:dyDescent="0.25">
      <c r="A485" s="194"/>
      <c r="B485" s="272"/>
      <c r="C485" s="2"/>
      <c r="D485" s="70"/>
      <c r="E485" s="70"/>
      <c r="F485" s="70"/>
    </row>
    <row r="486" spans="1:6" s="273" customFormat="1" ht="13.8" x14ac:dyDescent="0.25">
      <c r="A486" s="194"/>
      <c r="B486" s="272"/>
      <c r="C486" s="2"/>
      <c r="D486" s="70"/>
      <c r="E486" s="70"/>
      <c r="F486" s="70"/>
    </row>
    <row r="487" spans="1:6" s="273" customFormat="1" ht="13.8" x14ac:dyDescent="0.25">
      <c r="A487" s="194"/>
      <c r="B487" s="272"/>
      <c r="C487" s="2"/>
      <c r="D487" s="70"/>
      <c r="E487" s="70"/>
      <c r="F487" s="70"/>
    </row>
    <row r="488" spans="1:6" s="273" customFormat="1" ht="13.8" x14ac:dyDescent="0.25">
      <c r="A488" s="194"/>
      <c r="B488" s="272"/>
      <c r="C488" s="2"/>
      <c r="D488" s="70"/>
      <c r="E488" s="70"/>
      <c r="F488" s="70"/>
    </row>
    <row r="489" spans="1:6" s="273" customFormat="1" ht="13.8" x14ac:dyDescent="0.25">
      <c r="A489" s="194"/>
      <c r="B489" s="272"/>
      <c r="C489" s="2"/>
      <c r="D489" s="70"/>
      <c r="E489" s="70"/>
      <c r="F489" s="70"/>
    </row>
    <row r="490" spans="1:6" s="273" customFormat="1" ht="13.8" x14ac:dyDescent="0.25">
      <c r="A490" s="194"/>
      <c r="B490" s="272"/>
      <c r="C490" s="2"/>
      <c r="D490" s="70"/>
      <c r="E490" s="70"/>
      <c r="F490" s="70"/>
    </row>
    <row r="491" spans="1:6" s="273" customFormat="1" ht="13.8" x14ac:dyDescent="0.25">
      <c r="A491" s="194"/>
      <c r="B491" s="272"/>
      <c r="C491" s="2"/>
      <c r="D491" s="70"/>
      <c r="E491" s="70"/>
      <c r="F491" s="70"/>
    </row>
    <row r="492" spans="1:6" s="273" customFormat="1" ht="13.8" x14ac:dyDescent="0.25">
      <c r="A492" s="194"/>
      <c r="B492" s="272"/>
      <c r="C492" s="2"/>
      <c r="D492" s="70"/>
      <c r="E492" s="70"/>
      <c r="F492" s="70"/>
    </row>
    <row r="493" spans="1:6" s="273" customFormat="1" ht="13.8" x14ac:dyDescent="0.25">
      <c r="A493" s="194"/>
      <c r="B493" s="272"/>
      <c r="C493" s="2"/>
      <c r="D493" s="70"/>
      <c r="E493" s="70"/>
      <c r="F493" s="70"/>
    </row>
    <row r="494" spans="1:6" s="273" customFormat="1" ht="13.8" x14ac:dyDescent="0.25">
      <c r="A494" s="194"/>
      <c r="B494" s="272"/>
      <c r="C494" s="2"/>
      <c r="D494" s="70"/>
      <c r="E494" s="70"/>
      <c r="F494" s="70"/>
    </row>
    <row r="495" spans="1:6" s="273" customFormat="1" ht="13.8" x14ac:dyDescent="0.25">
      <c r="A495" s="194"/>
      <c r="B495" s="272"/>
      <c r="C495" s="2"/>
      <c r="D495" s="70"/>
      <c r="E495" s="70"/>
      <c r="F495" s="70"/>
    </row>
    <row r="496" spans="1:6" s="273" customFormat="1" ht="13.8" x14ac:dyDescent="0.25">
      <c r="A496" s="194"/>
      <c r="B496" s="272"/>
      <c r="C496" s="2"/>
      <c r="D496" s="70"/>
      <c r="E496" s="70"/>
      <c r="F496" s="70"/>
    </row>
    <row r="497" spans="1:6" s="273" customFormat="1" ht="13.8" x14ac:dyDescent="0.25">
      <c r="A497" s="194"/>
      <c r="B497" s="272"/>
      <c r="C497" s="2"/>
      <c r="D497" s="70"/>
      <c r="E497" s="70"/>
      <c r="F497" s="70"/>
    </row>
    <row r="498" spans="1:6" s="273" customFormat="1" ht="13.8" x14ac:dyDescent="0.25">
      <c r="A498" s="194"/>
      <c r="B498" s="272"/>
      <c r="C498" s="2"/>
      <c r="D498" s="70"/>
      <c r="E498" s="70"/>
      <c r="F498" s="70"/>
    </row>
    <row r="499" spans="1:6" s="273" customFormat="1" ht="13.8" x14ac:dyDescent="0.25">
      <c r="A499" s="194"/>
      <c r="B499" s="272"/>
      <c r="C499" s="2"/>
      <c r="D499" s="70"/>
      <c r="E499" s="70"/>
      <c r="F499" s="70"/>
    </row>
    <row r="500" spans="1:6" s="273" customFormat="1" ht="13.8" x14ac:dyDescent="0.25">
      <c r="A500" s="194"/>
      <c r="B500" s="272"/>
      <c r="C500" s="2"/>
      <c r="D500" s="70"/>
      <c r="E500" s="70"/>
      <c r="F500" s="70"/>
    </row>
    <row r="501" spans="1:6" s="273" customFormat="1" ht="13.8" x14ac:dyDescent="0.25">
      <c r="A501" s="194"/>
      <c r="B501" s="272"/>
      <c r="C501" s="2"/>
      <c r="D501" s="70"/>
      <c r="E501" s="70"/>
      <c r="F501" s="70"/>
    </row>
    <row r="502" spans="1:6" s="273" customFormat="1" ht="13.8" x14ac:dyDescent="0.25">
      <c r="A502" s="194"/>
      <c r="B502" s="272"/>
      <c r="C502" s="2"/>
      <c r="D502" s="70"/>
      <c r="E502" s="70"/>
      <c r="F502" s="70"/>
    </row>
    <row r="503" spans="1:6" s="273" customFormat="1" ht="13.8" x14ac:dyDescent="0.25">
      <c r="A503" s="194"/>
      <c r="B503" s="272"/>
      <c r="C503" s="2"/>
      <c r="D503" s="70"/>
      <c r="E503" s="70"/>
      <c r="F503" s="70"/>
    </row>
    <row r="504" spans="1:6" s="273" customFormat="1" ht="13.8" x14ac:dyDescent="0.25">
      <c r="A504" s="194"/>
      <c r="B504" s="272"/>
      <c r="C504" s="2"/>
      <c r="D504" s="70"/>
      <c r="E504" s="70"/>
      <c r="F504" s="70"/>
    </row>
    <row r="505" spans="1:6" s="273" customFormat="1" ht="13.8" x14ac:dyDescent="0.25">
      <c r="A505" s="194"/>
      <c r="B505" s="272"/>
      <c r="C505" s="2"/>
      <c r="D505" s="70"/>
      <c r="E505" s="70"/>
      <c r="F505" s="70"/>
    </row>
    <row r="506" spans="1:6" s="273" customFormat="1" ht="13.8" x14ac:dyDescent="0.25">
      <c r="A506" s="194"/>
      <c r="B506" s="272"/>
      <c r="C506" s="2"/>
      <c r="D506" s="70"/>
      <c r="E506" s="70"/>
      <c r="F506" s="70"/>
    </row>
    <row r="507" spans="1:6" s="273" customFormat="1" ht="13.8" x14ac:dyDescent="0.25">
      <c r="A507" s="194"/>
      <c r="B507" s="272"/>
      <c r="C507" s="2"/>
      <c r="D507" s="70"/>
      <c r="E507" s="70"/>
      <c r="F507" s="70"/>
    </row>
    <row r="508" spans="1:6" s="273" customFormat="1" ht="13.8" x14ac:dyDescent="0.25">
      <c r="A508" s="194"/>
      <c r="B508" s="272"/>
      <c r="C508" s="2"/>
      <c r="D508" s="70"/>
      <c r="E508" s="70"/>
      <c r="F508" s="70"/>
    </row>
    <row r="509" spans="1:6" s="273" customFormat="1" ht="13.8" x14ac:dyDescent="0.25">
      <c r="A509" s="194"/>
      <c r="B509" s="272"/>
      <c r="C509" s="2"/>
      <c r="D509" s="70"/>
      <c r="E509" s="70"/>
      <c r="F509" s="70"/>
    </row>
    <row r="510" spans="1:6" s="273" customFormat="1" ht="13.8" x14ac:dyDescent="0.25">
      <c r="A510" s="194"/>
      <c r="B510" s="272"/>
      <c r="C510" s="2"/>
      <c r="D510" s="70"/>
      <c r="E510" s="70"/>
      <c r="F510" s="70"/>
    </row>
    <row r="511" spans="1:6" s="273" customFormat="1" ht="13.8" x14ac:dyDescent="0.25">
      <c r="A511" s="194"/>
      <c r="B511" s="272"/>
      <c r="C511" s="2"/>
      <c r="D511" s="70"/>
      <c r="E511" s="70"/>
      <c r="F511" s="70"/>
    </row>
    <row r="512" spans="1:6" s="273" customFormat="1" ht="13.8" x14ac:dyDescent="0.25">
      <c r="A512" s="194"/>
      <c r="B512" s="272"/>
      <c r="C512" s="2"/>
      <c r="D512" s="70"/>
      <c r="E512" s="70"/>
      <c r="F512" s="70"/>
    </row>
    <row r="513" spans="1:6" s="273" customFormat="1" ht="13.8" x14ac:dyDescent="0.25">
      <c r="A513" s="194"/>
      <c r="B513" s="272"/>
      <c r="C513" s="2"/>
      <c r="D513" s="70"/>
      <c r="E513" s="70"/>
      <c r="F513" s="70"/>
    </row>
    <row r="514" spans="1:6" s="273" customFormat="1" ht="13.8" x14ac:dyDescent="0.25">
      <c r="A514" s="194"/>
      <c r="B514" s="272"/>
      <c r="C514" s="2"/>
      <c r="D514" s="70"/>
      <c r="E514" s="70"/>
      <c r="F514" s="70"/>
    </row>
    <row r="515" spans="1:6" s="273" customFormat="1" ht="13.8" x14ac:dyDescent="0.25">
      <c r="A515" s="194"/>
      <c r="B515" s="272"/>
      <c r="C515" s="2"/>
      <c r="D515" s="70"/>
      <c r="E515" s="70"/>
      <c r="F515" s="70"/>
    </row>
    <row r="516" spans="1:6" s="273" customFormat="1" ht="13.8" x14ac:dyDescent="0.25">
      <c r="A516" s="194"/>
      <c r="B516" s="272"/>
      <c r="C516" s="2"/>
      <c r="D516" s="70"/>
      <c r="E516" s="70"/>
      <c r="F516" s="70"/>
    </row>
    <row r="517" spans="1:6" s="273" customFormat="1" ht="13.8" x14ac:dyDescent="0.25">
      <c r="A517" s="194"/>
      <c r="B517" s="272"/>
      <c r="C517" s="2"/>
      <c r="D517" s="70"/>
      <c r="E517" s="70"/>
      <c r="F517" s="70"/>
    </row>
    <row r="518" spans="1:6" s="273" customFormat="1" ht="13.8" x14ac:dyDescent="0.25">
      <c r="A518" s="194"/>
      <c r="B518" s="272"/>
      <c r="C518" s="2"/>
      <c r="D518" s="70"/>
      <c r="E518" s="70"/>
      <c r="F518" s="70"/>
    </row>
    <row r="519" spans="1:6" s="273" customFormat="1" ht="13.8" x14ac:dyDescent="0.25">
      <c r="A519" s="194"/>
      <c r="B519" s="272"/>
      <c r="C519" s="2"/>
      <c r="D519" s="70"/>
      <c r="E519" s="70"/>
      <c r="F519" s="70"/>
    </row>
    <row r="520" spans="1:6" s="273" customFormat="1" ht="13.8" x14ac:dyDescent="0.25">
      <c r="A520" s="194"/>
      <c r="B520" s="272"/>
      <c r="C520" s="2"/>
      <c r="D520" s="70"/>
      <c r="E520" s="70"/>
      <c r="F520" s="70"/>
    </row>
    <row r="521" spans="1:6" s="273" customFormat="1" ht="13.8" x14ac:dyDescent="0.25">
      <c r="A521" s="194"/>
      <c r="B521" s="272"/>
      <c r="C521" s="2"/>
      <c r="D521" s="70"/>
      <c r="E521" s="70"/>
      <c r="F521" s="70"/>
    </row>
    <row r="522" spans="1:6" s="273" customFormat="1" ht="13.8" x14ac:dyDescent="0.25">
      <c r="A522" s="194"/>
      <c r="B522" s="272"/>
      <c r="C522" s="2"/>
      <c r="D522" s="70"/>
      <c r="E522" s="70"/>
      <c r="F522" s="70"/>
    </row>
    <row r="523" spans="1:6" s="273" customFormat="1" ht="13.8" x14ac:dyDescent="0.25">
      <c r="A523" s="194"/>
      <c r="B523" s="272"/>
      <c r="C523" s="2"/>
      <c r="D523" s="70"/>
      <c r="E523" s="70"/>
      <c r="F523" s="70"/>
    </row>
    <row r="524" spans="1:6" s="273" customFormat="1" ht="13.8" x14ac:dyDescent="0.25">
      <c r="A524" s="194"/>
      <c r="B524" s="272"/>
      <c r="C524" s="2"/>
      <c r="D524" s="70"/>
      <c r="E524" s="70"/>
      <c r="F524" s="70"/>
    </row>
    <row r="525" spans="1:6" s="273" customFormat="1" ht="13.8" x14ac:dyDescent="0.25">
      <c r="A525" s="194"/>
      <c r="B525" s="272"/>
      <c r="C525" s="2"/>
      <c r="D525" s="70"/>
      <c r="E525" s="70"/>
      <c r="F525" s="70"/>
    </row>
    <row r="526" spans="1:6" s="273" customFormat="1" ht="13.8" x14ac:dyDescent="0.25">
      <c r="A526" s="194"/>
      <c r="B526" s="272"/>
      <c r="C526" s="2"/>
      <c r="D526" s="70"/>
      <c r="E526" s="70"/>
      <c r="F526" s="70"/>
    </row>
    <row r="527" spans="1:6" s="273" customFormat="1" ht="13.8" x14ac:dyDescent="0.25">
      <c r="A527" s="194"/>
      <c r="B527" s="272"/>
      <c r="C527" s="2"/>
      <c r="D527" s="70"/>
      <c r="E527" s="70"/>
      <c r="F527" s="70"/>
    </row>
    <row r="528" spans="1:6" s="273" customFormat="1" ht="13.8" x14ac:dyDescent="0.25">
      <c r="A528" s="194"/>
      <c r="B528" s="272"/>
      <c r="C528" s="2"/>
      <c r="D528" s="70"/>
      <c r="E528" s="70"/>
      <c r="F528" s="70"/>
    </row>
    <row r="529" spans="1:6" s="273" customFormat="1" ht="13.8" x14ac:dyDescent="0.25">
      <c r="A529" s="194"/>
      <c r="B529" s="272"/>
      <c r="C529" s="2"/>
      <c r="D529" s="70"/>
      <c r="E529" s="70"/>
      <c r="F529" s="70"/>
    </row>
    <row r="530" spans="1:6" s="273" customFormat="1" ht="13.8" x14ac:dyDescent="0.25">
      <c r="A530" s="194"/>
      <c r="B530" s="272"/>
      <c r="C530" s="2"/>
      <c r="D530" s="70"/>
      <c r="E530" s="70"/>
      <c r="F530" s="70"/>
    </row>
    <row r="531" spans="1:6" s="273" customFormat="1" ht="13.8" x14ac:dyDescent="0.25">
      <c r="A531" s="194"/>
      <c r="B531" s="272"/>
      <c r="C531" s="2"/>
      <c r="D531" s="70"/>
      <c r="E531" s="70"/>
      <c r="F531" s="70"/>
    </row>
    <row r="532" spans="1:6" s="273" customFormat="1" ht="13.8" x14ac:dyDescent="0.25">
      <c r="A532" s="194"/>
      <c r="B532" s="272"/>
      <c r="C532" s="2"/>
      <c r="D532" s="70"/>
      <c r="E532" s="70"/>
      <c r="F532" s="70"/>
    </row>
    <row r="533" spans="1:6" s="273" customFormat="1" ht="13.8" x14ac:dyDescent="0.25">
      <c r="A533" s="194"/>
      <c r="B533" s="272"/>
      <c r="C533" s="2"/>
      <c r="D533" s="70"/>
      <c r="E533" s="70"/>
      <c r="F533" s="70"/>
    </row>
    <row r="534" spans="1:6" s="273" customFormat="1" ht="13.8" x14ac:dyDescent="0.25">
      <c r="A534" s="194"/>
      <c r="B534" s="272"/>
      <c r="C534" s="2"/>
      <c r="D534" s="70"/>
      <c r="E534" s="70"/>
      <c r="F534" s="70"/>
    </row>
    <row r="535" spans="1:6" s="273" customFormat="1" ht="13.8" x14ac:dyDescent="0.25">
      <c r="A535" s="194"/>
      <c r="B535" s="272"/>
      <c r="C535" s="2"/>
      <c r="D535" s="70"/>
      <c r="E535" s="70"/>
      <c r="F535" s="70"/>
    </row>
    <row r="536" spans="1:6" s="273" customFormat="1" ht="13.8" x14ac:dyDescent="0.25">
      <c r="A536" s="194"/>
      <c r="B536" s="272"/>
      <c r="C536" s="2"/>
      <c r="D536" s="70"/>
      <c r="E536" s="70"/>
      <c r="F536" s="70"/>
    </row>
    <row r="537" spans="1:6" s="273" customFormat="1" ht="13.8" x14ac:dyDescent="0.25">
      <c r="A537" s="194"/>
      <c r="B537" s="272"/>
      <c r="C537" s="2"/>
      <c r="D537" s="70"/>
      <c r="E537" s="70"/>
      <c r="F537" s="70"/>
    </row>
    <row r="538" spans="1:6" s="273" customFormat="1" ht="13.8" x14ac:dyDescent="0.25">
      <c r="A538" s="194"/>
      <c r="B538" s="272"/>
      <c r="C538" s="2"/>
      <c r="D538" s="70"/>
      <c r="E538" s="70"/>
      <c r="F538" s="70"/>
    </row>
    <row r="539" spans="1:6" s="273" customFormat="1" ht="13.8" x14ac:dyDescent="0.25">
      <c r="A539" s="194"/>
      <c r="B539" s="272"/>
      <c r="C539" s="2"/>
      <c r="D539" s="70"/>
      <c r="E539" s="70"/>
      <c r="F539" s="70"/>
    </row>
    <row r="540" spans="1:6" s="273" customFormat="1" ht="13.8" x14ac:dyDescent="0.25">
      <c r="A540" s="194"/>
      <c r="B540" s="272"/>
      <c r="C540" s="2"/>
      <c r="D540" s="70"/>
      <c r="E540" s="70"/>
      <c r="F540" s="70"/>
    </row>
    <row r="541" spans="1:6" s="273" customFormat="1" ht="13.8" x14ac:dyDescent="0.25">
      <c r="A541" s="194"/>
      <c r="B541" s="272"/>
      <c r="C541" s="2"/>
      <c r="D541" s="70"/>
      <c r="E541" s="70"/>
      <c r="F541" s="70"/>
    </row>
    <row r="542" spans="1:6" s="273" customFormat="1" ht="13.8" x14ac:dyDescent="0.25">
      <c r="A542" s="194"/>
      <c r="B542" s="272"/>
      <c r="C542" s="2"/>
      <c r="D542" s="70"/>
      <c r="E542" s="70"/>
      <c r="F542" s="70"/>
    </row>
    <row r="543" spans="1:6" s="273" customFormat="1" ht="13.8" x14ac:dyDescent="0.25">
      <c r="A543" s="194"/>
      <c r="B543" s="272"/>
      <c r="C543" s="2"/>
      <c r="D543" s="70"/>
      <c r="E543" s="70"/>
      <c r="F543" s="70"/>
    </row>
    <row r="544" spans="1:6" s="273" customFormat="1" ht="13.8" x14ac:dyDescent="0.25">
      <c r="A544" s="194"/>
      <c r="B544" s="272"/>
      <c r="C544" s="2"/>
      <c r="D544" s="70"/>
      <c r="E544" s="70"/>
      <c r="F544" s="70"/>
    </row>
    <row r="545" spans="1:6" s="273" customFormat="1" ht="13.8" x14ac:dyDescent="0.25">
      <c r="A545" s="194"/>
      <c r="B545" s="272"/>
      <c r="C545" s="2"/>
      <c r="D545" s="70"/>
      <c r="E545" s="70"/>
      <c r="F545" s="70"/>
    </row>
    <row r="546" spans="1:6" s="273" customFormat="1" ht="13.8" x14ac:dyDescent="0.25">
      <c r="A546" s="194"/>
      <c r="B546" s="272"/>
      <c r="C546" s="2"/>
      <c r="D546" s="70"/>
      <c r="E546" s="70"/>
      <c r="F546" s="70"/>
    </row>
    <row r="547" spans="1:6" s="273" customFormat="1" ht="13.8" x14ac:dyDescent="0.25">
      <c r="A547" s="194"/>
      <c r="B547" s="272"/>
      <c r="C547" s="2"/>
      <c r="D547" s="70"/>
      <c r="E547" s="70"/>
      <c r="F547" s="70"/>
    </row>
    <row r="548" spans="1:6" s="273" customFormat="1" ht="13.8" x14ac:dyDescent="0.25">
      <c r="A548" s="194"/>
      <c r="B548" s="272"/>
      <c r="C548" s="2"/>
      <c r="D548" s="70"/>
      <c r="E548" s="70"/>
      <c r="F548" s="70"/>
    </row>
    <row r="549" spans="1:6" s="273" customFormat="1" ht="13.8" x14ac:dyDescent="0.25">
      <c r="A549" s="194"/>
      <c r="B549" s="272"/>
      <c r="C549" s="2"/>
      <c r="D549" s="70"/>
      <c r="E549" s="70"/>
      <c r="F549" s="70"/>
    </row>
    <row r="550" spans="1:6" s="273" customFormat="1" ht="13.8" x14ac:dyDescent="0.25">
      <c r="A550" s="194"/>
      <c r="B550" s="272"/>
      <c r="C550" s="2"/>
      <c r="D550" s="70"/>
      <c r="E550" s="70"/>
      <c r="F550" s="70"/>
    </row>
    <row r="551" spans="1:6" s="273" customFormat="1" ht="13.8" x14ac:dyDescent="0.25">
      <c r="A551" s="194"/>
      <c r="B551" s="272"/>
      <c r="C551" s="2"/>
      <c r="D551" s="70"/>
      <c r="E551" s="70"/>
      <c r="F551" s="70"/>
    </row>
    <row r="552" spans="1:6" s="273" customFormat="1" ht="13.8" x14ac:dyDescent="0.25">
      <c r="A552" s="194"/>
      <c r="B552" s="272"/>
      <c r="C552" s="2"/>
      <c r="D552" s="70"/>
      <c r="E552" s="70"/>
      <c r="F552" s="70"/>
    </row>
    <row r="553" spans="1:6" s="273" customFormat="1" ht="13.8" x14ac:dyDescent="0.25">
      <c r="A553" s="194"/>
      <c r="B553" s="272"/>
      <c r="C553" s="2"/>
      <c r="D553" s="70"/>
      <c r="E553" s="70"/>
      <c r="F553" s="70"/>
    </row>
    <row r="554" spans="1:6" s="273" customFormat="1" ht="13.8" x14ac:dyDescent="0.25">
      <c r="A554" s="194"/>
      <c r="B554" s="272"/>
      <c r="C554" s="2"/>
      <c r="D554" s="70"/>
      <c r="E554" s="70"/>
      <c r="F554" s="70"/>
    </row>
    <row r="555" spans="1:6" s="273" customFormat="1" ht="13.8" x14ac:dyDescent="0.25">
      <c r="A555" s="194"/>
      <c r="B555" s="272"/>
      <c r="C555" s="2"/>
      <c r="D555" s="70"/>
      <c r="E555" s="70"/>
      <c r="F555" s="70"/>
    </row>
    <row r="556" spans="1:6" s="273" customFormat="1" ht="13.8" x14ac:dyDescent="0.25">
      <c r="A556" s="194"/>
      <c r="B556" s="272"/>
      <c r="C556" s="2"/>
      <c r="D556" s="70"/>
      <c r="E556" s="70"/>
      <c r="F556" s="70"/>
    </row>
    <row r="557" spans="1:6" s="273" customFormat="1" ht="13.8" x14ac:dyDescent="0.25">
      <c r="A557" s="194"/>
      <c r="B557" s="272"/>
      <c r="C557" s="2"/>
      <c r="D557" s="70"/>
      <c r="E557" s="70"/>
      <c r="F557" s="70"/>
    </row>
    <row r="558" spans="1:6" s="273" customFormat="1" ht="13.8" x14ac:dyDescent="0.25">
      <c r="A558" s="194"/>
      <c r="B558" s="272"/>
      <c r="C558" s="2"/>
      <c r="D558" s="70"/>
      <c r="E558" s="70"/>
      <c r="F558" s="70"/>
    </row>
    <row r="559" spans="1:6" s="273" customFormat="1" ht="13.8" x14ac:dyDescent="0.25">
      <c r="A559" s="194"/>
      <c r="B559" s="272"/>
      <c r="C559" s="2"/>
      <c r="D559" s="70"/>
      <c r="E559" s="70"/>
      <c r="F559" s="70"/>
    </row>
    <row r="560" spans="1:6" s="273" customFormat="1" ht="13.8" x14ac:dyDescent="0.25">
      <c r="A560" s="194"/>
      <c r="B560" s="272"/>
      <c r="C560" s="2"/>
      <c r="D560" s="70"/>
      <c r="E560" s="70"/>
      <c r="F560" s="70"/>
    </row>
    <row r="561" spans="1:6" s="273" customFormat="1" ht="13.8" x14ac:dyDescent="0.25">
      <c r="A561" s="194"/>
      <c r="B561" s="272"/>
      <c r="C561" s="2"/>
      <c r="D561" s="70"/>
      <c r="E561" s="70"/>
      <c r="F561" s="70"/>
    </row>
    <row r="562" spans="1:6" s="273" customFormat="1" ht="13.8" x14ac:dyDescent="0.25">
      <c r="A562" s="194"/>
      <c r="B562" s="272"/>
      <c r="C562" s="2"/>
      <c r="D562" s="70"/>
      <c r="E562" s="70"/>
      <c r="F562" s="70"/>
    </row>
    <row r="563" spans="1:6" s="273" customFormat="1" ht="13.8" x14ac:dyDescent="0.25">
      <c r="A563" s="194"/>
      <c r="B563" s="272"/>
      <c r="C563" s="2"/>
      <c r="D563" s="70"/>
      <c r="E563" s="70"/>
      <c r="F563" s="70"/>
    </row>
    <row r="564" spans="1:6" s="273" customFormat="1" ht="13.8" x14ac:dyDescent="0.25">
      <c r="A564" s="194"/>
      <c r="B564" s="272"/>
      <c r="C564" s="2"/>
      <c r="D564" s="70"/>
      <c r="E564" s="70"/>
      <c r="F564" s="70"/>
    </row>
    <row r="565" spans="1:6" s="273" customFormat="1" ht="13.8" x14ac:dyDescent="0.25">
      <c r="A565" s="194"/>
      <c r="B565" s="272"/>
      <c r="C565" s="2"/>
      <c r="D565" s="70"/>
      <c r="E565" s="70"/>
      <c r="F565" s="70"/>
    </row>
    <row r="566" spans="1:6" s="273" customFormat="1" ht="13.8" x14ac:dyDescent="0.25">
      <c r="A566" s="194"/>
      <c r="B566" s="272"/>
      <c r="C566" s="2"/>
      <c r="D566" s="70"/>
      <c r="E566" s="70"/>
      <c r="F566" s="70"/>
    </row>
    <row r="567" spans="1:6" s="273" customFormat="1" ht="13.8" x14ac:dyDescent="0.25">
      <c r="A567" s="194"/>
      <c r="B567" s="272"/>
      <c r="C567" s="2"/>
      <c r="D567" s="70"/>
      <c r="E567" s="70"/>
      <c r="F567" s="70"/>
    </row>
  </sheetData>
  <sheetProtection algorithmName="SHA-512" hashValue="9XGnV9VigFex5PIXkad79rm9V80Ko/7hPW0/wO6tho88rzNFhpvds4UFHtEZ5d19DTgxSd5O/VMY4j80a5KX+g==" saltValue="xNjvpeXtDGBzYVlShTUq9A==" spinCount="100000" sheet="1" objects="1" scenarios="1"/>
  <pageMargins left="0.31496062992125984" right="0.31496062992125984" top="0.43307086614173229" bottom="0.31496062992125984" header="0.31496062992125984" footer="0.31496062992125984"/>
  <pageSetup paperSize="9" scale="28" orientation="landscape" verticalDpi="0" r:id="rId1"/>
  <rowBreaks count="1" manualBreakCount="1">
    <brk id="9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21"/>
  <sheetViews>
    <sheetView showGridLines="0" zoomScale="80" zoomScaleNormal="80" workbookViewId="0">
      <pane xSplit="2" ySplit="8" topLeftCell="C9" activePane="bottomRight" state="frozen"/>
      <selection activeCell="Q9" sqref="P8:Q9"/>
      <selection pane="topRight" activeCell="Q9" sqref="P8:Q9"/>
      <selection pane="bottomLeft" activeCell="Q9" sqref="P8:Q9"/>
      <selection pane="bottomRight" activeCell="G1" sqref="G1"/>
    </sheetView>
  </sheetViews>
  <sheetFormatPr defaultColWidth="8.88671875" defaultRowHeight="14.4" x14ac:dyDescent="0.3"/>
  <cols>
    <col min="1" max="1" width="69.88671875" bestFit="1" customWidth="1"/>
    <col min="2" max="2" width="10.109375" style="443" customWidth="1"/>
    <col min="3" max="12" width="12.88671875" customWidth="1"/>
    <col min="13" max="13" width="2.88671875" customWidth="1"/>
    <col min="14" max="18" width="8.88671875" customWidth="1"/>
    <col min="19" max="19" width="10.109375" customWidth="1"/>
    <col min="20" max="20" width="8.88671875" customWidth="1"/>
    <col min="21" max="23" width="9.5546875" bestFit="1" customWidth="1"/>
    <col min="25" max="38" width="0" hidden="1" customWidth="1"/>
  </cols>
  <sheetData>
    <row r="1" spans="1:23" ht="60" customHeight="1" x14ac:dyDescent="0.3">
      <c r="A1" s="221" t="str">
        <f>'Assumptions input'!A1</f>
        <v xml:space="preserve">Benign prostatic technologies - Greenlight (MTG74), Rezum (MTG49), UroLift (MTG58), Plasma system (MTG53) and mTURP </v>
      </c>
      <c r="B1" s="440" t="s">
        <v>3</v>
      </c>
      <c r="C1" s="198" t="s">
        <v>3</v>
      </c>
      <c r="D1" s="198" t="s">
        <v>3</v>
      </c>
      <c r="E1" s="198" t="s">
        <v>3</v>
      </c>
      <c r="F1" s="198" t="s">
        <v>3</v>
      </c>
      <c r="G1" s="198" t="s">
        <v>3</v>
      </c>
      <c r="H1" s="198" t="s">
        <v>3</v>
      </c>
      <c r="I1" s="198" t="s">
        <v>3</v>
      </c>
      <c r="J1" s="198" t="s">
        <v>3</v>
      </c>
      <c r="K1" s="198" t="s">
        <v>3</v>
      </c>
      <c r="L1" s="198" t="s">
        <v>3</v>
      </c>
      <c r="M1" s="198" t="s">
        <v>3</v>
      </c>
      <c r="N1" s="198" t="s">
        <v>3</v>
      </c>
      <c r="O1" s="198" t="s">
        <v>3</v>
      </c>
      <c r="P1" s="198" t="s">
        <v>3</v>
      </c>
      <c r="Q1" s="198" t="s">
        <v>3</v>
      </c>
      <c r="R1" s="198" t="s">
        <v>3</v>
      </c>
      <c r="S1" s="198" t="s">
        <v>3</v>
      </c>
      <c r="T1" s="198" t="s">
        <v>3</v>
      </c>
      <c r="U1" s="198" t="s">
        <v>3</v>
      </c>
      <c r="V1" s="198" t="s">
        <v>3</v>
      </c>
      <c r="W1" s="198" t="s">
        <v>3</v>
      </c>
    </row>
    <row r="2" spans="1:23" ht="30" customHeight="1" x14ac:dyDescent="0.3">
      <c r="A2" s="197" t="s">
        <v>461</v>
      </c>
      <c r="B2" s="440" t="s">
        <v>3</v>
      </c>
      <c r="C2" s="198" t="s">
        <v>3</v>
      </c>
      <c r="D2" s="198" t="s">
        <v>3</v>
      </c>
      <c r="E2" s="198" t="s">
        <v>3</v>
      </c>
      <c r="F2" s="198" t="s">
        <v>3</v>
      </c>
      <c r="G2" s="198" t="s">
        <v>3</v>
      </c>
      <c r="H2" s="198" t="s">
        <v>3</v>
      </c>
      <c r="I2" s="198" t="s">
        <v>3</v>
      </c>
      <c r="J2" s="198" t="s">
        <v>3</v>
      </c>
      <c r="K2" s="198" t="s">
        <v>3</v>
      </c>
      <c r="L2" s="198" t="s">
        <v>3</v>
      </c>
      <c r="M2" s="198" t="s">
        <v>3</v>
      </c>
      <c r="N2" s="198" t="s">
        <v>3</v>
      </c>
      <c r="O2" s="198" t="s">
        <v>3</v>
      </c>
      <c r="P2" s="198" t="s">
        <v>3</v>
      </c>
      <c r="Q2" s="198" t="s">
        <v>3</v>
      </c>
      <c r="R2" s="198" t="s">
        <v>3</v>
      </c>
      <c r="S2" s="198" t="s">
        <v>3</v>
      </c>
      <c r="T2" s="198" t="s">
        <v>3</v>
      </c>
      <c r="U2" s="198" t="s">
        <v>3</v>
      </c>
      <c r="V2" s="198" t="s">
        <v>3</v>
      </c>
      <c r="W2" s="198" t="s">
        <v>3</v>
      </c>
    </row>
    <row r="3" spans="1:23" x14ac:dyDescent="0.3">
      <c r="A3" s="234" t="s">
        <v>3</v>
      </c>
      <c r="B3" s="441" t="s">
        <v>3</v>
      </c>
      <c r="C3" s="234" t="s">
        <v>3</v>
      </c>
      <c r="D3" s="234" t="s">
        <v>3</v>
      </c>
      <c r="E3" s="234" t="s">
        <v>3</v>
      </c>
      <c r="F3" s="234" t="s">
        <v>3</v>
      </c>
      <c r="G3" s="234" t="s">
        <v>3</v>
      </c>
      <c r="H3" s="234" t="s">
        <v>3</v>
      </c>
      <c r="I3" s="234" t="s">
        <v>3</v>
      </c>
      <c r="J3" s="234" t="s">
        <v>3</v>
      </c>
      <c r="K3" s="234" t="s">
        <v>3</v>
      </c>
      <c r="L3" s="234" t="s">
        <v>3</v>
      </c>
      <c r="M3" s="234" t="s">
        <v>3</v>
      </c>
      <c r="N3" s="234" t="s">
        <v>3</v>
      </c>
      <c r="O3" s="234" t="s">
        <v>3</v>
      </c>
      <c r="P3" s="234" t="s">
        <v>3</v>
      </c>
      <c r="Q3" s="234" t="s">
        <v>3</v>
      </c>
      <c r="R3" s="234" t="s">
        <v>3</v>
      </c>
      <c r="S3" s="234" t="s">
        <v>3</v>
      </c>
      <c r="T3" s="234" t="s">
        <v>3</v>
      </c>
      <c r="U3" s="234" t="s">
        <v>3</v>
      </c>
      <c r="V3" s="234" t="s">
        <v>3</v>
      </c>
      <c r="W3" s="234" t="s">
        <v>3</v>
      </c>
    </row>
    <row r="4" spans="1:23" x14ac:dyDescent="0.3">
      <c r="A4" s="235" t="s">
        <v>3</v>
      </c>
      <c r="B4" s="442" t="s">
        <v>3</v>
      </c>
      <c r="C4" s="235" t="s">
        <v>3</v>
      </c>
      <c r="D4" s="235" t="s">
        <v>3</v>
      </c>
      <c r="E4" s="234" t="s">
        <v>3</v>
      </c>
      <c r="F4" s="234" t="s">
        <v>3</v>
      </c>
      <c r="G4" s="234" t="s">
        <v>3</v>
      </c>
      <c r="H4" s="234" t="s">
        <v>3</v>
      </c>
      <c r="I4" s="234" t="s">
        <v>3</v>
      </c>
      <c r="J4" s="234" t="s">
        <v>3</v>
      </c>
      <c r="K4" s="234" t="s">
        <v>3</v>
      </c>
      <c r="L4" s="234" t="s">
        <v>3</v>
      </c>
      <c r="M4" s="234" t="s">
        <v>3</v>
      </c>
      <c r="N4" s="234" t="s">
        <v>3</v>
      </c>
      <c r="O4" s="234" t="s">
        <v>3</v>
      </c>
      <c r="P4" s="234" t="s">
        <v>3</v>
      </c>
      <c r="Q4" s="234" t="s">
        <v>3</v>
      </c>
      <c r="R4" s="234" t="s">
        <v>3</v>
      </c>
      <c r="S4" s="234" t="s">
        <v>3</v>
      </c>
      <c r="T4" s="234" t="s">
        <v>3</v>
      </c>
      <c r="U4" s="234" t="s">
        <v>3</v>
      </c>
      <c r="V4" s="234" t="s">
        <v>3</v>
      </c>
      <c r="W4" s="234" t="s">
        <v>3</v>
      </c>
    </row>
    <row r="5" spans="1:23" x14ac:dyDescent="0.3">
      <c r="A5" s="12" t="s">
        <v>357</v>
      </c>
      <c r="E5" s="234" t="s">
        <v>3</v>
      </c>
      <c r="F5" s="234" t="s">
        <v>3</v>
      </c>
      <c r="G5" s="234" t="s">
        <v>3</v>
      </c>
      <c r="H5" s="234" t="s">
        <v>3</v>
      </c>
      <c r="I5" s="234" t="s">
        <v>3</v>
      </c>
      <c r="J5" s="234" t="s">
        <v>3</v>
      </c>
      <c r="K5" s="234" t="s">
        <v>3</v>
      </c>
      <c r="L5" s="234" t="s">
        <v>3</v>
      </c>
      <c r="M5" s="234" t="s">
        <v>3</v>
      </c>
      <c r="N5" s="234" t="s">
        <v>3</v>
      </c>
      <c r="O5" s="234" t="s">
        <v>3</v>
      </c>
      <c r="P5" s="234" t="s">
        <v>3</v>
      </c>
      <c r="Q5" s="234" t="s">
        <v>3</v>
      </c>
      <c r="R5" s="234" t="s">
        <v>3</v>
      </c>
      <c r="S5" s="234" t="s">
        <v>3</v>
      </c>
      <c r="T5" s="234" t="s">
        <v>3</v>
      </c>
      <c r="U5" s="234" t="s">
        <v>3</v>
      </c>
      <c r="V5" s="234" t="s">
        <v>3</v>
      </c>
      <c r="W5" s="234" t="s">
        <v>3</v>
      </c>
    </row>
    <row r="6" spans="1:23" x14ac:dyDescent="0.3">
      <c r="A6" s="12" t="s">
        <v>273</v>
      </c>
      <c r="B6" s="441" t="s">
        <v>3</v>
      </c>
      <c r="C6" s="234" t="s">
        <v>3</v>
      </c>
      <c r="D6" s="234" t="s">
        <v>3</v>
      </c>
      <c r="E6" s="234" t="s">
        <v>3</v>
      </c>
      <c r="F6" s="234" t="s">
        <v>3</v>
      </c>
      <c r="G6" s="234" t="s">
        <v>3</v>
      </c>
      <c r="H6" s="234" t="s">
        <v>3</v>
      </c>
      <c r="I6" s="234" t="s">
        <v>3</v>
      </c>
      <c r="J6" s="234" t="s">
        <v>3</v>
      </c>
      <c r="K6" s="234" t="s">
        <v>3</v>
      </c>
      <c r="L6" s="234" t="s">
        <v>3</v>
      </c>
      <c r="M6" s="234" t="s">
        <v>3</v>
      </c>
      <c r="N6" s="234" t="s">
        <v>3</v>
      </c>
      <c r="O6" s="234" t="s">
        <v>3</v>
      </c>
      <c r="P6" s="234" t="s">
        <v>3</v>
      </c>
      <c r="Q6" s="234" t="s">
        <v>3</v>
      </c>
      <c r="R6" s="234" t="s">
        <v>3</v>
      </c>
      <c r="S6" s="234" t="s">
        <v>3</v>
      </c>
      <c r="T6" s="234" t="s">
        <v>3</v>
      </c>
      <c r="U6" s="234" t="s">
        <v>3</v>
      </c>
      <c r="V6" s="234" t="s">
        <v>3</v>
      </c>
      <c r="W6" s="234" t="s">
        <v>3</v>
      </c>
    </row>
    <row r="7" spans="1:23" ht="15" thickBot="1" x14ac:dyDescent="0.35">
      <c r="A7" s="235" t="s">
        <v>3</v>
      </c>
      <c r="B7" s="441" t="s">
        <v>3</v>
      </c>
      <c r="C7" s="234" t="s">
        <v>3</v>
      </c>
      <c r="D7" s="234" t="s">
        <v>3</v>
      </c>
      <c r="E7" s="234" t="s">
        <v>3</v>
      </c>
      <c r="F7" s="234" t="s">
        <v>3</v>
      </c>
      <c r="G7" s="234" t="s">
        <v>3</v>
      </c>
      <c r="H7" s="234" t="s">
        <v>3</v>
      </c>
      <c r="I7" s="234" t="s">
        <v>3</v>
      </c>
      <c r="J7" s="234" t="s">
        <v>3</v>
      </c>
      <c r="K7" s="234" t="s">
        <v>3</v>
      </c>
      <c r="L7" s="234" t="s">
        <v>3</v>
      </c>
      <c r="M7" s="234" t="s">
        <v>3</v>
      </c>
      <c r="N7" s="234" t="s">
        <v>3</v>
      </c>
      <c r="O7" s="234" t="s">
        <v>3</v>
      </c>
      <c r="P7" s="234" t="s">
        <v>3</v>
      </c>
      <c r="Q7" s="234" t="s">
        <v>3</v>
      </c>
      <c r="R7" s="234" t="s">
        <v>3</v>
      </c>
      <c r="S7" s="234" t="s">
        <v>3</v>
      </c>
      <c r="T7" s="234" t="s">
        <v>3</v>
      </c>
      <c r="U7" s="234" t="s">
        <v>3</v>
      </c>
      <c r="V7" s="234" t="s">
        <v>3</v>
      </c>
      <c r="W7" s="234" t="s">
        <v>3</v>
      </c>
    </row>
    <row r="8" spans="1:23" ht="83.4" thickBot="1" x14ac:dyDescent="0.35">
      <c r="A8" s="361"/>
      <c r="B8" s="199" t="s">
        <v>446</v>
      </c>
      <c r="C8" s="290" t="s">
        <v>476</v>
      </c>
      <c r="D8" s="291" t="s">
        <v>477</v>
      </c>
      <c r="E8" s="292" t="s">
        <v>478</v>
      </c>
      <c r="F8" s="293" t="s">
        <v>479</v>
      </c>
      <c r="G8" s="294" t="s">
        <v>480</v>
      </c>
      <c r="H8" s="295" t="s">
        <v>481</v>
      </c>
      <c r="I8" s="296" t="s">
        <v>482</v>
      </c>
      <c r="J8" s="297" t="s">
        <v>483</v>
      </c>
      <c r="K8" s="297" t="s">
        <v>484</v>
      </c>
      <c r="L8" s="298" t="s">
        <v>485</v>
      </c>
      <c r="M8" s="299"/>
      <c r="N8" s="300" t="s">
        <v>486</v>
      </c>
      <c r="O8" s="301" t="s">
        <v>487</v>
      </c>
      <c r="P8" s="302" t="s">
        <v>488</v>
      </c>
      <c r="Q8" s="302" t="s">
        <v>489</v>
      </c>
      <c r="R8" s="303" t="s">
        <v>490</v>
      </c>
      <c r="S8" s="302" t="s">
        <v>491</v>
      </c>
      <c r="T8" s="302" t="s">
        <v>492</v>
      </c>
      <c r="U8" s="302" t="s">
        <v>493</v>
      </c>
      <c r="V8" s="302" t="s">
        <v>494</v>
      </c>
      <c r="W8" s="303" t="s">
        <v>495</v>
      </c>
    </row>
    <row r="9" spans="1:23" x14ac:dyDescent="0.3">
      <c r="A9" s="332" t="s">
        <v>535</v>
      </c>
      <c r="B9" s="219"/>
      <c r="C9" s="365"/>
      <c r="D9" s="366"/>
      <c r="E9" s="366"/>
      <c r="F9" s="366"/>
      <c r="G9" s="366"/>
      <c r="H9" s="367"/>
      <c r="I9" s="368"/>
      <c r="J9" s="368"/>
      <c r="K9" s="368"/>
      <c r="L9" s="368"/>
      <c r="M9" s="373"/>
      <c r="N9" s="366"/>
      <c r="O9" s="366"/>
      <c r="P9" s="366"/>
      <c r="Q9" s="366"/>
      <c r="R9" s="366"/>
      <c r="S9" s="369"/>
      <c r="T9" s="366"/>
      <c r="U9" s="366"/>
      <c r="V9" s="366"/>
      <c r="W9" s="370"/>
    </row>
    <row r="10" spans="1:23" x14ac:dyDescent="0.3">
      <c r="A10" s="320" t="s">
        <v>524</v>
      </c>
      <c r="B10" s="219"/>
      <c r="C10" s="362">
        <f>'Assumptions input'!B16</f>
        <v>0.3</v>
      </c>
      <c r="D10" s="334">
        <f>C10</f>
        <v>0.3</v>
      </c>
      <c r="E10" s="334">
        <f t="shared" ref="E10:G10" si="0">D10</f>
        <v>0.3</v>
      </c>
      <c r="F10" s="334">
        <f t="shared" si="0"/>
        <v>0.3</v>
      </c>
      <c r="G10" s="334">
        <f t="shared" si="0"/>
        <v>0.3</v>
      </c>
      <c r="H10" s="363">
        <v>0.15</v>
      </c>
      <c r="I10" s="334">
        <v>0.05</v>
      </c>
      <c r="J10" s="334">
        <v>0</v>
      </c>
      <c r="K10" s="334">
        <v>0</v>
      </c>
      <c r="L10" s="334">
        <v>0</v>
      </c>
      <c r="M10" s="244"/>
      <c r="N10" s="473"/>
      <c r="O10" s="474"/>
      <c r="P10" s="474"/>
      <c r="Q10" s="474"/>
      <c r="R10" s="473"/>
      <c r="S10" s="475"/>
      <c r="T10" s="474"/>
      <c r="U10" s="474"/>
      <c r="V10" s="474"/>
      <c r="W10" s="476"/>
    </row>
    <row r="11" spans="1:23" x14ac:dyDescent="0.3">
      <c r="A11" s="320" t="s">
        <v>534</v>
      </c>
      <c r="B11" s="219"/>
      <c r="C11" s="362">
        <f>'Assumptions input'!B17</f>
        <v>0.4</v>
      </c>
      <c r="D11" s="334">
        <f t="shared" ref="D11:G11" si="1">C11</f>
        <v>0.4</v>
      </c>
      <c r="E11" s="334">
        <f t="shared" si="1"/>
        <v>0.4</v>
      </c>
      <c r="F11" s="334">
        <f t="shared" si="1"/>
        <v>0.4</v>
      </c>
      <c r="G11" s="334">
        <f t="shared" si="1"/>
        <v>0.4</v>
      </c>
      <c r="H11" s="364">
        <v>0.4</v>
      </c>
      <c r="I11" s="334">
        <v>0.3</v>
      </c>
      <c r="J11" s="334">
        <v>0.25</v>
      </c>
      <c r="K11" s="334">
        <v>0.2</v>
      </c>
      <c r="L11" s="334">
        <v>0.15</v>
      </c>
      <c r="M11" s="244"/>
      <c r="N11" s="473"/>
      <c r="O11" s="474"/>
      <c r="P11" s="474"/>
      <c r="Q11" s="474"/>
      <c r="R11" s="473"/>
      <c r="S11" s="475"/>
      <c r="T11" s="474"/>
      <c r="U11" s="474"/>
      <c r="V11" s="474"/>
      <c r="W11" s="476"/>
    </row>
    <row r="12" spans="1:23" x14ac:dyDescent="0.3">
      <c r="A12" s="417" t="s">
        <v>530</v>
      </c>
      <c r="B12" s="219"/>
      <c r="C12" s="362">
        <f>'Assumptions input'!B18</f>
        <v>0.11</v>
      </c>
      <c r="D12" s="334">
        <f t="shared" ref="D12:G12" si="2">C12</f>
        <v>0.11</v>
      </c>
      <c r="E12" s="334">
        <f t="shared" si="2"/>
        <v>0.11</v>
      </c>
      <c r="F12" s="334">
        <f t="shared" si="2"/>
        <v>0.11</v>
      </c>
      <c r="G12" s="334">
        <f t="shared" si="2"/>
        <v>0.11</v>
      </c>
      <c r="H12" s="333">
        <v>0.1</v>
      </c>
      <c r="I12" s="334">
        <v>0.15</v>
      </c>
      <c r="J12" s="334">
        <v>0.2</v>
      </c>
      <c r="K12" s="334">
        <v>0.2</v>
      </c>
      <c r="L12" s="334">
        <v>0.2</v>
      </c>
      <c r="M12" s="244"/>
      <c r="N12" s="473"/>
      <c r="O12" s="474"/>
      <c r="P12" s="474"/>
      <c r="Q12" s="474"/>
      <c r="R12" s="473"/>
      <c r="S12" s="475"/>
      <c r="T12" s="474"/>
      <c r="U12" s="474"/>
      <c r="V12" s="474"/>
      <c r="W12" s="476"/>
    </row>
    <row r="13" spans="1:23" x14ac:dyDescent="0.3">
      <c r="A13" s="284" t="s">
        <v>531</v>
      </c>
      <c r="B13" s="219"/>
      <c r="C13" s="371">
        <f>'Assumptions input'!B19</f>
        <v>0.1</v>
      </c>
      <c r="D13" s="372">
        <f t="shared" ref="D13:G13" si="3">C13</f>
        <v>0.1</v>
      </c>
      <c r="E13" s="372">
        <f t="shared" si="3"/>
        <v>0.1</v>
      </c>
      <c r="F13" s="372">
        <f t="shared" si="3"/>
        <v>0.1</v>
      </c>
      <c r="G13" s="372">
        <f t="shared" si="3"/>
        <v>0.1</v>
      </c>
      <c r="H13" s="333">
        <v>0.15</v>
      </c>
      <c r="I13" s="334">
        <v>0.2</v>
      </c>
      <c r="J13" s="334">
        <v>0.25</v>
      </c>
      <c r="K13" s="334">
        <v>0.3</v>
      </c>
      <c r="L13" s="334">
        <v>0.25</v>
      </c>
      <c r="M13" s="244"/>
      <c r="N13" s="473"/>
      <c r="O13" s="474"/>
      <c r="P13" s="474"/>
      <c r="Q13" s="474"/>
      <c r="R13" s="473"/>
      <c r="S13" s="475"/>
      <c r="T13" s="474"/>
      <c r="U13" s="474"/>
      <c r="V13" s="474"/>
      <c r="W13" s="476"/>
    </row>
    <row r="14" spans="1:23" x14ac:dyDescent="0.3">
      <c r="A14" s="284" t="s">
        <v>532</v>
      </c>
      <c r="B14" s="219"/>
      <c r="C14" s="371">
        <f>'Assumptions input'!B20</f>
        <v>0.03</v>
      </c>
      <c r="D14" s="372">
        <f t="shared" ref="D14:G14" si="4">C14</f>
        <v>0.03</v>
      </c>
      <c r="E14" s="372">
        <f t="shared" si="4"/>
        <v>0.03</v>
      </c>
      <c r="F14" s="372">
        <f t="shared" si="4"/>
        <v>0.03</v>
      </c>
      <c r="G14" s="372">
        <f t="shared" si="4"/>
        <v>0.03</v>
      </c>
      <c r="H14" s="333">
        <v>0.1</v>
      </c>
      <c r="I14" s="334">
        <v>0.15</v>
      </c>
      <c r="J14" s="334">
        <v>0.15</v>
      </c>
      <c r="K14" s="334">
        <v>0.15</v>
      </c>
      <c r="L14" s="334">
        <v>0.2</v>
      </c>
      <c r="M14" s="244"/>
      <c r="N14" s="473"/>
      <c r="O14" s="474"/>
      <c r="P14" s="474"/>
      <c r="Q14" s="474"/>
      <c r="R14" s="473"/>
      <c r="S14" s="475"/>
      <c r="T14" s="474"/>
      <c r="U14" s="474"/>
      <c r="V14" s="474"/>
      <c r="W14" s="476"/>
    </row>
    <row r="15" spans="1:23" x14ac:dyDescent="0.3">
      <c r="A15" s="185" t="s">
        <v>533</v>
      </c>
      <c r="B15" s="219"/>
      <c r="C15" s="371">
        <f>'Assumptions input'!B21</f>
        <v>0.06</v>
      </c>
      <c r="D15" s="372">
        <f t="shared" ref="D15:G15" si="5">C15</f>
        <v>0.06</v>
      </c>
      <c r="E15" s="372">
        <f t="shared" si="5"/>
        <v>0.06</v>
      </c>
      <c r="F15" s="372">
        <f t="shared" si="5"/>
        <v>0.06</v>
      </c>
      <c r="G15" s="372">
        <f t="shared" si="5"/>
        <v>0.06</v>
      </c>
      <c r="H15" s="333">
        <v>0.1</v>
      </c>
      <c r="I15" s="334">
        <v>0.15</v>
      </c>
      <c r="J15" s="334">
        <v>0.15</v>
      </c>
      <c r="K15" s="334">
        <v>0.15</v>
      </c>
      <c r="L15" s="334">
        <v>0.2</v>
      </c>
      <c r="M15" s="244"/>
      <c r="N15" s="473"/>
      <c r="O15" s="474"/>
      <c r="P15" s="474"/>
      <c r="Q15" s="474"/>
      <c r="R15" s="473"/>
      <c r="S15" s="475"/>
      <c r="T15" s="474"/>
      <c r="U15" s="474"/>
      <c r="V15" s="474"/>
      <c r="W15" s="476"/>
    </row>
    <row r="16" spans="1:23" x14ac:dyDescent="0.3">
      <c r="A16" s="185"/>
      <c r="B16" s="219"/>
      <c r="C16" s="483">
        <f>SUM(C10:C15)</f>
        <v>1</v>
      </c>
      <c r="D16" s="485">
        <f t="shared" ref="D16:G16" si="6">SUM(D10:D15)</f>
        <v>1</v>
      </c>
      <c r="E16" s="485">
        <f t="shared" si="6"/>
        <v>1</v>
      </c>
      <c r="F16" s="485">
        <f t="shared" si="6"/>
        <v>1</v>
      </c>
      <c r="G16" s="484">
        <f t="shared" si="6"/>
        <v>1</v>
      </c>
      <c r="H16" s="367">
        <f>SUM(H10:H15)</f>
        <v>1</v>
      </c>
      <c r="I16" s="486">
        <f t="shared" ref="I16:L16" si="7">SUM(I10:I15)</f>
        <v>1</v>
      </c>
      <c r="J16" s="486">
        <f t="shared" si="7"/>
        <v>1</v>
      </c>
      <c r="K16" s="486">
        <f t="shared" si="7"/>
        <v>1</v>
      </c>
      <c r="L16" s="368">
        <f t="shared" si="7"/>
        <v>1</v>
      </c>
      <c r="M16" s="244"/>
      <c r="N16" s="366"/>
      <c r="O16" s="366"/>
      <c r="P16" s="366"/>
      <c r="Q16" s="366"/>
      <c r="R16" s="366"/>
      <c r="S16" s="369"/>
      <c r="T16" s="366"/>
      <c r="U16" s="366"/>
      <c r="V16" s="366"/>
      <c r="W16" s="370"/>
    </row>
    <row r="17" spans="1:37" x14ac:dyDescent="0.3">
      <c r="A17" s="307" t="s">
        <v>536</v>
      </c>
      <c r="B17" s="219"/>
      <c r="C17" s="365"/>
      <c r="D17" s="366"/>
      <c r="E17" s="366"/>
      <c r="F17" s="366"/>
      <c r="G17" s="366"/>
      <c r="H17" s="367"/>
      <c r="I17" s="368"/>
      <c r="J17" s="368"/>
      <c r="K17" s="368"/>
      <c r="L17" s="368"/>
      <c r="M17" s="244"/>
      <c r="N17" s="366"/>
      <c r="O17" s="366"/>
      <c r="P17" s="366"/>
      <c r="Q17" s="366"/>
      <c r="R17" s="366"/>
      <c r="S17" s="369"/>
      <c r="T17" s="366"/>
      <c r="U17" s="366"/>
      <c r="V17" s="366"/>
      <c r="W17" s="370"/>
    </row>
    <row r="18" spans="1:37" x14ac:dyDescent="0.3">
      <c r="A18" s="320" t="s">
        <v>524</v>
      </c>
      <c r="B18" s="201"/>
      <c r="C18" s="200">
        <f>'Assumptions input'!$C$14*'Resource impact over time'!C10</f>
        <v>9249.9896458192907</v>
      </c>
      <c r="D18" s="200">
        <f>'Assumptions input'!$C$14*'Resource impact over time'!D10</f>
        <v>9249.9896458192907</v>
      </c>
      <c r="E18" s="200">
        <f>'Assumptions input'!$C$14*'Resource impact over time'!E10</f>
        <v>9249.9896458192907</v>
      </c>
      <c r="F18" s="200">
        <f>'Assumptions input'!$C$14*'Resource impact over time'!F10</f>
        <v>9249.9896458192907</v>
      </c>
      <c r="G18" s="200">
        <f>'Assumptions input'!$C$14*'Resource impact over time'!G10</f>
        <v>9249.9896458192907</v>
      </c>
      <c r="H18" s="238">
        <f>'Assumptions input'!$E$14*'Resource impact over time'!H10</f>
        <v>4624.9948229096453</v>
      </c>
      <c r="I18" s="242">
        <f>'Assumptions input'!$E$14*'Resource impact over time'!I10</f>
        <v>1541.6649409698821</v>
      </c>
      <c r="J18" s="200">
        <f>'Assumptions input'!$E$14*'Resource impact over time'!J10</f>
        <v>0</v>
      </c>
      <c r="K18" s="200">
        <f>'Assumptions input'!$E$14*'Resource impact over time'!K10</f>
        <v>0</v>
      </c>
      <c r="L18" s="242">
        <f>'Assumptions input'!$E$14*'Resource impact over time'!L10</f>
        <v>0</v>
      </c>
      <c r="M18" s="244"/>
      <c r="N18" s="242">
        <f t="shared" ref="N18" si="8">H18-C18</f>
        <v>-4624.9948229096453</v>
      </c>
      <c r="O18" s="200">
        <f t="shared" ref="O18:O23" si="9">I18-D18</f>
        <v>-7708.3247048494086</v>
      </c>
      <c r="P18" s="200">
        <f t="shared" ref="P18:P23" si="10">J18-E18</f>
        <v>-9249.9896458192907</v>
      </c>
      <c r="Q18" s="200">
        <f t="shared" ref="Q18:Q23" si="11">K18-F18</f>
        <v>-9249.9896458192907</v>
      </c>
      <c r="R18" s="236">
        <f t="shared" ref="R18:R23" si="12">L18-G18</f>
        <v>-9249.9896458192907</v>
      </c>
      <c r="S18" s="240"/>
      <c r="T18" s="201"/>
      <c r="U18" s="201"/>
      <c r="V18" s="201"/>
      <c r="W18" s="202"/>
      <c r="Y18" s="191">
        <f>C18</f>
        <v>9249.9896458192907</v>
      </c>
      <c r="Z18" s="191">
        <f>C18+N18</f>
        <v>4624.9948229096453</v>
      </c>
      <c r="AA18" s="191">
        <f>D18+O18</f>
        <v>1541.6649409698821</v>
      </c>
      <c r="AB18" s="191">
        <f>E18+P18</f>
        <v>0</v>
      </c>
      <c r="AC18" s="191">
        <f>F18+Q18</f>
        <v>0</v>
      </c>
      <c r="AD18" s="191">
        <f>G18+R18</f>
        <v>0</v>
      </c>
      <c r="AF18" s="191">
        <f>(C18*B18)/1000</f>
        <v>0</v>
      </c>
      <c r="AG18" s="191">
        <f>$AF18+S18</f>
        <v>0</v>
      </c>
      <c r="AH18" s="191">
        <f>$AF18+T18</f>
        <v>0</v>
      </c>
      <c r="AI18" s="191">
        <f>$AF18+U18</f>
        <v>0</v>
      </c>
      <c r="AJ18" s="191">
        <f>$AF18+V18</f>
        <v>0</v>
      </c>
      <c r="AK18" s="191">
        <f>$AF18+W18</f>
        <v>0</v>
      </c>
    </row>
    <row r="19" spans="1:37" x14ac:dyDescent="0.3">
      <c r="A19" s="320" t="s">
        <v>534</v>
      </c>
      <c r="B19" s="201"/>
      <c r="C19" s="200">
        <f>'Assumptions input'!$C$14*'Resource impact over time'!C11</f>
        <v>12333.319527759057</v>
      </c>
      <c r="D19" s="200">
        <f>'Assumptions input'!$C$14*'Resource impact over time'!D11</f>
        <v>12333.319527759057</v>
      </c>
      <c r="E19" s="200">
        <f>'Assumptions input'!$C$14*'Resource impact over time'!E11</f>
        <v>12333.319527759057</v>
      </c>
      <c r="F19" s="200">
        <f>'Assumptions input'!$C$14*'Resource impact over time'!F11</f>
        <v>12333.319527759057</v>
      </c>
      <c r="G19" s="200">
        <f>'Assumptions input'!$C$14*'Resource impact over time'!G11</f>
        <v>12333.319527759057</v>
      </c>
      <c r="H19" s="238">
        <f>'Assumptions input'!$E$14*'Resource impact over time'!H11</f>
        <v>12333.319527759057</v>
      </c>
      <c r="I19" s="200">
        <f>'Assumptions input'!$E$14*'Resource impact over time'!I11</f>
        <v>9249.9896458192907</v>
      </c>
      <c r="J19" s="200">
        <f>'Assumptions input'!$E$14*'Resource impact over time'!J11</f>
        <v>7708.3247048494095</v>
      </c>
      <c r="K19" s="200">
        <f>'Assumptions input'!$E$14*'Resource impact over time'!K11</f>
        <v>6166.6597638795283</v>
      </c>
      <c r="L19" s="286">
        <f>'Assumptions input'!$E$14*'Resource impact over time'!L11</f>
        <v>4624.9948229096453</v>
      </c>
      <c r="M19" s="244"/>
      <c r="N19" s="242">
        <f t="shared" ref="N19:N23" si="13">H19-C19</f>
        <v>0</v>
      </c>
      <c r="O19" s="200">
        <f t="shared" si="9"/>
        <v>-3083.329881939766</v>
      </c>
      <c r="P19" s="200">
        <f t="shared" si="10"/>
        <v>-4624.9948229096472</v>
      </c>
      <c r="Q19" s="200">
        <f t="shared" si="11"/>
        <v>-6166.6597638795283</v>
      </c>
      <c r="R19" s="236">
        <f t="shared" si="12"/>
        <v>-7708.3247048494113</v>
      </c>
      <c r="S19" s="240"/>
      <c r="T19" s="201"/>
      <c r="U19" s="201"/>
      <c r="V19" s="201"/>
      <c r="W19" s="202"/>
      <c r="Y19" s="191"/>
      <c r="Z19" s="191"/>
      <c r="AA19" s="191"/>
      <c r="AB19" s="191"/>
      <c r="AC19" s="191"/>
      <c r="AD19" s="191"/>
      <c r="AF19" s="191"/>
      <c r="AG19" s="191"/>
      <c r="AH19" s="191"/>
      <c r="AI19" s="191"/>
      <c r="AJ19" s="191"/>
      <c r="AK19" s="191"/>
    </row>
    <row r="20" spans="1:37" x14ac:dyDescent="0.3">
      <c r="A20" s="320" t="s">
        <v>530</v>
      </c>
      <c r="B20" s="201"/>
      <c r="C20" s="200">
        <f>'Assumptions input'!$C$14*'Resource impact over time'!C12</f>
        <v>3391.6628701337404</v>
      </c>
      <c r="D20" s="200">
        <f>'Assumptions input'!$C$14*'Resource impact over time'!D12</f>
        <v>3391.6628701337404</v>
      </c>
      <c r="E20" s="200">
        <f>'Assumptions input'!$C$14*'Resource impact over time'!E12</f>
        <v>3391.6628701337404</v>
      </c>
      <c r="F20" s="200">
        <f>'Assumptions input'!$C$14*'Resource impact over time'!F12</f>
        <v>3391.6628701337404</v>
      </c>
      <c r="G20" s="200">
        <f>'Assumptions input'!$C$14*'Resource impact over time'!G12</f>
        <v>3391.6628701337404</v>
      </c>
      <c r="H20" s="238">
        <f>'Assumptions input'!$E$14*'Resource impact over time'!H12</f>
        <v>3083.3298819397642</v>
      </c>
      <c r="I20" s="200">
        <f>'Assumptions input'!$E$14*'Resource impact over time'!I12</f>
        <v>4624.9948229096453</v>
      </c>
      <c r="J20" s="200">
        <f>'Assumptions input'!$E$14*'Resource impact over time'!J12</f>
        <v>6166.6597638795283</v>
      </c>
      <c r="K20" s="200">
        <f>'Assumptions input'!$E$14*'Resource impact over time'!K12</f>
        <v>6166.6597638795283</v>
      </c>
      <c r="L20" s="286">
        <f>'Assumptions input'!$E$14*'Resource impact over time'!L12</f>
        <v>6166.6597638795283</v>
      </c>
      <c r="M20" s="244"/>
      <c r="N20" s="242">
        <f t="shared" si="13"/>
        <v>-308.33298819397623</v>
      </c>
      <c r="O20" s="200">
        <f t="shared" si="9"/>
        <v>1233.3319527759049</v>
      </c>
      <c r="P20" s="200">
        <f t="shared" si="10"/>
        <v>2774.9968937457879</v>
      </c>
      <c r="Q20" s="200">
        <f t="shared" si="11"/>
        <v>2774.9968937457879</v>
      </c>
      <c r="R20" s="236">
        <f t="shared" si="12"/>
        <v>2774.9968937457879</v>
      </c>
      <c r="S20" s="240"/>
      <c r="T20" s="201"/>
      <c r="U20" s="201"/>
      <c r="V20" s="201"/>
      <c r="W20" s="202"/>
      <c r="Y20" s="191"/>
      <c r="Z20" s="191"/>
      <c r="AA20" s="191"/>
      <c r="AB20" s="191"/>
      <c r="AC20" s="191"/>
      <c r="AD20" s="191"/>
      <c r="AF20" s="191"/>
      <c r="AG20" s="191"/>
      <c r="AH20" s="191"/>
      <c r="AI20" s="191"/>
      <c r="AJ20" s="191"/>
      <c r="AK20" s="191"/>
    </row>
    <row r="21" spans="1:37" x14ac:dyDescent="0.3">
      <c r="A21" s="320" t="s">
        <v>531</v>
      </c>
      <c r="B21" s="201"/>
      <c r="C21" s="200">
        <f>'Assumptions input'!$C$14*'Resource impact over time'!C13</f>
        <v>3083.3298819397642</v>
      </c>
      <c r="D21" s="200">
        <f>'Assumptions input'!$C$14*'Resource impact over time'!D13</f>
        <v>3083.3298819397642</v>
      </c>
      <c r="E21" s="200">
        <f>'Assumptions input'!$C$14*'Resource impact over time'!E13</f>
        <v>3083.3298819397642</v>
      </c>
      <c r="F21" s="200">
        <f>'Assumptions input'!$C$14*'Resource impact over time'!F13</f>
        <v>3083.3298819397642</v>
      </c>
      <c r="G21" s="200">
        <f>'Assumptions input'!$C$14*'Resource impact over time'!G13</f>
        <v>3083.3298819397642</v>
      </c>
      <c r="H21" s="238">
        <f>'Assumptions input'!$E$14*'Resource impact over time'!H13</f>
        <v>4624.9948229096453</v>
      </c>
      <c r="I21" s="200">
        <f>'Assumptions input'!$E$14*'Resource impact over time'!I13</f>
        <v>6166.6597638795283</v>
      </c>
      <c r="J21" s="200">
        <f>'Assumptions input'!$E$14*'Resource impact over time'!J13</f>
        <v>7708.3247048494095</v>
      </c>
      <c r="K21" s="200">
        <f>'Assumptions input'!$E$14*'Resource impact over time'!K13</f>
        <v>9249.9896458192907</v>
      </c>
      <c r="L21" s="286">
        <f>'Assumptions input'!$E$14*'Resource impact over time'!L13</f>
        <v>7708.3247048494095</v>
      </c>
      <c r="M21" s="244"/>
      <c r="N21" s="242">
        <f t="shared" si="13"/>
        <v>1541.6649409698812</v>
      </c>
      <c r="O21" s="200">
        <f t="shared" si="9"/>
        <v>3083.3298819397642</v>
      </c>
      <c r="P21" s="200">
        <f t="shared" si="10"/>
        <v>4624.9948229096453</v>
      </c>
      <c r="Q21" s="200">
        <f t="shared" si="11"/>
        <v>6166.6597638795265</v>
      </c>
      <c r="R21" s="236">
        <f t="shared" si="12"/>
        <v>4624.9948229096453</v>
      </c>
      <c r="S21" s="240"/>
      <c r="T21" s="201"/>
      <c r="U21" s="201"/>
      <c r="V21" s="201"/>
      <c r="W21" s="202"/>
      <c r="Y21" s="191"/>
      <c r="Z21" s="191"/>
      <c r="AA21" s="191"/>
      <c r="AB21" s="191"/>
      <c r="AC21" s="191"/>
      <c r="AD21" s="191"/>
      <c r="AF21" s="191"/>
      <c r="AG21" s="191"/>
      <c r="AH21" s="191"/>
      <c r="AI21" s="191"/>
      <c r="AJ21" s="191"/>
      <c r="AK21" s="191"/>
    </row>
    <row r="22" spans="1:37" x14ac:dyDescent="0.3">
      <c r="A22" s="320" t="s">
        <v>532</v>
      </c>
      <c r="B22" s="201"/>
      <c r="C22" s="200">
        <f>'Assumptions input'!$C$14*'Resource impact over time'!C14</f>
        <v>924.99896458192916</v>
      </c>
      <c r="D22" s="200">
        <f>'Assumptions input'!$C$14*'Resource impact over time'!D14</f>
        <v>924.99896458192916</v>
      </c>
      <c r="E22" s="200">
        <f>'Assumptions input'!$C$14*'Resource impact over time'!E14</f>
        <v>924.99896458192916</v>
      </c>
      <c r="F22" s="200">
        <f>'Assumptions input'!$C$14*'Resource impact over time'!F14</f>
        <v>924.99896458192916</v>
      </c>
      <c r="G22" s="200">
        <f>'Assumptions input'!$C$14*'Resource impact over time'!G14</f>
        <v>924.99896458192916</v>
      </c>
      <c r="H22" s="238">
        <f>'Assumptions input'!$E$14*'Resource impact over time'!H14</f>
        <v>3083.3298819397642</v>
      </c>
      <c r="I22" s="200">
        <f>'Assumptions input'!$E$14*'Resource impact over time'!I14</f>
        <v>4624.9948229096453</v>
      </c>
      <c r="J22" s="200">
        <f>'Assumptions input'!$E$14*'Resource impact over time'!J14</f>
        <v>4624.9948229096453</v>
      </c>
      <c r="K22" s="200">
        <f>'Assumptions input'!$E$14*'Resource impact over time'!K14</f>
        <v>4624.9948229096453</v>
      </c>
      <c r="L22" s="286">
        <f>'Assumptions input'!$E$14*'Resource impact over time'!L14</f>
        <v>6166.6597638795283</v>
      </c>
      <c r="M22" s="244"/>
      <c r="N22" s="242">
        <f t="shared" si="13"/>
        <v>2158.330917357835</v>
      </c>
      <c r="O22" s="200">
        <f t="shared" si="9"/>
        <v>3699.9958583277162</v>
      </c>
      <c r="P22" s="200">
        <f t="shared" si="10"/>
        <v>3699.9958583277162</v>
      </c>
      <c r="Q22" s="200">
        <f t="shared" si="11"/>
        <v>3699.9958583277162</v>
      </c>
      <c r="R22" s="236">
        <f t="shared" si="12"/>
        <v>5241.6607992975987</v>
      </c>
      <c r="S22" s="240"/>
      <c r="T22" s="201"/>
      <c r="U22" s="201"/>
      <c r="V22" s="201"/>
      <c r="W22" s="202"/>
      <c r="Y22" s="191">
        <f>C22</f>
        <v>924.99896458192916</v>
      </c>
      <c r="Z22" s="191">
        <f>C22+N22</f>
        <v>3083.3298819397642</v>
      </c>
      <c r="AA22" s="191">
        <f>D22+O22</f>
        <v>4624.9948229096453</v>
      </c>
      <c r="AB22" s="191">
        <f>E22+P22</f>
        <v>4624.9948229096453</v>
      </c>
      <c r="AC22" s="191">
        <f>F22+Q22</f>
        <v>4624.9948229096453</v>
      </c>
      <c r="AD22" s="191">
        <f>G22+R22</f>
        <v>6166.6597638795283</v>
      </c>
      <c r="AF22" s="191">
        <f>(C22*B22)/1000</f>
        <v>0</v>
      </c>
      <c r="AG22" s="191">
        <f>$AF22+S22</f>
        <v>0</v>
      </c>
      <c r="AH22" s="191">
        <f>$AF22+T22</f>
        <v>0</v>
      </c>
      <c r="AI22" s="191">
        <f>$AF22+U22</f>
        <v>0</v>
      </c>
      <c r="AJ22" s="191">
        <f>$AF22+V22</f>
        <v>0</v>
      </c>
      <c r="AK22" s="191">
        <f>$AF22+W22</f>
        <v>0</v>
      </c>
    </row>
    <row r="23" spans="1:37" x14ac:dyDescent="0.3">
      <c r="A23" s="320" t="s">
        <v>533</v>
      </c>
      <c r="B23" s="201"/>
      <c r="C23" s="200">
        <f>'Assumptions input'!$C$14*'Resource impact over time'!C15</f>
        <v>1849.9979291638583</v>
      </c>
      <c r="D23" s="200">
        <f>'Assumptions input'!$C$14*'Resource impact over time'!D15</f>
        <v>1849.9979291638583</v>
      </c>
      <c r="E23" s="200">
        <f>'Assumptions input'!$C$14*'Resource impact over time'!E15</f>
        <v>1849.9979291638583</v>
      </c>
      <c r="F23" s="200">
        <f>'Assumptions input'!$C$14*'Resource impact over time'!F15</f>
        <v>1849.9979291638583</v>
      </c>
      <c r="G23" s="200">
        <f>'Assumptions input'!$C$14*'Resource impact over time'!G15</f>
        <v>1849.9979291638583</v>
      </c>
      <c r="H23" s="238">
        <f>'Assumptions input'!$E$14*'Resource impact over time'!H15</f>
        <v>3083.3298819397642</v>
      </c>
      <c r="I23" s="200">
        <f>'Assumptions input'!$E$14*'Resource impact over time'!I15</f>
        <v>4624.9948229096453</v>
      </c>
      <c r="J23" s="200">
        <f>'Assumptions input'!$E$14*'Resource impact over time'!J15</f>
        <v>4624.9948229096453</v>
      </c>
      <c r="K23" s="200">
        <f>'Assumptions input'!$E$14*'Resource impact over time'!K15</f>
        <v>4624.9948229096453</v>
      </c>
      <c r="L23" s="236">
        <f>'Assumptions input'!$E$14*'Resource impact over time'!L15</f>
        <v>6166.6597638795283</v>
      </c>
      <c r="M23" s="244"/>
      <c r="N23" s="242">
        <f t="shared" si="13"/>
        <v>1233.3319527759058</v>
      </c>
      <c r="O23" s="200">
        <f t="shared" si="9"/>
        <v>2774.996893745787</v>
      </c>
      <c r="P23" s="200">
        <f t="shared" si="10"/>
        <v>2774.996893745787</v>
      </c>
      <c r="Q23" s="200">
        <f t="shared" si="11"/>
        <v>2774.996893745787</v>
      </c>
      <c r="R23" s="236">
        <f t="shared" si="12"/>
        <v>4316.66183471567</v>
      </c>
      <c r="S23" s="240"/>
      <c r="T23" s="201"/>
      <c r="U23" s="201"/>
      <c r="V23" s="201"/>
      <c r="W23" s="202"/>
      <c r="Y23" s="191"/>
      <c r="Z23" s="191"/>
      <c r="AA23" s="191"/>
      <c r="AB23" s="191"/>
      <c r="AC23" s="191"/>
      <c r="AD23" s="191"/>
      <c r="AF23" s="191"/>
      <c r="AG23" s="191"/>
      <c r="AH23" s="191"/>
      <c r="AI23" s="191"/>
      <c r="AJ23" s="191"/>
      <c r="AK23" s="191"/>
    </row>
    <row r="24" spans="1:37" ht="15" thickBot="1" x14ac:dyDescent="0.35">
      <c r="A24" s="192"/>
      <c r="B24" s="444"/>
      <c r="C24" s="203">
        <f t="shared" ref="C24" si="14">SUM(C18:C23)</f>
        <v>30833.298819397638</v>
      </c>
      <c r="D24" s="203">
        <f t="shared" ref="D24" si="15">SUM(D18:D23)</f>
        <v>30833.298819397638</v>
      </c>
      <c r="E24" s="203">
        <f t="shared" ref="E24" si="16">SUM(E18:E23)</f>
        <v>30833.298819397638</v>
      </c>
      <c r="F24" s="203">
        <f t="shared" ref="F24" si="17">SUM(F18:F23)</f>
        <v>30833.298819397638</v>
      </c>
      <c r="G24" s="237">
        <f t="shared" ref="G24" si="18">SUM(G18:G23)</f>
        <v>30833.298819397638</v>
      </c>
      <c r="H24" s="239">
        <f>SUM(H18:H23)</f>
        <v>30833.298819397638</v>
      </c>
      <c r="I24" s="203">
        <f t="shared" ref="I24:L24" si="19">SUM(I18:I23)</f>
        <v>30833.298819397634</v>
      </c>
      <c r="J24" s="203">
        <f t="shared" si="19"/>
        <v>30833.298819397634</v>
      </c>
      <c r="K24" s="203">
        <f t="shared" si="19"/>
        <v>30833.298819397634</v>
      </c>
      <c r="L24" s="237">
        <f t="shared" si="19"/>
        <v>30833.298819397638</v>
      </c>
      <c r="M24" s="245"/>
      <c r="N24" s="243">
        <f>SUM(N18:N23)</f>
        <v>0</v>
      </c>
      <c r="O24" s="203">
        <f t="shared" ref="O24" si="20">SUM(O18:O23)</f>
        <v>0</v>
      </c>
      <c r="P24" s="203">
        <f t="shared" ref="P24" si="21">SUM(P18:P23)</f>
        <v>0</v>
      </c>
      <c r="Q24" s="203">
        <f t="shared" ref="Q24" si="22">SUM(Q18:Q23)</f>
        <v>0</v>
      </c>
      <c r="R24" s="237">
        <f t="shared" ref="R24" si="23">SUM(R18:R23)</f>
        <v>0</v>
      </c>
      <c r="S24" s="241"/>
      <c r="T24" s="204"/>
      <c r="U24" s="204"/>
      <c r="V24" s="204"/>
      <c r="W24" s="205"/>
      <c r="Y24" s="206"/>
      <c r="Z24" s="206"/>
      <c r="AA24" s="206"/>
      <c r="AB24" s="206"/>
      <c r="AC24" s="206"/>
      <c r="AD24" s="206"/>
      <c r="AE24" s="207"/>
      <c r="AF24" s="206"/>
      <c r="AG24" s="206"/>
      <c r="AH24" s="206"/>
      <c r="AI24" s="206"/>
      <c r="AJ24" s="206"/>
      <c r="AK24" s="206"/>
    </row>
    <row r="25" spans="1:37" x14ac:dyDescent="0.3">
      <c r="A25" s="235" t="s">
        <v>3</v>
      </c>
      <c r="B25" s="441" t="s">
        <v>3</v>
      </c>
      <c r="C25" s="234" t="s">
        <v>3</v>
      </c>
      <c r="D25" s="234" t="s">
        <v>3</v>
      </c>
      <c r="E25" s="234" t="s">
        <v>3</v>
      </c>
      <c r="F25" s="234" t="s">
        <v>3</v>
      </c>
      <c r="G25" s="234" t="s">
        <v>3</v>
      </c>
      <c r="H25" s="234" t="s">
        <v>3</v>
      </c>
      <c r="I25" s="234" t="s">
        <v>3</v>
      </c>
      <c r="J25" s="234" t="s">
        <v>3</v>
      </c>
      <c r="K25" s="234" t="s">
        <v>3</v>
      </c>
      <c r="L25" s="234" t="s">
        <v>3</v>
      </c>
      <c r="M25" s="234" t="s">
        <v>3</v>
      </c>
      <c r="N25" s="234" t="s">
        <v>3</v>
      </c>
      <c r="O25" s="234" t="s">
        <v>3</v>
      </c>
      <c r="P25" s="234" t="s">
        <v>3</v>
      </c>
      <c r="Q25" s="234" t="s">
        <v>3</v>
      </c>
      <c r="R25" s="234" t="s">
        <v>3</v>
      </c>
      <c r="S25" s="234" t="s">
        <v>3</v>
      </c>
      <c r="T25" s="234" t="s">
        <v>3</v>
      </c>
      <c r="U25" s="234" t="s">
        <v>3</v>
      </c>
      <c r="V25" s="234" t="s">
        <v>3</v>
      </c>
      <c r="W25" s="234" t="s">
        <v>3</v>
      </c>
      <c r="AG25" s="191">
        <f>AG24-$AF24</f>
        <v>0</v>
      </c>
      <c r="AH25" s="191">
        <f>AH24-$AF24</f>
        <v>0</v>
      </c>
      <c r="AI25" s="191">
        <f>AI24-$AF24</f>
        <v>0</v>
      </c>
      <c r="AJ25" s="191">
        <f>AJ24-$AF24</f>
        <v>0</v>
      </c>
      <c r="AK25" s="191">
        <f>AK24-$AF24</f>
        <v>0</v>
      </c>
    </row>
    <row r="26" spans="1:37" x14ac:dyDescent="0.3">
      <c r="A26" s="307" t="s">
        <v>567</v>
      </c>
      <c r="B26" s="219"/>
      <c r="C26" s="365"/>
      <c r="D26" s="366"/>
      <c r="E26" s="366"/>
      <c r="F26" s="366"/>
      <c r="G26" s="366"/>
      <c r="H26" s="367"/>
      <c r="I26" s="368"/>
      <c r="J26" s="368"/>
      <c r="K26" s="368"/>
      <c r="L26" s="368"/>
      <c r="M26" s="244"/>
      <c r="N26" s="366"/>
      <c r="O26" s="366"/>
      <c r="P26" s="366"/>
      <c r="Q26" s="366"/>
      <c r="R26" s="366"/>
      <c r="S26" s="369"/>
      <c r="T26" s="366"/>
      <c r="U26" s="366"/>
      <c r="V26" s="366"/>
      <c r="W26" s="370"/>
    </row>
    <row r="27" spans="1:37" x14ac:dyDescent="0.3">
      <c r="A27" s="320" t="s">
        <v>524</v>
      </c>
      <c r="B27" s="201"/>
      <c r="C27" s="200">
        <f>C18/'Unit costs'!$F13</f>
        <v>3699.9958583277162</v>
      </c>
      <c r="D27" s="200">
        <f>D18/'Unit costs'!$F13</f>
        <v>3699.9958583277162</v>
      </c>
      <c r="E27" s="200">
        <f>E18/'Unit costs'!$F13</f>
        <v>3699.9958583277162</v>
      </c>
      <c r="F27" s="200">
        <f>F18/'Unit costs'!$F13</f>
        <v>3699.9958583277162</v>
      </c>
      <c r="G27" s="200">
        <f>G18/'Unit costs'!$F13</f>
        <v>3699.9958583277162</v>
      </c>
      <c r="H27" s="238">
        <f>H18/'Unit costs'!$H13</f>
        <v>1849.9979291638581</v>
      </c>
      <c r="I27" s="242">
        <f>I18/'Unit costs'!$H13</f>
        <v>616.66597638795281</v>
      </c>
      <c r="J27" s="200">
        <f>J18/'Unit costs'!$H13</f>
        <v>0</v>
      </c>
      <c r="K27" s="200">
        <f>K18/'Unit costs'!$H13</f>
        <v>0</v>
      </c>
      <c r="L27" s="242">
        <f>L18/'Unit costs'!$H13</f>
        <v>0</v>
      </c>
      <c r="M27" s="244"/>
      <c r="N27" s="242">
        <f t="shared" ref="N27:N32" si="24">H27-C27</f>
        <v>-1849.9979291638581</v>
      </c>
      <c r="O27" s="200">
        <f t="shared" ref="O27:O32" si="25">I27-D27</f>
        <v>-3083.3298819397633</v>
      </c>
      <c r="P27" s="200">
        <f t="shared" ref="P27:P32" si="26">J27-E27</f>
        <v>-3699.9958583277162</v>
      </c>
      <c r="Q27" s="200">
        <f t="shared" ref="Q27:Q32" si="27">K27-F27</f>
        <v>-3699.9958583277162</v>
      </c>
      <c r="R27" s="236">
        <f t="shared" ref="R27:R32" si="28">L27-G27</f>
        <v>-3699.9958583277162</v>
      </c>
      <c r="S27" s="240"/>
      <c r="T27" s="201"/>
      <c r="U27" s="201"/>
      <c r="V27" s="201"/>
      <c r="W27" s="202"/>
      <c r="Y27" s="191">
        <f>C27</f>
        <v>3699.9958583277162</v>
      </c>
      <c r="Z27" s="191">
        <f>C27+N27</f>
        <v>1849.9979291638581</v>
      </c>
      <c r="AA27" s="191">
        <f>D27+O27</f>
        <v>616.66597638795292</v>
      </c>
      <c r="AB27" s="191">
        <f>E27+P27</f>
        <v>0</v>
      </c>
      <c r="AC27" s="191">
        <f>F27+Q27</f>
        <v>0</v>
      </c>
      <c r="AD27" s="191">
        <f>G27+R27</f>
        <v>0</v>
      </c>
      <c r="AF27" s="191">
        <f>(C27*B27)/1000</f>
        <v>0</v>
      </c>
      <c r="AG27" s="191">
        <f>$AF27+S27</f>
        <v>0</v>
      </c>
      <c r="AH27" s="191">
        <f>$AF27+T27</f>
        <v>0</v>
      </c>
      <c r="AI27" s="191">
        <f>$AF27+U27</f>
        <v>0</v>
      </c>
      <c r="AJ27" s="191">
        <f>$AF27+V27</f>
        <v>0</v>
      </c>
      <c r="AK27" s="191">
        <f>$AF27+W27</f>
        <v>0</v>
      </c>
    </row>
    <row r="28" spans="1:37" x14ac:dyDescent="0.3">
      <c r="A28" s="320" t="s">
        <v>534</v>
      </c>
      <c r="B28" s="201"/>
      <c r="C28" s="200">
        <f>C19/'Unit costs'!$F14</f>
        <v>4111.1065092530189</v>
      </c>
      <c r="D28" s="200">
        <f>D19/'Unit costs'!$F14</f>
        <v>4111.1065092530189</v>
      </c>
      <c r="E28" s="200">
        <f>E19/'Unit costs'!$F14</f>
        <v>4111.1065092530189</v>
      </c>
      <c r="F28" s="200">
        <f>F19/'Unit costs'!$F14</f>
        <v>4111.1065092530189</v>
      </c>
      <c r="G28" s="200">
        <f>G19/'Unit costs'!$F14</f>
        <v>4111.1065092530189</v>
      </c>
      <c r="H28" s="238">
        <f>H19/'Unit costs'!$H14</f>
        <v>4111.1065092530189</v>
      </c>
      <c r="I28" s="200">
        <f>I19/'Unit costs'!$H14</f>
        <v>3083.3298819397637</v>
      </c>
      <c r="J28" s="200">
        <f>J19/'Unit costs'!$H14</f>
        <v>2569.4415682831363</v>
      </c>
      <c r="K28" s="200">
        <f>K19/'Unit costs'!$H14</f>
        <v>2055.5532546265094</v>
      </c>
      <c r="L28" s="286">
        <f>L19/'Unit costs'!$H14</f>
        <v>1541.6649409698819</v>
      </c>
      <c r="M28" s="244"/>
      <c r="N28" s="242">
        <f t="shared" si="24"/>
        <v>0</v>
      </c>
      <c r="O28" s="200">
        <f t="shared" si="25"/>
        <v>-1027.7766273132552</v>
      </c>
      <c r="P28" s="200">
        <f t="shared" si="26"/>
        <v>-1541.6649409698825</v>
      </c>
      <c r="Q28" s="200">
        <f t="shared" si="27"/>
        <v>-2055.5532546265094</v>
      </c>
      <c r="R28" s="236">
        <f t="shared" si="28"/>
        <v>-2569.4415682831368</v>
      </c>
      <c r="S28" s="240"/>
      <c r="T28" s="201"/>
      <c r="U28" s="201"/>
      <c r="V28" s="201"/>
      <c r="W28" s="202"/>
      <c r="Y28" s="191"/>
      <c r="Z28" s="191"/>
      <c r="AA28" s="191"/>
      <c r="AB28" s="191"/>
      <c r="AC28" s="191"/>
      <c r="AD28" s="191"/>
      <c r="AF28" s="191"/>
      <c r="AG28" s="191"/>
      <c r="AH28" s="191"/>
      <c r="AI28" s="191"/>
      <c r="AJ28" s="191"/>
      <c r="AK28" s="191"/>
    </row>
    <row r="29" spans="1:37" x14ac:dyDescent="0.3">
      <c r="A29" s="320" t="s">
        <v>530</v>
      </c>
      <c r="B29" s="201"/>
      <c r="C29" s="200">
        <f>C20/'Unit costs'!$F15</f>
        <v>1356.6651480534961</v>
      </c>
      <c r="D29" s="200">
        <f>D20/'Unit costs'!$F15</f>
        <v>1356.6651480534961</v>
      </c>
      <c r="E29" s="200">
        <f>E20/'Unit costs'!$F15</f>
        <v>1356.6651480534961</v>
      </c>
      <c r="F29" s="200">
        <f>F20/'Unit costs'!$F15</f>
        <v>1356.6651480534961</v>
      </c>
      <c r="G29" s="200">
        <f>G20/'Unit costs'!$F15</f>
        <v>1356.6651480534961</v>
      </c>
      <c r="H29" s="238">
        <f>H20/'Unit costs'!$H15</f>
        <v>1233.3319527759056</v>
      </c>
      <c r="I29" s="200">
        <f>I20/'Unit costs'!$H15</f>
        <v>1849.9979291638581</v>
      </c>
      <c r="J29" s="200">
        <f>J20/'Unit costs'!$H15</f>
        <v>2466.6639055518112</v>
      </c>
      <c r="K29" s="200">
        <f>K20/'Unit costs'!$H15</f>
        <v>2466.6639055518112</v>
      </c>
      <c r="L29" s="286">
        <f>L20/'Unit costs'!$H15</f>
        <v>2466.6639055518112</v>
      </c>
      <c r="M29" s="244"/>
      <c r="N29" s="242">
        <f t="shared" si="24"/>
        <v>-123.33319527759045</v>
      </c>
      <c r="O29" s="200">
        <f t="shared" si="25"/>
        <v>493.33278111036202</v>
      </c>
      <c r="P29" s="200">
        <f t="shared" si="26"/>
        <v>1109.9987574983152</v>
      </c>
      <c r="Q29" s="200">
        <f t="shared" si="27"/>
        <v>1109.9987574983152</v>
      </c>
      <c r="R29" s="236">
        <f t="shared" si="28"/>
        <v>1109.9987574983152</v>
      </c>
      <c r="S29" s="240"/>
      <c r="T29" s="201"/>
      <c r="U29" s="201"/>
      <c r="V29" s="201"/>
      <c r="W29" s="202"/>
      <c r="Y29" s="191"/>
      <c r="Z29" s="191"/>
      <c r="AA29" s="191"/>
      <c r="AB29" s="191"/>
      <c r="AC29" s="191"/>
      <c r="AD29" s="191"/>
      <c r="AF29" s="191"/>
      <c r="AG29" s="191"/>
      <c r="AH29" s="191"/>
      <c r="AI29" s="191"/>
      <c r="AJ29" s="191"/>
      <c r="AK29" s="191"/>
    </row>
    <row r="30" spans="1:37" x14ac:dyDescent="0.3">
      <c r="A30" s="320" t="s">
        <v>531</v>
      </c>
      <c r="B30" s="201"/>
      <c r="C30" s="200">
        <f>C21/'Unit costs'!$F16</f>
        <v>1027.7766273132547</v>
      </c>
      <c r="D30" s="200">
        <f>D21/'Unit costs'!$F16</f>
        <v>1027.7766273132547</v>
      </c>
      <c r="E30" s="200">
        <f>E21/'Unit costs'!$F16</f>
        <v>1027.7766273132547</v>
      </c>
      <c r="F30" s="200">
        <f>F21/'Unit costs'!$F16</f>
        <v>1027.7766273132547</v>
      </c>
      <c r="G30" s="200">
        <f>G21/'Unit costs'!$F16</f>
        <v>1027.7766273132547</v>
      </c>
      <c r="H30" s="238">
        <f>H21/'Unit costs'!$H16</f>
        <v>1541.6649409698819</v>
      </c>
      <c r="I30" s="200">
        <f>I21/'Unit costs'!$H16</f>
        <v>2055.5532546265094</v>
      </c>
      <c r="J30" s="200">
        <f>J21/'Unit costs'!$H16</f>
        <v>2569.4415682831363</v>
      </c>
      <c r="K30" s="200">
        <f>K21/'Unit costs'!$H16</f>
        <v>3083.3298819397637</v>
      </c>
      <c r="L30" s="286">
        <f>L21/'Unit costs'!$H16</f>
        <v>2569.4415682831363</v>
      </c>
      <c r="M30" s="244"/>
      <c r="N30" s="242">
        <f t="shared" si="24"/>
        <v>513.88831365662713</v>
      </c>
      <c r="O30" s="200">
        <f t="shared" si="25"/>
        <v>1027.7766273132547</v>
      </c>
      <c r="P30" s="200">
        <f t="shared" si="26"/>
        <v>1541.6649409698816</v>
      </c>
      <c r="Q30" s="200">
        <f t="shared" si="27"/>
        <v>2055.553254626509</v>
      </c>
      <c r="R30" s="236">
        <f t="shared" si="28"/>
        <v>1541.6649409698816</v>
      </c>
      <c r="S30" s="240"/>
      <c r="T30" s="201"/>
      <c r="U30" s="201"/>
      <c r="V30" s="201"/>
      <c r="W30" s="202"/>
      <c r="Y30" s="191"/>
      <c r="Z30" s="191"/>
      <c r="AA30" s="191"/>
      <c r="AB30" s="191"/>
      <c r="AC30" s="191"/>
      <c r="AD30" s="191"/>
      <c r="AF30" s="191"/>
      <c r="AG30" s="191"/>
      <c r="AH30" s="191"/>
      <c r="AI30" s="191"/>
      <c r="AJ30" s="191"/>
      <c r="AK30" s="191"/>
    </row>
    <row r="31" spans="1:37" x14ac:dyDescent="0.3">
      <c r="A31" s="320" t="s">
        <v>532</v>
      </c>
      <c r="B31" s="201"/>
      <c r="C31" s="200">
        <f>C22/'Unit costs'!$F17</f>
        <v>132.14270922598988</v>
      </c>
      <c r="D31" s="200">
        <f>D22/'Unit costs'!$F17</f>
        <v>132.14270922598988</v>
      </c>
      <c r="E31" s="200">
        <f>E22/'Unit costs'!$F17</f>
        <v>132.14270922598988</v>
      </c>
      <c r="F31" s="200">
        <f>F22/'Unit costs'!$F17</f>
        <v>132.14270922598988</v>
      </c>
      <c r="G31" s="200">
        <f>G22/'Unit costs'!$F17</f>
        <v>132.14270922598988</v>
      </c>
      <c r="H31" s="238">
        <f>H22/'Unit costs'!$H17</f>
        <v>440.47569741996631</v>
      </c>
      <c r="I31" s="200">
        <f>I22/'Unit costs'!$H17</f>
        <v>660.71354612994935</v>
      </c>
      <c r="J31" s="200">
        <f>J22/'Unit costs'!$H17</f>
        <v>660.71354612994935</v>
      </c>
      <c r="K31" s="200">
        <f>K22/'Unit costs'!$H17</f>
        <v>660.71354612994935</v>
      </c>
      <c r="L31" s="286">
        <f>L22/'Unit costs'!$H17</f>
        <v>880.95139483993262</v>
      </c>
      <c r="M31" s="244"/>
      <c r="N31" s="242">
        <f t="shared" si="24"/>
        <v>308.33298819397646</v>
      </c>
      <c r="O31" s="200">
        <f t="shared" si="25"/>
        <v>528.5708369039595</v>
      </c>
      <c r="P31" s="200">
        <f t="shared" si="26"/>
        <v>528.5708369039595</v>
      </c>
      <c r="Q31" s="200">
        <f t="shared" si="27"/>
        <v>528.5708369039595</v>
      </c>
      <c r="R31" s="236">
        <f t="shared" si="28"/>
        <v>748.80868561394277</v>
      </c>
      <c r="S31" s="240"/>
      <c r="T31" s="201"/>
      <c r="U31" s="201"/>
      <c r="V31" s="201"/>
      <c r="W31" s="202"/>
      <c r="Y31" s="191">
        <f>C31</f>
        <v>132.14270922598988</v>
      </c>
      <c r="Z31" s="191">
        <f>C31+N31</f>
        <v>440.47569741996631</v>
      </c>
      <c r="AA31" s="191">
        <f>D31+O31</f>
        <v>660.71354612994935</v>
      </c>
      <c r="AB31" s="191">
        <f>E31+P31</f>
        <v>660.71354612994935</v>
      </c>
      <c r="AC31" s="191">
        <f>F31+Q31</f>
        <v>660.71354612994935</v>
      </c>
      <c r="AD31" s="191">
        <f>G31+R31</f>
        <v>880.95139483993262</v>
      </c>
      <c r="AF31" s="191">
        <f>(C31*B31)/1000</f>
        <v>0</v>
      </c>
      <c r="AG31" s="191">
        <f>$AF31+S31</f>
        <v>0</v>
      </c>
      <c r="AH31" s="191">
        <f>$AF31+T31</f>
        <v>0</v>
      </c>
      <c r="AI31" s="191">
        <f>$AF31+U31</f>
        <v>0</v>
      </c>
      <c r="AJ31" s="191">
        <f>$AF31+V31</f>
        <v>0</v>
      </c>
      <c r="AK31" s="191">
        <f>$AF31+W31</f>
        <v>0</v>
      </c>
    </row>
    <row r="32" spans="1:37" x14ac:dyDescent="0.3">
      <c r="A32" s="320" t="s">
        <v>533</v>
      </c>
      <c r="B32" s="201"/>
      <c r="C32" s="200">
        <f>C23/'Unit costs'!$F18</f>
        <v>308.33298819397641</v>
      </c>
      <c r="D32" s="200">
        <f>D23/'Unit costs'!$F18</f>
        <v>308.33298819397641</v>
      </c>
      <c r="E32" s="200">
        <f>E23/'Unit costs'!$F18</f>
        <v>308.33298819397641</v>
      </c>
      <c r="F32" s="200">
        <f>F23/'Unit costs'!$F18</f>
        <v>308.33298819397641</v>
      </c>
      <c r="G32" s="200">
        <f>G23/'Unit costs'!$F18</f>
        <v>308.33298819397641</v>
      </c>
      <c r="H32" s="238">
        <f>H23/'Unit costs'!$H18</f>
        <v>513.88831365662736</v>
      </c>
      <c r="I32" s="200">
        <f>I23/'Unit costs'!$H18</f>
        <v>770.83247048494093</v>
      </c>
      <c r="J32" s="200">
        <f>J23/'Unit costs'!$H18</f>
        <v>770.83247048494093</v>
      </c>
      <c r="K32" s="200">
        <f>K23/'Unit costs'!$H18</f>
        <v>770.83247048494093</v>
      </c>
      <c r="L32" s="236">
        <f>L23/'Unit costs'!$H18</f>
        <v>1027.7766273132547</v>
      </c>
      <c r="M32" s="244"/>
      <c r="N32" s="242">
        <f t="shared" si="24"/>
        <v>205.55532546265096</v>
      </c>
      <c r="O32" s="200">
        <f t="shared" si="25"/>
        <v>462.49948229096452</v>
      </c>
      <c r="P32" s="200">
        <f t="shared" si="26"/>
        <v>462.49948229096452</v>
      </c>
      <c r="Q32" s="200">
        <f t="shared" si="27"/>
        <v>462.49948229096452</v>
      </c>
      <c r="R32" s="236">
        <f t="shared" si="28"/>
        <v>719.44363911927826</v>
      </c>
      <c r="S32" s="240"/>
      <c r="T32" s="201"/>
      <c r="U32" s="201"/>
      <c r="V32" s="201"/>
      <c r="W32" s="202"/>
      <c r="Y32" s="191"/>
      <c r="Z32" s="191"/>
      <c r="AA32" s="191"/>
      <c r="AB32" s="191"/>
      <c r="AC32" s="191"/>
      <c r="AD32" s="191"/>
      <c r="AF32" s="191"/>
      <c r="AG32" s="191"/>
      <c r="AH32" s="191"/>
      <c r="AI32" s="191"/>
      <c r="AJ32" s="191"/>
      <c r="AK32" s="191"/>
    </row>
    <row r="33" spans="1:37" ht="15" thickBot="1" x14ac:dyDescent="0.35">
      <c r="A33" s="192"/>
      <c r="B33" s="444"/>
      <c r="C33" s="203">
        <f t="shared" ref="C33" si="29">SUM(C27:C32)</f>
        <v>10636.019840367453</v>
      </c>
      <c r="D33" s="203">
        <f t="shared" ref="D33:G33" si="30">SUM(D27:D32)</f>
        <v>10636.019840367453</v>
      </c>
      <c r="E33" s="203">
        <f t="shared" si="30"/>
        <v>10636.019840367453</v>
      </c>
      <c r="F33" s="203">
        <f t="shared" si="30"/>
        <v>10636.019840367453</v>
      </c>
      <c r="G33" s="237">
        <f t="shared" si="30"/>
        <v>10636.019840367453</v>
      </c>
      <c r="H33" s="239">
        <f>SUM(H27:H32)</f>
        <v>9690.4653432392588</v>
      </c>
      <c r="I33" s="203">
        <f t="shared" ref="I33:L33" si="31">SUM(I27:I32)</f>
        <v>9037.0930587329731</v>
      </c>
      <c r="J33" s="203">
        <f t="shared" si="31"/>
        <v>9037.0930587329731</v>
      </c>
      <c r="K33" s="203">
        <f t="shared" si="31"/>
        <v>9037.0930587329749</v>
      </c>
      <c r="L33" s="237">
        <f t="shared" si="31"/>
        <v>8486.4984369580161</v>
      </c>
      <c r="M33" s="245"/>
      <c r="N33" s="243">
        <f>SUM(N27:N32)</f>
        <v>-945.55449712819404</v>
      </c>
      <c r="O33" s="203">
        <f t="shared" ref="O33:R33" si="32">SUM(O27:O32)</f>
        <v>-1598.9267816344784</v>
      </c>
      <c r="P33" s="203">
        <f t="shared" si="32"/>
        <v>-1598.9267816344779</v>
      </c>
      <c r="Q33" s="203">
        <f t="shared" si="32"/>
        <v>-1598.9267816344779</v>
      </c>
      <c r="R33" s="237">
        <f t="shared" si="32"/>
        <v>-2149.5214034094352</v>
      </c>
      <c r="S33" s="241"/>
      <c r="T33" s="204"/>
      <c r="U33" s="204"/>
      <c r="V33" s="204"/>
      <c r="W33" s="205"/>
      <c r="Y33" s="206"/>
      <c r="Z33" s="206"/>
      <c r="AA33" s="206"/>
      <c r="AB33" s="206"/>
      <c r="AC33" s="206"/>
      <c r="AD33" s="206"/>
      <c r="AE33" s="207"/>
      <c r="AF33" s="206"/>
      <c r="AG33" s="206"/>
      <c r="AH33" s="206"/>
      <c r="AI33" s="206"/>
      <c r="AJ33" s="206"/>
      <c r="AK33" s="206"/>
    </row>
    <row r="34" spans="1:37" ht="18" customHeight="1" thickBot="1" x14ac:dyDescent="0.35">
      <c r="A34" s="453"/>
      <c r="B34" s="450"/>
      <c r="C34" s="451"/>
      <c r="D34" s="451"/>
      <c r="E34" s="451"/>
      <c r="F34" s="451"/>
      <c r="G34" s="451"/>
      <c r="H34" s="451"/>
      <c r="I34" s="451"/>
      <c r="J34" s="451"/>
      <c r="K34" s="451"/>
      <c r="L34" s="451"/>
      <c r="M34" s="452"/>
      <c r="N34" s="451"/>
      <c r="O34" s="451"/>
      <c r="P34" s="451"/>
      <c r="Q34" s="451"/>
      <c r="R34" s="451"/>
      <c r="S34" s="454"/>
      <c r="T34" s="454"/>
      <c r="U34" s="454"/>
      <c r="V34" s="454"/>
      <c r="W34" s="454"/>
      <c r="Y34" s="206"/>
      <c r="Z34" s="206"/>
      <c r="AA34" s="206"/>
      <c r="AB34" s="206"/>
      <c r="AC34" s="206"/>
      <c r="AD34" s="206"/>
      <c r="AE34" s="207"/>
      <c r="AF34" s="206"/>
      <c r="AG34" s="206"/>
      <c r="AH34" s="206"/>
      <c r="AI34" s="206"/>
      <c r="AJ34" s="206"/>
      <c r="AK34" s="206"/>
    </row>
    <row r="35" spans="1:37" ht="83.4" thickBot="1" x14ac:dyDescent="0.35">
      <c r="A35" s="229" t="s">
        <v>523</v>
      </c>
      <c r="B35" s="199" t="s">
        <v>446</v>
      </c>
      <c r="C35" s="290" t="s">
        <v>476</v>
      </c>
      <c r="D35" s="291" t="s">
        <v>477</v>
      </c>
      <c r="E35" s="292" t="s">
        <v>478</v>
      </c>
      <c r="F35" s="293" t="s">
        <v>479</v>
      </c>
      <c r="G35" s="294" t="s">
        <v>480</v>
      </c>
      <c r="H35" s="295" t="s">
        <v>481</v>
      </c>
      <c r="I35" s="296" t="s">
        <v>482</v>
      </c>
      <c r="J35" s="297" t="s">
        <v>483</v>
      </c>
      <c r="K35" s="297" t="s">
        <v>484</v>
      </c>
      <c r="L35" s="298" t="s">
        <v>485</v>
      </c>
      <c r="M35" s="299"/>
      <c r="N35" s="300" t="s">
        <v>486</v>
      </c>
      <c r="O35" s="301" t="s">
        <v>487</v>
      </c>
      <c r="P35" s="302" t="s">
        <v>488</v>
      </c>
      <c r="Q35" s="302" t="s">
        <v>489</v>
      </c>
      <c r="R35" s="303" t="s">
        <v>490</v>
      </c>
      <c r="S35" s="302" t="s">
        <v>491</v>
      </c>
      <c r="T35" s="302" t="s">
        <v>492</v>
      </c>
      <c r="U35" s="302" t="s">
        <v>493</v>
      </c>
      <c r="V35" s="302" t="s">
        <v>494</v>
      </c>
      <c r="W35" s="303" t="s">
        <v>495</v>
      </c>
    </row>
    <row r="36" spans="1:37" x14ac:dyDescent="0.3">
      <c r="A36" s="320" t="s">
        <v>524</v>
      </c>
      <c r="B36" s="201">
        <f>'Resource impact template'!B14</f>
        <v>0</v>
      </c>
      <c r="C36" s="200">
        <f t="shared" ref="C36:H36" si="33">C18</f>
        <v>9249.9896458192907</v>
      </c>
      <c r="D36" s="200">
        <f t="shared" si="33"/>
        <v>9249.9896458192907</v>
      </c>
      <c r="E36" s="200">
        <f t="shared" si="33"/>
        <v>9249.9896458192907</v>
      </c>
      <c r="F36" s="200">
        <f t="shared" si="33"/>
        <v>9249.9896458192907</v>
      </c>
      <c r="G36" s="236">
        <f t="shared" si="33"/>
        <v>9249.9896458192907</v>
      </c>
      <c r="H36" s="238">
        <f t="shared" si="33"/>
        <v>4624.9948229096453</v>
      </c>
      <c r="I36" s="200">
        <f t="shared" ref="I36:L36" si="34">I18</f>
        <v>1541.6649409698821</v>
      </c>
      <c r="J36" s="200">
        <f t="shared" si="34"/>
        <v>0</v>
      </c>
      <c r="K36" s="200">
        <f t="shared" si="34"/>
        <v>0</v>
      </c>
      <c r="L36" s="286">
        <f t="shared" si="34"/>
        <v>0</v>
      </c>
      <c r="M36" s="244"/>
      <c r="N36" s="242">
        <f t="shared" ref="N36:R37" si="35">H36-C36</f>
        <v>-4624.9948229096453</v>
      </c>
      <c r="O36" s="200">
        <f t="shared" si="35"/>
        <v>-7708.3247048494086</v>
      </c>
      <c r="P36" s="200">
        <f t="shared" si="35"/>
        <v>-9249.9896458192907</v>
      </c>
      <c r="Q36" s="200">
        <f t="shared" si="35"/>
        <v>-9249.9896458192907</v>
      </c>
      <c r="R36" s="236">
        <f t="shared" si="35"/>
        <v>-9249.9896458192907</v>
      </c>
      <c r="S36" s="240">
        <f t="shared" ref="S36:W37" si="36">N36*$B36/1000</f>
        <v>0</v>
      </c>
      <c r="T36" s="201">
        <f t="shared" si="36"/>
        <v>0</v>
      </c>
      <c r="U36" s="201">
        <f t="shared" si="36"/>
        <v>0</v>
      </c>
      <c r="V36" s="201">
        <f t="shared" si="36"/>
        <v>0</v>
      </c>
      <c r="W36" s="202">
        <f t="shared" si="36"/>
        <v>0</v>
      </c>
      <c r="Y36" s="191">
        <f>C36</f>
        <v>9249.9896458192907</v>
      </c>
      <c r="Z36" s="191">
        <f>C36+N36</f>
        <v>4624.9948229096453</v>
      </c>
      <c r="AA36" s="191">
        <f>D36+O36</f>
        <v>1541.6649409698821</v>
      </c>
      <c r="AB36" s="191">
        <f>E36+P36</f>
        <v>0</v>
      </c>
      <c r="AC36" s="191">
        <f>F36+Q36</f>
        <v>0</v>
      </c>
      <c r="AD36" s="191">
        <f>G36+R36</f>
        <v>0</v>
      </c>
      <c r="AF36" s="191">
        <f>(C36*B36)/1000</f>
        <v>0</v>
      </c>
      <c r="AG36" s="191">
        <f>$AF36+S36</f>
        <v>0</v>
      </c>
      <c r="AH36" s="191">
        <f>$AF36+T36</f>
        <v>0</v>
      </c>
      <c r="AI36" s="191">
        <f>$AF36+U36</f>
        <v>0</v>
      </c>
      <c r="AJ36" s="191">
        <f>$AF36+V36</f>
        <v>0</v>
      </c>
      <c r="AK36" s="191">
        <f>$AF36+W36</f>
        <v>0</v>
      </c>
    </row>
    <row r="37" spans="1:37" x14ac:dyDescent="0.3">
      <c r="A37" s="320" t="s">
        <v>534</v>
      </c>
      <c r="B37" s="201">
        <f>'Resource impact template'!B15</f>
        <v>0</v>
      </c>
      <c r="C37" s="200">
        <f t="shared" ref="C37:L37" si="37">C19</f>
        <v>12333.319527759057</v>
      </c>
      <c r="D37" s="200">
        <f t="shared" si="37"/>
        <v>12333.319527759057</v>
      </c>
      <c r="E37" s="200">
        <f t="shared" si="37"/>
        <v>12333.319527759057</v>
      </c>
      <c r="F37" s="200">
        <f t="shared" si="37"/>
        <v>12333.319527759057</v>
      </c>
      <c r="G37" s="236">
        <f t="shared" si="37"/>
        <v>12333.319527759057</v>
      </c>
      <c r="H37" s="238">
        <f t="shared" si="37"/>
        <v>12333.319527759057</v>
      </c>
      <c r="I37" s="200">
        <f t="shared" si="37"/>
        <v>9249.9896458192907</v>
      </c>
      <c r="J37" s="200">
        <f t="shared" si="37"/>
        <v>7708.3247048494095</v>
      </c>
      <c r="K37" s="200">
        <f t="shared" si="37"/>
        <v>6166.6597638795283</v>
      </c>
      <c r="L37" s="286">
        <f t="shared" si="37"/>
        <v>4624.9948229096453</v>
      </c>
      <c r="M37" s="244"/>
      <c r="N37" s="242">
        <f t="shared" si="35"/>
        <v>0</v>
      </c>
      <c r="O37" s="200">
        <f t="shared" si="35"/>
        <v>-3083.329881939766</v>
      </c>
      <c r="P37" s="200">
        <f t="shared" si="35"/>
        <v>-4624.9948229096472</v>
      </c>
      <c r="Q37" s="200">
        <f t="shared" si="35"/>
        <v>-6166.6597638795283</v>
      </c>
      <c r="R37" s="236">
        <f t="shared" si="35"/>
        <v>-7708.3247048494113</v>
      </c>
      <c r="S37" s="240">
        <f t="shared" si="36"/>
        <v>0</v>
      </c>
      <c r="T37" s="201">
        <f t="shared" si="36"/>
        <v>0</v>
      </c>
      <c r="U37" s="201">
        <f t="shared" si="36"/>
        <v>0</v>
      </c>
      <c r="V37" s="201">
        <f t="shared" si="36"/>
        <v>0</v>
      </c>
      <c r="W37" s="202">
        <f t="shared" si="36"/>
        <v>0</v>
      </c>
      <c r="Y37" s="191"/>
      <c r="Z37" s="191"/>
      <c r="AA37" s="191"/>
      <c r="AB37" s="191"/>
      <c r="AC37" s="191"/>
      <c r="AD37" s="191"/>
      <c r="AF37" s="191"/>
      <c r="AG37" s="191"/>
      <c r="AH37" s="191"/>
      <c r="AI37" s="191"/>
      <c r="AJ37" s="191"/>
      <c r="AK37" s="191"/>
    </row>
    <row r="38" spans="1:37" x14ac:dyDescent="0.3">
      <c r="A38" s="185" t="s">
        <v>519</v>
      </c>
      <c r="B38" s="201">
        <f>'Resource impact template'!B16</f>
        <v>0</v>
      </c>
      <c r="C38" s="200">
        <f t="shared" ref="C38:L38" si="38">C20</f>
        <v>3391.6628701337404</v>
      </c>
      <c r="D38" s="200">
        <f t="shared" si="38"/>
        <v>3391.6628701337404</v>
      </c>
      <c r="E38" s="200">
        <f t="shared" si="38"/>
        <v>3391.6628701337404</v>
      </c>
      <c r="F38" s="200">
        <f t="shared" si="38"/>
        <v>3391.6628701337404</v>
      </c>
      <c r="G38" s="236">
        <f t="shared" si="38"/>
        <v>3391.6628701337404</v>
      </c>
      <c r="H38" s="238">
        <f t="shared" si="38"/>
        <v>3083.3298819397642</v>
      </c>
      <c r="I38" s="200">
        <f t="shared" si="38"/>
        <v>4624.9948229096453</v>
      </c>
      <c r="J38" s="200">
        <f t="shared" si="38"/>
        <v>6166.6597638795283</v>
      </c>
      <c r="K38" s="200">
        <f t="shared" si="38"/>
        <v>6166.6597638795283</v>
      </c>
      <c r="L38" s="286">
        <f t="shared" si="38"/>
        <v>6166.6597638795283</v>
      </c>
      <c r="M38" s="244"/>
      <c r="N38" s="242">
        <f t="shared" ref="N38" si="39">H38-C38</f>
        <v>-308.33298819397623</v>
      </c>
      <c r="O38" s="200">
        <f t="shared" ref="O38" si="40">I38-D38</f>
        <v>1233.3319527759049</v>
      </c>
      <c r="P38" s="200">
        <f t="shared" ref="P38" si="41">J38-E38</f>
        <v>2774.9968937457879</v>
      </c>
      <c r="Q38" s="200">
        <f t="shared" ref="Q38" si="42">K38-F38</f>
        <v>2774.9968937457879</v>
      </c>
      <c r="R38" s="236">
        <f t="shared" ref="R38" si="43">L38-G38</f>
        <v>2774.9968937457879</v>
      </c>
      <c r="S38" s="240">
        <f t="shared" ref="S38" si="44">N38*$B38/1000</f>
        <v>0</v>
      </c>
      <c r="T38" s="201">
        <f t="shared" ref="T38" si="45">O38*$B38/1000</f>
        <v>0</v>
      </c>
      <c r="U38" s="201">
        <f t="shared" ref="U38" si="46">P38*$B38/1000</f>
        <v>0</v>
      </c>
      <c r="V38" s="201">
        <f t="shared" ref="V38" si="47">Q38*$B38/1000</f>
        <v>0</v>
      </c>
      <c r="W38" s="202">
        <f t="shared" ref="W38" si="48">R38*$B38/1000</f>
        <v>0</v>
      </c>
      <c r="Y38" s="191"/>
      <c r="Z38" s="191"/>
      <c r="AA38" s="191"/>
      <c r="AB38" s="191"/>
      <c r="AC38" s="191"/>
      <c r="AD38" s="191"/>
      <c r="AF38" s="191"/>
      <c r="AG38" s="191"/>
      <c r="AH38" s="191"/>
      <c r="AI38" s="191"/>
      <c r="AJ38" s="191"/>
      <c r="AK38" s="191"/>
    </row>
    <row r="39" spans="1:37" x14ac:dyDescent="0.3">
      <c r="A39" s="284" t="s">
        <v>516</v>
      </c>
      <c r="B39" s="201">
        <f>'Resource impact template'!B17</f>
        <v>0</v>
      </c>
      <c r="C39" s="200">
        <f t="shared" ref="C39:L39" si="49">C21</f>
        <v>3083.3298819397642</v>
      </c>
      <c r="D39" s="374">
        <f t="shared" si="49"/>
        <v>3083.3298819397642</v>
      </c>
      <c r="E39" s="374">
        <f t="shared" si="49"/>
        <v>3083.3298819397642</v>
      </c>
      <c r="F39" s="374">
        <f t="shared" si="49"/>
        <v>3083.3298819397642</v>
      </c>
      <c r="G39" s="375">
        <f t="shared" si="49"/>
        <v>3083.3298819397642</v>
      </c>
      <c r="H39" s="376">
        <f t="shared" si="49"/>
        <v>4624.9948229096453</v>
      </c>
      <c r="I39" s="374">
        <f t="shared" si="49"/>
        <v>6166.6597638795283</v>
      </c>
      <c r="J39" s="374">
        <f t="shared" si="49"/>
        <v>7708.3247048494095</v>
      </c>
      <c r="K39" s="374">
        <f t="shared" si="49"/>
        <v>9249.9896458192907</v>
      </c>
      <c r="L39" s="377">
        <f t="shared" si="49"/>
        <v>7708.3247048494095</v>
      </c>
      <c r="M39" s="378"/>
      <c r="N39" s="379">
        <f t="shared" ref="N39:N41" si="50">H39-C39</f>
        <v>1541.6649409698812</v>
      </c>
      <c r="O39" s="374">
        <f t="shared" ref="O39:O41" si="51">I39-D39</f>
        <v>3083.3298819397642</v>
      </c>
      <c r="P39" s="374">
        <f t="shared" ref="P39:P41" si="52">J39-E39</f>
        <v>4624.9948229096453</v>
      </c>
      <c r="Q39" s="374">
        <f t="shared" ref="Q39:Q41" si="53">K39-F39</f>
        <v>6166.6597638795265</v>
      </c>
      <c r="R39" s="375">
        <f t="shared" ref="R39:R41" si="54">L39-G39</f>
        <v>4624.9948229096453</v>
      </c>
      <c r="S39" s="240">
        <f t="shared" ref="S39:S41" si="55">N39*$B39/1000</f>
        <v>0</v>
      </c>
      <c r="T39" s="201">
        <f t="shared" ref="T39:T41" si="56">O39*$B39/1000</f>
        <v>0</v>
      </c>
      <c r="U39" s="201">
        <f t="shared" ref="U39:U41" si="57">P39*$B39/1000</f>
        <v>0</v>
      </c>
      <c r="V39" s="201">
        <f t="shared" ref="V39:V41" si="58">Q39*$B39/1000</f>
        <v>0</v>
      </c>
      <c r="W39" s="202">
        <f t="shared" ref="W39:W41" si="59">R39*$B39/1000</f>
        <v>0</v>
      </c>
      <c r="Y39" s="191"/>
      <c r="Z39" s="191"/>
      <c r="AA39" s="191"/>
      <c r="AB39" s="191"/>
      <c r="AC39" s="191"/>
      <c r="AD39" s="191"/>
      <c r="AF39" s="191"/>
      <c r="AG39" s="191"/>
      <c r="AH39" s="191"/>
      <c r="AI39" s="191"/>
      <c r="AJ39" s="191"/>
      <c r="AK39" s="191"/>
    </row>
    <row r="40" spans="1:37" x14ac:dyDescent="0.3">
      <c r="A40" s="284" t="s">
        <v>517</v>
      </c>
      <c r="B40" s="201">
        <f>'Resource impact template'!B18</f>
        <v>0</v>
      </c>
      <c r="C40" s="200">
        <f t="shared" ref="C40:L40" si="60">C22</f>
        <v>924.99896458192916</v>
      </c>
      <c r="D40" s="200">
        <f t="shared" si="60"/>
        <v>924.99896458192916</v>
      </c>
      <c r="E40" s="200">
        <f t="shared" si="60"/>
        <v>924.99896458192916</v>
      </c>
      <c r="F40" s="200">
        <f t="shared" si="60"/>
        <v>924.99896458192916</v>
      </c>
      <c r="G40" s="236">
        <f t="shared" si="60"/>
        <v>924.99896458192916</v>
      </c>
      <c r="H40" s="238">
        <f t="shared" si="60"/>
        <v>3083.3298819397642</v>
      </c>
      <c r="I40" s="200">
        <f t="shared" si="60"/>
        <v>4624.9948229096453</v>
      </c>
      <c r="J40" s="200">
        <f t="shared" si="60"/>
        <v>4624.9948229096453</v>
      </c>
      <c r="K40" s="200">
        <f t="shared" si="60"/>
        <v>4624.9948229096453</v>
      </c>
      <c r="L40" s="286">
        <f t="shared" si="60"/>
        <v>6166.6597638795283</v>
      </c>
      <c r="M40" s="244"/>
      <c r="N40" s="242">
        <f t="shared" si="50"/>
        <v>2158.330917357835</v>
      </c>
      <c r="O40" s="200">
        <f t="shared" si="51"/>
        <v>3699.9958583277162</v>
      </c>
      <c r="P40" s="200">
        <f t="shared" si="52"/>
        <v>3699.9958583277162</v>
      </c>
      <c r="Q40" s="200">
        <f t="shared" si="53"/>
        <v>3699.9958583277162</v>
      </c>
      <c r="R40" s="236">
        <f t="shared" si="54"/>
        <v>5241.6607992975987</v>
      </c>
      <c r="S40" s="380">
        <f t="shared" si="55"/>
        <v>0</v>
      </c>
      <c r="T40" s="381">
        <f t="shared" si="56"/>
        <v>0</v>
      </c>
      <c r="U40" s="381">
        <f t="shared" si="57"/>
        <v>0</v>
      </c>
      <c r="V40" s="381">
        <f t="shared" si="58"/>
        <v>0</v>
      </c>
      <c r="W40" s="382">
        <f t="shared" si="59"/>
        <v>0</v>
      </c>
      <c r="Y40" s="191"/>
      <c r="Z40" s="191"/>
      <c r="AA40" s="191"/>
      <c r="AB40" s="191"/>
      <c r="AC40" s="191"/>
      <c r="AD40" s="191"/>
      <c r="AF40" s="191"/>
      <c r="AG40" s="191"/>
      <c r="AH40" s="191"/>
      <c r="AI40" s="191"/>
      <c r="AJ40" s="191"/>
      <c r="AK40" s="191"/>
    </row>
    <row r="41" spans="1:37" x14ac:dyDescent="0.3">
      <c r="A41" s="185" t="s">
        <v>518</v>
      </c>
      <c r="B41" s="201">
        <f>'Resource impact template'!B19</f>
        <v>0</v>
      </c>
      <c r="C41" s="200">
        <f t="shared" ref="C41:L41" si="61">C23</f>
        <v>1849.9979291638583</v>
      </c>
      <c r="D41" s="200">
        <f t="shared" si="61"/>
        <v>1849.9979291638583</v>
      </c>
      <c r="E41" s="200">
        <f t="shared" si="61"/>
        <v>1849.9979291638583</v>
      </c>
      <c r="F41" s="200">
        <f t="shared" si="61"/>
        <v>1849.9979291638583</v>
      </c>
      <c r="G41" s="236">
        <f t="shared" si="61"/>
        <v>1849.9979291638583</v>
      </c>
      <c r="H41" s="238">
        <f t="shared" si="61"/>
        <v>3083.3298819397642</v>
      </c>
      <c r="I41" s="200">
        <f t="shared" si="61"/>
        <v>4624.9948229096453</v>
      </c>
      <c r="J41" s="200">
        <f t="shared" si="61"/>
        <v>4624.9948229096453</v>
      </c>
      <c r="K41" s="200">
        <f t="shared" si="61"/>
        <v>4624.9948229096453</v>
      </c>
      <c r="L41" s="242">
        <f t="shared" si="61"/>
        <v>6166.6597638795283</v>
      </c>
      <c r="M41" s="244"/>
      <c r="N41" s="242">
        <f t="shared" si="50"/>
        <v>1233.3319527759058</v>
      </c>
      <c r="O41" s="200">
        <f t="shared" si="51"/>
        <v>2774.996893745787</v>
      </c>
      <c r="P41" s="200">
        <f t="shared" si="52"/>
        <v>2774.996893745787</v>
      </c>
      <c r="Q41" s="200">
        <f t="shared" si="53"/>
        <v>2774.996893745787</v>
      </c>
      <c r="R41" s="236">
        <f t="shared" si="54"/>
        <v>4316.66183471567</v>
      </c>
      <c r="S41" s="383">
        <f t="shared" si="55"/>
        <v>0</v>
      </c>
      <c r="T41" s="381">
        <f t="shared" si="56"/>
        <v>0</v>
      </c>
      <c r="U41" s="381">
        <f t="shared" si="57"/>
        <v>0</v>
      </c>
      <c r="V41" s="381">
        <f t="shared" si="58"/>
        <v>0</v>
      </c>
      <c r="W41" s="382">
        <f t="shared" si="59"/>
        <v>0</v>
      </c>
      <c r="Y41" s="191">
        <f>C41</f>
        <v>1849.9979291638583</v>
      </c>
      <c r="Z41" s="191">
        <f>C41+N41</f>
        <v>3083.3298819397642</v>
      </c>
      <c r="AA41" s="191">
        <f>D41+O41</f>
        <v>4624.9948229096453</v>
      </c>
      <c r="AB41" s="191">
        <f>E41+P41</f>
        <v>4624.9948229096453</v>
      </c>
      <c r="AC41" s="191">
        <f>F41+Q41</f>
        <v>4624.9948229096453</v>
      </c>
      <c r="AD41" s="191">
        <f>G41+R41</f>
        <v>6166.6597638795283</v>
      </c>
      <c r="AF41" s="191">
        <f>(C41*B41)/1000</f>
        <v>0</v>
      </c>
      <c r="AG41" s="191">
        <f>$AF41+S41</f>
        <v>0</v>
      </c>
      <c r="AH41" s="191">
        <f>$AF41+T41</f>
        <v>0</v>
      </c>
      <c r="AI41" s="191">
        <f>$AF41+U41</f>
        <v>0</v>
      </c>
      <c r="AJ41" s="191">
        <f>$AF41+V41</f>
        <v>0</v>
      </c>
      <c r="AK41" s="191">
        <f>$AF41+W41</f>
        <v>0</v>
      </c>
    </row>
    <row r="42" spans="1:37" ht="15" thickBot="1" x14ac:dyDescent="0.35">
      <c r="A42" s="192" t="s">
        <v>538</v>
      </c>
      <c r="B42" s="445"/>
      <c r="C42" s="305" t="s">
        <v>3</v>
      </c>
      <c r="D42" s="305" t="s">
        <v>3</v>
      </c>
      <c r="E42" s="305" t="s">
        <v>3</v>
      </c>
      <c r="F42" s="305" t="s">
        <v>3</v>
      </c>
      <c r="G42" s="306" t="s">
        <v>3</v>
      </c>
      <c r="H42" s="304" t="s">
        <v>3</v>
      </c>
      <c r="I42" s="305" t="s">
        <v>3</v>
      </c>
      <c r="J42" s="305" t="s">
        <v>3</v>
      </c>
      <c r="K42" s="305" t="s">
        <v>3</v>
      </c>
      <c r="L42" s="305" t="s">
        <v>3</v>
      </c>
      <c r="M42" s="208"/>
      <c r="N42" s="305" t="s">
        <v>3</v>
      </c>
      <c r="O42" s="305" t="s">
        <v>3</v>
      </c>
      <c r="P42" s="305" t="s">
        <v>3</v>
      </c>
      <c r="Q42" s="305" t="s">
        <v>3</v>
      </c>
      <c r="R42" s="306" t="s">
        <v>3</v>
      </c>
      <c r="S42" s="241">
        <f>SUM(S36:S41)</f>
        <v>0</v>
      </c>
      <c r="T42" s="204">
        <f>SUM(T36:T41)</f>
        <v>0</v>
      </c>
      <c r="U42" s="204">
        <f>SUM(U36:U41)</f>
        <v>0</v>
      </c>
      <c r="V42" s="204">
        <f>SUM(V36:V41)</f>
        <v>0</v>
      </c>
      <c r="W42" s="205">
        <f>SUM(W36:W41)</f>
        <v>0</v>
      </c>
    </row>
    <row r="43" spans="1:37" ht="15" thickBot="1" x14ac:dyDescent="0.35">
      <c r="A43" s="223" t="s">
        <v>3</v>
      </c>
    </row>
    <row r="44" spans="1:37" ht="83.4" thickBot="1" x14ac:dyDescent="0.35">
      <c r="A44" s="231" t="s">
        <v>576</v>
      </c>
      <c r="B44" s="199" t="s">
        <v>446</v>
      </c>
      <c r="C44" s="290" t="s">
        <v>476</v>
      </c>
      <c r="D44" s="291" t="s">
        <v>477</v>
      </c>
      <c r="E44" s="292" t="s">
        <v>478</v>
      </c>
      <c r="F44" s="293" t="s">
        <v>479</v>
      </c>
      <c r="G44" s="294" t="s">
        <v>480</v>
      </c>
      <c r="H44" s="295" t="s">
        <v>481</v>
      </c>
      <c r="I44" s="296" t="s">
        <v>482</v>
      </c>
      <c r="J44" s="297" t="s">
        <v>483</v>
      </c>
      <c r="K44" s="297" t="s">
        <v>484</v>
      </c>
      <c r="L44" s="298" t="s">
        <v>485</v>
      </c>
      <c r="M44" s="299"/>
      <c r="N44" s="300" t="s">
        <v>486</v>
      </c>
      <c r="O44" s="301" t="s">
        <v>487</v>
      </c>
      <c r="P44" s="302" t="s">
        <v>488</v>
      </c>
      <c r="Q44" s="302" t="s">
        <v>489</v>
      </c>
      <c r="R44" s="303" t="s">
        <v>490</v>
      </c>
      <c r="S44" s="302" t="s">
        <v>491</v>
      </c>
      <c r="T44" s="302" t="s">
        <v>492</v>
      </c>
      <c r="U44" s="302" t="s">
        <v>493</v>
      </c>
      <c r="V44" s="302" t="s">
        <v>494</v>
      </c>
      <c r="W44" s="303" t="s">
        <v>495</v>
      </c>
    </row>
    <row r="45" spans="1:37" x14ac:dyDescent="0.3">
      <c r="A45" s="320" t="s">
        <v>524</v>
      </c>
      <c r="B45" s="201">
        <f>'Resource impact template'!B23</f>
        <v>20.14</v>
      </c>
      <c r="C45" s="200">
        <f>C36*'Unit costs'!$G21</f>
        <v>610499.3166240732</v>
      </c>
      <c r="D45" s="200">
        <f>D36*'Unit costs'!$G21</f>
        <v>610499.3166240732</v>
      </c>
      <c r="E45" s="200">
        <f>E36*'Unit costs'!$G21</f>
        <v>610499.3166240732</v>
      </c>
      <c r="F45" s="200">
        <f>F36*'Unit costs'!$G21</f>
        <v>610499.3166240732</v>
      </c>
      <c r="G45" s="236">
        <f>G36*'Unit costs'!$G21</f>
        <v>610499.3166240732</v>
      </c>
      <c r="H45" s="238">
        <f>H36*'Unit costs'!$G21</f>
        <v>305249.6583120366</v>
      </c>
      <c r="I45" s="200">
        <f>I36*'Unit costs'!$G21</f>
        <v>101749.88610401221</v>
      </c>
      <c r="J45" s="200">
        <f>J36*'Unit costs'!$G21</f>
        <v>0</v>
      </c>
      <c r="K45" s="200">
        <f>K36*'Unit costs'!$G21</f>
        <v>0</v>
      </c>
      <c r="L45" s="286">
        <f>L36*'Unit costs'!$G21</f>
        <v>0</v>
      </c>
      <c r="M45" s="431"/>
      <c r="N45" s="433">
        <f t="shared" ref="N45:N50" si="62">H45-C45</f>
        <v>-305249.6583120366</v>
      </c>
      <c r="O45" s="200">
        <f t="shared" ref="O45:O50" si="63">I45-D45</f>
        <v>-508749.430520061</v>
      </c>
      <c r="P45" s="200">
        <f t="shared" ref="P45:P50" si="64">J45-E45</f>
        <v>-610499.3166240732</v>
      </c>
      <c r="Q45" s="200">
        <f t="shared" ref="Q45:Q50" si="65">K45-F45</f>
        <v>-610499.3166240732</v>
      </c>
      <c r="R45" s="236">
        <f t="shared" ref="R45:R50" si="66">L45-G45</f>
        <v>-610499.3166240732</v>
      </c>
      <c r="S45" s="240">
        <f t="shared" ref="S45:W50" si="67">N45*$B45/1000</f>
        <v>-6147.7281184044177</v>
      </c>
      <c r="T45" s="201">
        <f t="shared" si="67"/>
        <v>-10246.213530674029</v>
      </c>
      <c r="U45" s="201">
        <f t="shared" si="67"/>
        <v>-12295.456236808835</v>
      </c>
      <c r="V45" s="201">
        <f t="shared" si="67"/>
        <v>-12295.456236808835</v>
      </c>
      <c r="W45" s="202">
        <f t="shared" si="67"/>
        <v>-12295.456236808835</v>
      </c>
    </row>
    <row r="46" spans="1:37" x14ac:dyDescent="0.3">
      <c r="A46" s="320" t="s">
        <v>534</v>
      </c>
      <c r="B46" s="201">
        <f>B45</f>
        <v>20.14</v>
      </c>
      <c r="C46" s="200">
        <f>C37*'Unit costs'!$G22</f>
        <v>683265.90183785174</v>
      </c>
      <c r="D46" s="200">
        <f>D37*'Unit costs'!$G22</f>
        <v>683265.90183785174</v>
      </c>
      <c r="E46" s="200">
        <f>E37*'Unit costs'!$G22</f>
        <v>683265.90183785174</v>
      </c>
      <c r="F46" s="200">
        <f>F37*'Unit costs'!$G22</f>
        <v>683265.90183785174</v>
      </c>
      <c r="G46" s="236">
        <f>G37*'Unit costs'!$G22</f>
        <v>683265.90183785174</v>
      </c>
      <c r="H46" s="238">
        <f>H37*'Unit costs'!$G22</f>
        <v>683265.90183785174</v>
      </c>
      <c r="I46" s="200">
        <f>I37*'Unit costs'!$G22</f>
        <v>512449.42637838871</v>
      </c>
      <c r="J46" s="200">
        <f>J37*'Unit costs'!$G22</f>
        <v>427041.18864865729</v>
      </c>
      <c r="K46" s="200">
        <f>K37*'Unit costs'!$G22</f>
        <v>341632.95091892587</v>
      </c>
      <c r="L46" s="286">
        <f>L37*'Unit costs'!$G22</f>
        <v>256224.71318919436</v>
      </c>
      <c r="M46" s="431"/>
      <c r="N46" s="238">
        <f t="shared" si="62"/>
        <v>0</v>
      </c>
      <c r="O46" s="200">
        <f t="shared" si="63"/>
        <v>-170816.47545946302</v>
      </c>
      <c r="P46" s="200">
        <f t="shared" si="64"/>
        <v>-256224.71318919444</v>
      </c>
      <c r="Q46" s="200">
        <f t="shared" si="65"/>
        <v>-341632.95091892587</v>
      </c>
      <c r="R46" s="236">
        <f t="shared" si="66"/>
        <v>-427041.18864865741</v>
      </c>
      <c r="S46" s="240">
        <f t="shared" si="67"/>
        <v>0</v>
      </c>
      <c r="T46" s="201">
        <f t="shared" si="67"/>
        <v>-3440.2438157535853</v>
      </c>
      <c r="U46" s="201">
        <f t="shared" si="67"/>
        <v>-5160.3657236303761</v>
      </c>
      <c r="V46" s="201">
        <f t="shared" si="67"/>
        <v>-6880.4876315071679</v>
      </c>
      <c r="W46" s="202">
        <f t="shared" si="67"/>
        <v>-8600.6095393839605</v>
      </c>
    </row>
    <row r="47" spans="1:37" x14ac:dyDescent="0.3">
      <c r="A47" s="185" t="s">
        <v>519</v>
      </c>
      <c r="B47" s="201">
        <f>B45</f>
        <v>20.14</v>
      </c>
      <c r="C47" s="200">
        <f>C38*'Unit costs'!$G23</f>
        <v>271333.02961069922</v>
      </c>
      <c r="D47" s="200">
        <f>D38*'Unit costs'!$G23</f>
        <v>271333.02961069922</v>
      </c>
      <c r="E47" s="200">
        <f>E38*'Unit costs'!$G23</f>
        <v>271333.02961069922</v>
      </c>
      <c r="F47" s="200">
        <f>F38*'Unit costs'!$G23</f>
        <v>271333.02961069922</v>
      </c>
      <c r="G47" s="236">
        <f>G38*'Unit costs'!$G23</f>
        <v>271333.02961069922</v>
      </c>
      <c r="H47" s="238">
        <f>H38*'Unit costs'!$G23</f>
        <v>246666.39055518113</v>
      </c>
      <c r="I47" s="200">
        <f>I38*'Unit costs'!$G23</f>
        <v>369999.58583277161</v>
      </c>
      <c r="J47" s="200">
        <f>J38*'Unit costs'!$G23</f>
        <v>493332.78111036227</v>
      </c>
      <c r="K47" s="200">
        <f>K38*'Unit costs'!$G23</f>
        <v>493332.78111036227</v>
      </c>
      <c r="L47" s="286">
        <f>L38*'Unit costs'!$G23</f>
        <v>493332.78111036227</v>
      </c>
      <c r="M47" s="431"/>
      <c r="N47" s="238">
        <f t="shared" si="62"/>
        <v>-24666.639055518084</v>
      </c>
      <c r="O47" s="200">
        <f t="shared" si="63"/>
        <v>98666.556222072395</v>
      </c>
      <c r="P47" s="200">
        <f t="shared" si="64"/>
        <v>221999.75149966305</v>
      </c>
      <c r="Q47" s="200">
        <f t="shared" si="65"/>
        <v>221999.75149966305</v>
      </c>
      <c r="R47" s="236">
        <f t="shared" si="66"/>
        <v>221999.75149966305</v>
      </c>
      <c r="S47" s="240">
        <f t="shared" si="67"/>
        <v>-496.78611057813424</v>
      </c>
      <c r="T47" s="201">
        <f t="shared" si="67"/>
        <v>1987.1444423125381</v>
      </c>
      <c r="U47" s="201">
        <f t="shared" si="67"/>
        <v>4471.0749952032138</v>
      </c>
      <c r="V47" s="201">
        <f t="shared" si="67"/>
        <v>4471.0749952032138</v>
      </c>
      <c r="W47" s="202">
        <f t="shared" si="67"/>
        <v>4471.0749952032138</v>
      </c>
    </row>
    <row r="48" spans="1:37" x14ac:dyDescent="0.3">
      <c r="A48" s="284" t="s">
        <v>516</v>
      </c>
      <c r="B48" s="201">
        <f>B45</f>
        <v>20.14</v>
      </c>
      <c r="C48" s="200">
        <f>C39*'Unit costs'!$G24</f>
        <v>135666.51480534964</v>
      </c>
      <c r="D48" s="374">
        <f>D39*'Unit costs'!$G24</f>
        <v>135666.51480534964</v>
      </c>
      <c r="E48" s="374">
        <f>E39*'Unit costs'!$G24</f>
        <v>135666.51480534964</v>
      </c>
      <c r="F48" s="374">
        <f>F39*'Unit costs'!$G24</f>
        <v>135666.51480534964</v>
      </c>
      <c r="G48" s="375">
        <f>G39*'Unit costs'!$G24</f>
        <v>135666.51480534964</v>
      </c>
      <c r="H48" s="376">
        <f>H39*'Unit costs'!$G24</f>
        <v>203499.7722080244</v>
      </c>
      <c r="I48" s="374">
        <f>I39*'Unit costs'!$G24</f>
        <v>271333.02961069928</v>
      </c>
      <c r="J48" s="374">
        <f>J39*'Unit costs'!$G24</f>
        <v>339166.28701337404</v>
      </c>
      <c r="K48" s="374">
        <f>K39*'Unit costs'!$G24</f>
        <v>406999.5444160488</v>
      </c>
      <c r="L48" s="377">
        <f>L39*'Unit costs'!$G24</f>
        <v>339166.28701337404</v>
      </c>
      <c r="M48" s="432"/>
      <c r="N48" s="376">
        <f t="shared" si="62"/>
        <v>67833.257402674761</v>
      </c>
      <c r="O48" s="374">
        <f t="shared" si="63"/>
        <v>135666.51480534964</v>
      </c>
      <c r="P48" s="374">
        <f t="shared" si="64"/>
        <v>203499.7722080244</v>
      </c>
      <c r="Q48" s="374">
        <f t="shared" si="65"/>
        <v>271333.02961069916</v>
      </c>
      <c r="R48" s="375">
        <f t="shared" si="66"/>
        <v>203499.7722080244</v>
      </c>
      <c r="S48" s="240">
        <f t="shared" si="67"/>
        <v>1366.1618040898695</v>
      </c>
      <c r="T48" s="201">
        <f t="shared" si="67"/>
        <v>2732.3236081797422</v>
      </c>
      <c r="U48" s="201">
        <f t="shared" si="67"/>
        <v>4098.4854122696115</v>
      </c>
      <c r="V48" s="201">
        <f t="shared" si="67"/>
        <v>5464.6472163594808</v>
      </c>
      <c r="W48" s="202">
        <f t="shared" si="67"/>
        <v>4098.4854122696115</v>
      </c>
    </row>
    <row r="49" spans="1:37" x14ac:dyDescent="0.3">
      <c r="A49" s="284" t="s">
        <v>517</v>
      </c>
      <c r="B49" s="201">
        <f>B45</f>
        <v>20.14</v>
      </c>
      <c r="C49" s="200">
        <f>C40*'Unit costs'!$G25</f>
        <v>12949.985504147007</v>
      </c>
      <c r="D49" s="200">
        <f>D40*'Unit costs'!$G25</f>
        <v>12949.985504147007</v>
      </c>
      <c r="E49" s="200">
        <f>E40*'Unit costs'!$G25</f>
        <v>12949.985504147007</v>
      </c>
      <c r="F49" s="200">
        <f>F40*'Unit costs'!$G25</f>
        <v>12949.985504147007</v>
      </c>
      <c r="G49" s="236">
        <f>G40*'Unit costs'!$G25</f>
        <v>12949.985504147007</v>
      </c>
      <c r="H49" s="238">
        <f>H40*'Unit costs'!$G25</f>
        <v>43166.618347156698</v>
      </c>
      <c r="I49" s="200">
        <f>I40*'Unit costs'!$G25</f>
        <v>64749.927520735037</v>
      </c>
      <c r="J49" s="200">
        <f>J40*'Unit costs'!$G25</f>
        <v>64749.927520735037</v>
      </c>
      <c r="K49" s="200">
        <f>K40*'Unit costs'!$G25</f>
        <v>64749.927520735037</v>
      </c>
      <c r="L49" s="286">
        <f>L40*'Unit costs'!$G25</f>
        <v>86333.236694313397</v>
      </c>
      <c r="M49" s="431"/>
      <c r="N49" s="238">
        <f t="shared" si="62"/>
        <v>30216.632843009691</v>
      </c>
      <c r="O49" s="200">
        <f t="shared" si="63"/>
        <v>51799.942016588029</v>
      </c>
      <c r="P49" s="200">
        <f t="shared" si="64"/>
        <v>51799.942016588029</v>
      </c>
      <c r="Q49" s="200">
        <f t="shared" si="65"/>
        <v>51799.942016588029</v>
      </c>
      <c r="R49" s="236">
        <f t="shared" si="66"/>
        <v>73383.251190166397</v>
      </c>
      <c r="S49" s="380">
        <f t="shared" si="67"/>
        <v>608.56298545821528</v>
      </c>
      <c r="T49" s="381">
        <f t="shared" si="67"/>
        <v>1043.2508322140829</v>
      </c>
      <c r="U49" s="381">
        <f t="shared" si="67"/>
        <v>1043.2508322140829</v>
      </c>
      <c r="V49" s="381">
        <f t="shared" si="67"/>
        <v>1043.2508322140829</v>
      </c>
      <c r="W49" s="382">
        <f t="shared" si="67"/>
        <v>1477.9386789699513</v>
      </c>
    </row>
    <row r="50" spans="1:37" x14ac:dyDescent="0.3">
      <c r="A50" s="185" t="s">
        <v>518</v>
      </c>
      <c r="B50" s="201">
        <f>B45</f>
        <v>20.14</v>
      </c>
      <c r="C50" s="200">
        <f>C41*'Unit costs'!$G26</f>
        <v>32374.963760367522</v>
      </c>
      <c r="D50" s="200">
        <f>D41*'Unit costs'!$G26</f>
        <v>32374.963760367522</v>
      </c>
      <c r="E50" s="200">
        <f>E41*'Unit costs'!$G26</f>
        <v>32374.963760367522</v>
      </c>
      <c r="F50" s="200">
        <f>F41*'Unit costs'!$G26</f>
        <v>32374.963760367522</v>
      </c>
      <c r="G50" s="236">
        <f>G41*'Unit costs'!$G26</f>
        <v>32374.963760367522</v>
      </c>
      <c r="H50" s="238">
        <f>H41*'Unit costs'!$G26</f>
        <v>53958.272933945875</v>
      </c>
      <c r="I50" s="200">
        <f>I41*'Unit costs'!$G26</f>
        <v>80937.409400918797</v>
      </c>
      <c r="J50" s="200">
        <f>J41*'Unit costs'!$G26</f>
        <v>80937.409400918797</v>
      </c>
      <c r="K50" s="200">
        <f>K41*'Unit costs'!$G26</f>
        <v>80937.409400918797</v>
      </c>
      <c r="L50" s="242">
        <f>L41*'Unit costs'!$G26</f>
        <v>107916.54586789175</v>
      </c>
      <c r="M50" s="431"/>
      <c r="N50" s="238">
        <f t="shared" si="62"/>
        <v>21583.309173578353</v>
      </c>
      <c r="O50" s="200">
        <f t="shared" si="63"/>
        <v>48562.445640551276</v>
      </c>
      <c r="P50" s="200">
        <f t="shared" si="64"/>
        <v>48562.445640551276</v>
      </c>
      <c r="Q50" s="200">
        <f t="shared" si="65"/>
        <v>48562.445640551276</v>
      </c>
      <c r="R50" s="236">
        <f t="shared" si="66"/>
        <v>75541.582107524227</v>
      </c>
      <c r="S50" s="383">
        <f t="shared" si="67"/>
        <v>434.68784675586807</v>
      </c>
      <c r="T50" s="381">
        <f t="shared" si="67"/>
        <v>978.04765520070271</v>
      </c>
      <c r="U50" s="381">
        <f t="shared" si="67"/>
        <v>978.04765520070271</v>
      </c>
      <c r="V50" s="381">
        <f t="shared" si="67"/>
        <v>978.04765520070271</v>
      </c>
      <c r="W50" s="382">
        <f t="shared" si="67"/>
        <v>1521.407463645538</v>
      </c>
    </row>
    <row r="51" spans="1:37" ht="15" thickBot="1" x14ac:dyDescent="0.35">
      <c r="A51" s="192" t="s">
        <v>539</v>
      </c>
      <c r="B51" s="445"/>
      <c r="C51" s="203">
        <f>SUM(C45:C50)</f>
        <v>1746089.7121424882</v>
      </c>
      <c r="D51" s="203">
        <f t="shared" ref="D51" si="68">SUM(D45:D50)</f>
        <v>1746089.7121424882</v>
      </c>
      <c r="E51" s="203">
        <f t="shared" ref="E51" si="69">SUM(E45:E50)</f>
        <v>1746089.7121424882</v>
      </c>
      <c r="F51" s="203">
        <f t="shared" ref="F51" si="70">SUM(F45:F50)</f>
        <v>1746089.7121424882</v>
      </c>
      <c r="G51" s="237">
        <f t="shared" ref="G51" si="71">SUM(G45:G50)</f>
        <v>1746089.7121424882</v>
      </c>
      <c r="H51" s="239">
        <f t="shared" ref="H51" si="72">SUM(H45:H50)</f>
        <v>1535806.6141941966</v>
      </c>
      <c r="I51" s="203">
        <f t="shared" ref="I51" si="73">SUM(I45:I50)</f>
        <v>1401219.2648475254</v>
      </c>
      <c r="J51" s="203">
        <f t="shared" ref="J51" si="74">SUM(J45:J50)</f>
        <v>1405227.5936940473</v>
      </c>
      <c r="K51" s="203">
        <f t="shared" ref="K51" si="75">SUM(K45:K50)</f>
        <v>1387652.6133669906</v>
      </c>
      <c r="L51" s="203">
        <f t="shared" ref="L51" si="76">SUM(L45:L50)</f>
        <v>1282973.5638751357</v>
      </c>
      <c r="M51" s="208"/>
      <c r="N51" s="434">
        <f>SUM(N45:N50)</f>
        <v>-210283.09794829186</v>
      </c>
      <c r="O51" s="429">
        <f t="shared" ref="O51" si="77">SUM(O45:O50)</f>
        <v>-344870.44729496259</v>
      </c>
      <c r="P51" s="429">
        <f t="shared" ref="P51" si="78">SUM(P45:P50)</f>
        <v>-340862.11844844092</v>
      </c>
      <c r="Q51" s="429">
        <f t="shared" ref="Q51" si="79">SUM(Q45:Q50)</f>
        <v>-358437.0987754974</v>
      </c>
      <c r="R51" s="430">
        <f t="shared" ref="R51" si="80">SUM(R45:R50)</f>
        <v>-463116.14826735266</v>
      </c>
      <c r="S51" s="241">
        <f>SUM(S45:S50)</f>
        <v>-4235.1015926785994</v>
      </c>
      <c r="T51" s="204">
        <f>SUM(T45:T50)</f>
        <v>-6945.6908085205487</v>
      </c>
      <c r="U51" s="204">
        <f>SUM(U45:U50)</f>
        <v>-6864.9630655515994</v>
      </c>
      <c r="V51" s="204">
        <f>SUM(V45:V50)</f>
        <v>-7218.9231693385254</v>
      </c>
      <c r="W51" s="205">
        <f>SUM(W45:W50)</f>
        <v>-9327.1592261044789</v>
      </c>
    </row>
    <row r="52" spans="1:37" ht="15" thickBot="1" x14ac:dyDescent="0.35">
      <c r="A52" s="223" t="s">
        <v>3</v>
      </c>
      <c r="Y52" s="206">
        <f t="shared" ref="Y52:AD52" si="81">SUM(Y36:Y42)</f>
        <v>11099.987574983148</v>
      </c>
      <c r="Z52" s="206">
        <f t="shared" si="81"/>
        <v>7708.3247048494095</v>
      </c>
      <c r="AA52" s="206">
        <f t="shared" si="81"/>
        <v>6166.6597638795274</v>
      </c>
      <c r="AB52" s="206">
        <f t="shared" si="81"/>
        <v>4624.9948229096453</v>
      </c>
      <c r="AC52" s="206">
        <f t="shared" si="81"/>
        <v>4624.9948229096453</v>
      </c>
      <c r="AD52" s="206">
        <f t="shared" si="81"/>
        <v>6166.6597638795283</v>
      </c>
      <c r="AE52" s="207"/>
      <c r="AF52" s="206">
        <f t="shared" ref="AF52:AK52" si="82">SUM(AF36:AF42)</f>
        <v>0</v>
      </c>
      <c r="AG52" s="206">
        <f t="shared" si="82"/>
        <v>0</v>
      </c>
      <c r="AH52" s="206">
        <f t="shared" si="82"/>
        <v>0</v>
      </c>
      <c r="AI52" s="206">
        <f t="shared" si="82"/>
        <v>0</v>
      </c>
      <c r="AJ52" s="206">
        <f t="shared" si="82"/>
        <v>0</v>
      </c>
      <c r="AK52" s="206">
        <f t="shared" si="82"/>
        <v>0</v>
      </c>
    </row>
    <row r="53" spans="1:37" ht="83.4" thickBot="1" x14ac:dyDescent="0.35">
      <c r="A53" s="231" t="s">
        <v>577</v>
      </c>
      <c r="B53" s="199" t="s">
        <v>446</v>
      </c>
      <c r="C53" s="290" t="s">
        <v>476</v>
      </c>
      <c r="D53" s="291" t="s">
        <v>477</v>
      </c>
      <c r="E53" s="292" t="s">
        <v>478</v>
      </c>
      <c r="F53" s="293" t="s">
        <v>479</v>
      </c>
      <c r="G53" s="294" t="s">
        <v>480</v>
      </c>
      <c r="H53" s="295" t="s">
        <v>481</v>
      </c>
      <c r="I53" s="296" t="s">
        <v>482</v>
      </c>
      <c r="J53" s="297" t="s">
        <v>483</v>
      </c>
      <c r="K53" s="297" t="s">
        <v>484</v>
      </c>
      <c r="L53" s="298" t="s">
        <v>485</v>
      </c>
      <c r="M53" s="299"/>
      <c r="N53" s="300" t="s">
        <v>486</v>
      </c>
      <c r="O53" s="301" t="s">
        <v>487</v>
      </c>
      <c r="P53" s="302" t="s">
        <v>488</v>
      </c>
      <c r="Q53" s="302" t="s">
        <v>489</v>
      </c>
      <c r="R53" s="303" t="s">
        <v>490</v>
      </c>
      <c r="S53" s="302" t="s">
        <v>491</v>
      </c>
      <c r="T53" s="302" t="s">
        <v>492</v>
      </c>
      <c r="U53" s="302" t="s">
        <v>493</v>
      </c>
      <c r="V53" s="302" t="s">
        <v>494</v>
      </c>
      <c r="W53" s="303" t="s">
        <v>495</v>
      </c>
      <c r="AG53" s="191">
        <f>AG52-$AF52</f>
        <v>0</v>
      </c>
      <c r="AH53" s="191">
        <f>AH52-$AF52</f>
        <v>0</v>
      </c>
      <c r="AI53" s="191">
        <f>AI52-$AF52</f>
        <v>0</v>
      </c>
      <c r="AJ53" s="191">
        <f>AJ52-$AF52</f>
        <v>0</v>
      </c>
      <c r="AK53" s="191">
        <f>AK52-$AF52</f>
        <v>0</v>
      </c>
    </row>
    <row r="54" spans="1:37" s="209" customFormat="1" x14ac:dyDescent="0.3">
      <c r="A54" s="320" t="s">
        <v>524</v>
      </c>
      <c r="B54" s="201">
        <f>'Resource impact template'!B32</f>
        <v>365</v>
      </c>
      <c r="C54" s="200">
        <f>C36*'Unit costs'!$G29</f>
        <v>28027.468626832448</v>
      </c>
      <c r="D54" s="200">
        <f>D36*'Unit costs'!$G29</f>
        <v>28027.468626832448</v>
      </c>
      <c r="E54" s="200">
        <f>E36*'Unit costs'!$G29</f>
        <v>28027.468626832448</v>
      </c>
      <c r="F54" s="200">
        <f>F36*'Unit costs'!$G29</f>
        <v>28027.468626832448</v>
      </c>
      <c r="G54" s="236">
        <f>G36*'Unit costs'!$G29</f>
        <v>28027.468626832448</v>
      </c>
      <c r="H54" s="238">
        <f>H36*'Unit costs'!$G29</f>
        <v>14013.734313416224</v>
      </c>
      <c r="I54" s="200">
        <f>I36*'Unit costs'!$G29</f>
        <v>4671.2447711387422</v>
      </c>
      <c r="J54" s="200">
        <f>J36*'Unit costs'!$G29</f>
        <v>0</v>
      </c>
      <c r="K54" s="200">
        <f>K36*'Unit costs'!$G29</f>
        <v>0</v>
      </c>
      <c r="L54" s="286">
        <f>L36*'Unit costs'!$G29</f>
        <v>0</v>
      </c>
      <c r="M54" s="431"/>
      <c r="N54" s="433">
        <f t="shared" ref="N54:N59" si="83">H54-C54</f>
        <v>-14013.734313416224</v>
      </c>
      <c r="O54" s="200">
        <f t="shared" ref="O54:O59" si="84">I54-D54</f>
        <v>-23356.223855693705</v>
      </c>
      <c r="P54" s="200">
        <f t="shared" ref="P54:P59" si="85">J54-E54</f>
        <v>-28027.468626832448</v>
      </c>
      <c r="Q54" s="200">
        <f t="shared" ref="Q54:Q59" si="86">K54-F54</f>
        <v>-28027.468626832448</v>
      </c>
      <c r="R54" s="236">
        <f t="shared" ref="R54:R59" si="87">L54-G54</f>
        <v>-28027.468626832448</v>
      </c>
      <c r="S54" s="240">
        <f t="shared" ref="S54:S59" si="88">N54*$B54/1000</f>
        <v>-5115.0130243969215</v>
      </c>
      <c r="T54" s="201">
        <f t="shared" ref="T54:T59" si="89">O54*$B54/1000</f>
        <v>-8525.021707328202</v>
      </c>
      <c r="U54" s="201">
        <f t="shared" ref="U54:U59" si="90">P54*$B54/1000</f>
        <v>-10230.026048793843</v>
      </c>
      <c r="V54" s="201">
        <f t="shared" ref="V54:V59" si="91">Q54*$B54/1000</f>
        <v>-10230.026048793843</v>
      </c>
      <c r="W54" s="202">
        <f t="shared" ref="W54:W59" si="92">R54*$B54/1000</f>
        <v>-10230.026048793843</v>
      </c>
    </row>
    <row r="55" spans="1:37" s="196" customFormat="1" ht="15.6" x14ac:dyDescent="0.3">
      <c r="A55" s="320" t="s">
        <v>534</v>
      </c>
      <c r="B55" s="201">
        <f>'Resource impact template'!B33</f>
        <v>365</v>
      </c>
      <c r="C55" s="200">
        <f>C37*'Unit costs'!$G30</f>
        <v>22199.975149966303</v>
      </c>
      <c r="D55" s="200">
        <f>D37*'Unit costs'!$G30</f>
        <v>22199.975149966303</v>
      </c>
      <c r="E55" s="200">
        <f>E37*'Unit costs'!$G30</f>
        <v>22199.975149966303</v>
      </c>
      <c r="F55" s="200">
        <f>F37*'Unit costs'!$G30</f>
        <v>22199.975149966303</v>
      </c>
      <c r="G55" s="236">
        <f>G37*'Unit costs'!$G30</f>
        <v>22199.975149966303</v>
      </c>
      <c r="H55" s="238">
        <f>H37*'Unit costs'!$G30</f>
        <v>22199.975149966303</v>
      </c>
      <c r="I55" s="200">
        <f>I37*'Unit costs'!$G30</f>
        <v>16649.981362474722</v>
      </c>
      <c r="J55" s="200">
        <f>J37*'Unit costs'!$G30</f>
        <v>13874.984468728937</v>
      </c>
      <c r="K55" s="200">
        <f>K37*'Unit costs'!$G30</f>
        <v>11099.987574983152</v>
      </c>
      <c r="L55" s="286">
        <f>L37*'Unit costs'!$G30</f>
        <v>8324.9906812373611</v>
      </c>
      <c r="M55" s="431"/>
      <c r="N55" s="238">
        <f t="shared" si="83"/>
        <v>0</v>
      </c>
      <c r="O55" s="200">
        <f t="shared" si="84"/>
        <v>-5549.9937874915813</v>
      </c>
      <c r="P55" s="200">
        <f t="shared" si="85"/>
        <v>-8324.9906812373665</v>
      </c>
      <c r="Q55" s="200">
        <f t="shared" si="86"/>
        <v>-11099.987574983152</v>
      </c>
      <c r="R55" s="236">
        <f t="shared" si="87"/>
        <v>-13874.984468728942</v>
      </c>
      <c r="S55" s="240">
        <f t="shared" si="88"/>
        <v>0</v>
      </c>
      <c r="T55" s="201">
        <f t="shared" si="89"/>
        <v>-2025.7477324344272</v>
      </c>
      <c r="U55" s="201">
        <f t="shared" si="90"/>
        <v>-3038.6215986516386</v>
      </c>
      <c r="V55" s="201">
        <f t="shared" si="91"/>
        <v>-4051.4954648688504</v>
      </c>
      <c r="W55" s="202">
        <f t="shared" si="92"/>
        <v>-5064.3693310860635</v>
      </c>
    </row>
    <row r="56" spans="1:37" x14ac:dyDescent="0.3">
      <c r="A56" s="185" t="s">
        <v>519</v>
      </c>
      <c r="B56" s="201">
        <f>'Resource impact template'!B34</f>
        <v>365</v>
      </c>
      <c r="C56" s="200">
        <f>C38*'Unit costs'!$G31</f>
        <v>3391.6628701337404</v>
      </c>
      <c r="D56" s="200">
        <f>D38*'Unit costs'!$G31</f>
        <v>3391.6628701337404</v>
      </c>
      <c r="E56" s="200">
        <f>E38*'Unit costs'!$G31</f>
        <v>3391.6628701337404</v>
      </c>
      <c r="F56" s="200">
        <f>F38*'Unit costs'!$G31</f>
        <v>3391.6628701337404</v>
      </c>
      <c r="G56" s="236">
        <f>G38*'Unit costs'!$G31</f>
        <v>3391.6628701337404</v>
      </c>
      <c r="H56" s="238">
        <f>H38*'Unit costs'!$G31</f>
        <v>3083.3298819397642</v>
      </c>
      <c r="I56" s="200">
        <f>I38*'Unit costs'!$G31</f>
        <v>4624.9948229096453</v>
      </c>
      <c r="J56" s="200">
        <f>J38*'Unit costs'!$G31</f>
        <v>6166.6597638795283</v>
      </c>
      <c r="K56" s="200">
        <f>K38*'Unit costs'!$G31</f>
        <v>6166.6597638795283</v>
      </c>
      <c r="L56" s="286">
        <f>L38*'Unit costs'!$G31</f>
        <v>6166.6597638795283</v>
      </c>
      <c r="M56" s="431"/>
      <c r="N56" s="238">
        <f t="shared" si="83"/>
        <v>-308.33298819397623</v>
      </c>
      <c r="O56" s="200">
        <f t="shared" si="84"/>
        <v>1233.3319527759049</v>
      </c>
      <c r="P56" s="200">
        <f t="shared" si="85"/>
        <v>2774.9968937457879</v>
      </c>
      <c r="Q56" s="200">
        <f t="shared" si="86"/>
        <v>2774.9968937457879</v>
      </c>
      <c r="R56" s="236">
        <f t="shared" si="87"/>
        <v>2774.9968937457879</v>
      </c>
      <c r="S56" s="240">
        <f t="shared" si="88"/>
        <v>-112.54154069080133</v>
      </c>
      <c r="T56" s="201">
        <f t="shared" si="89"/>
        <v>450.16616276320531</v>
      </c>
      <c r="U56" s="201">
        <f t="shared" si="90"/>
        <v>1012.8738662172126</v>
      </c>
      <c r="V56" s="201">
        <f t="shared" si="91"/>
        <v>1012.8738662172126</v>
      </c>
      <c r="W56" s="202">
        <f t="shared" si="92"/>
        <v>1012.8738662172126</v>
      </c>
    </row>
    <row r="57" spans="1:37" s="196" customFormat="1" ht="15.6" x14ac:dyDescent="0.3">
      <c r="A57" s="284" t="s">
        <v>516</v>
      </c>
      <c r="B57" s="201">
        <f>'Resource impact template'!B35</f>
        <v>365</v>
      </c>
      <c r="C57" s="200">
        <f>C39*'Unit costs'!$G32</f>
        <v>1849.9979291638583</v>
      </c>
      <c r="D57" s="374">
        <f>D39*'Unit costs'!$G32</f>
        <v>1849.9979291638583</v>
      </c>
      <c r="E57" s="374">
        <f>E39*'Unit costs'!$G32</f>
        <v>1849.9979291638583</v>
      </c>
      <c r="F57" s="374">
        <f>F39*'Unit costs'!$G32</f>
        <v>1849.9979291638583</v>
      </c>
      <c r="G57" s="375">
        <f>G39*'Unit costs'!$G32</f>
        <v>1849.9979291638583</v>
      </c>
      <c r="H57" s="376">
        <f>H39*'Unit costs'!$G32</f>
        <v>2774.996893745787</v>
      </c>
      <c r="I57" s="374">
        <f>I39*'Unit costs'!$G32</f>
        <v>3699.9958583277166</v>
      </c>
      <c r="J57" s="374">
        <f>J39*'Unit costs'!$G32</f>
        <v>4624.9948229096453</v>
      </c>
      <c r="K57" s="374">
        <f>K39*'Unit costs'!$G32</f>
        <v>5549.993787491574</v>
      </c>
      <c r="L57" s="377">
        <f>L39*'Unit costs'!$G32</f>
        <v>4624.9948229096453</v>
      </c>
      <c r="M57" s="432"/>
      <c r="N57" s="376">
        <f t="shared" si="83"/>
        <v>924.9989645819287</v>
      </c>
      <c r="O57" s="374">
        <f t="shared" si="84"/>
        <v>1849.9979291638583</v>
      </c>
      <c r="P57" s="374">
        <f t="shared" si="85"/>
        <v>2774.996893745787</v>
      </c>
      <c r="Q57" s="374">
        <f t="shared" si="86"/>
        <v>3699.9958583277157</v>
      </c>
      <c r="R57" s="375">
        <f t="shared" si="87"/>
        <v>2774.996893745787</v>
      </c>
      <c r="S57" s="240">
        <f t="shared" si="88"/>
        <v>337.62462207240395</v>
      </c>
      <c r="T57" s="201">
        <f t="shared" si="89"/>
        <v>675.24924414480824</v>
      </c>
      <c r="U57" s="201">
        <f t="shared" si="90"/>
        <v>1012.8738662172123</v>
      </c>
      <c r="V57" s="201">
        <f t="shared" si="91"/>
        <v>1350.4984882896163</v>
      </c>
      <c r="W57" s="202">
        <f t="shared" si="92"/>
        <v>1012.8738662172123</v>
      </c>
    </row>
    <row r="58" spans="1:37" x14ac:dyDescent="0.3">
      <c r="A58" s="284" t="s">
        <v>517</v>
      </c>
      <c r="B58" s="201">
        <f>'Resource impact template'!B36</f>
        <v>365</v>
      </c>
      <c r="C58" s="200">
        <f>C40*'Unit costs'!$G33</f>
        <v>120.2498653956508</v>
      </c>
      <c r="D58" s="200">
        <f>D40*'Unit costs'!$G33</f>
        <v>120.2498653956508</v>
      </c>
      <c r="E58" s="200">
        <f>E40*'Unit costs'!$G33</f>
        <v>120.2498653956508</v>
      </c>
      <c r="F58" s="200">
        <f>F40*'Unit costs'!$G33</f>
        <v>120.2498653956508</v>
      </c>
      <c r="G58" s="236">
        <f>G40*'Unit costs'!$G33</f>
        <v>120.2498653956508</v>
      </c>
      <c r="H58" s="238">
        <f>H40*'Unit costs'!$G33</f>
        <v>400.83288465216935</v>
      </c>
      <c r="I58" s="200">
        <f>I40*'Unit costs'!$G33</f>
        <v>601.24932697825386</v>
      </c>
      <c r="J58" s="200">
        <f>J40*'Unit costs'!$G33</f>
        <v>601.24932697825386</v>
      </c>
      <c r="K58" s="200">
        <f>K40*'Unit costs'!$G33</f>
        <v>601.24932697825386</v>
      </c>
      <c r="L58" s="286">
        <f>L40*'Unit costs'!$G33</f>
        <v>801.66576930433871</v>
      </c>
      <c r="M58" s="431"/>
      <c r="N58" s="238">
        <f t="shared" si="83"/>
        <v>280.58301925651858</v>
      </c>
      <c r="O58" s="200">
        <f t="shared" si="84"/>
        <v>480.99946158260309</v>
      </c>
      <c r="P58" s="200">
        <f t="shared" si="85"/>
        <v>480.99946158260309</v>
      </c>
      <c r="Q58" s="200">
        <f t="shared" si="86"/>
        <v>480.99946158260309</v>
      </c>
      <c r="R58" s="236">
        <f t="shared" si="87"/>
        <v>681.41590390868794</v>
      </c>
      <c r="S58" s="380">
        <f t="shared" si="88"/>
        <v>102.41280202862929</v>
      </c>
      <c r="T58" s="381">
        <f t="shared" si="89"/>
        <v>175.56480347765012</v>
      </c>
      <c r="U58" s="381">
        <f t="shared" si="90"/>
        <v>175.56480347765012</v>
      </c>
      <c r="V58" s="381">
        <f t="shared" si="91"/>
        <v>175.56480347765012</v>
      </c>
      <c r="W58" s="382">
        <f t="shared" si="92"/>
        <v>248.71680492667107</v>
      </c>
    </row>
    <row r="59" spans="1:37" s="196" customFormat="1" ht="15.6" x14ac:dyDescent="0.3">
      <c r="A59" s="185" t="s">
        <v>518</v>
      </c>
      <c r="B59" s="201">
        <f>'Resource impact template'!B37</f>
        <v>365</v>
      </c>
      <c r="C59" s="200">
        <f>C41*'Unit costs'!$G34</f>
        <v>647.49927520735037</v>
      </c>
      <c r="D59" s="200">
        <f>D41*'Unit costs'!$G34</f>
        <v>647.49927520735037</v>
      </c>
      <c r="E59" s="200">
        <f>E41*'Unit costs'!$G34</f>
        <v>647.49927520735037</v>
      </c>
      <c r="F59" s="200">
        <f>F41*'Unit costs'!$G34</f>
        <v>647.49927520735037</v>
      </c>
      <c r="G59" s="236">
        <f>G41*'Unit costs'!$G34</f>
        <v>647.49927520735037</v>
      </c>
      <c r="H59" s="238">
        <f>H41*'Unit costs'!$G34</f>
        <v>1079.1654586789173</v>
      </c>
      <c r="I59" s="200">
        <f>I41*'Unit costs'!$G34</f>
        <v>1618.7481880183757</v>
      </c>
      <c r="J59" s="200">
        <f>J41*'Unit costs'!$G34</f>
        <v>1618.7481880183757</v>
      </c>
      <c r="K59" s="200">
        <f>K41*'Unit costs'!$G34</f>
        <v>1618.7481880183757</v>
      </c>
      <c r="L59" s="242">
        <f>L41*'Unit costs'!$G34</f>
        <v>2158.3309173578346</v>
      </c>
      <c r="M59" s="431"/>
      <c r="N59" s="238">
        <f t="shared" si="83"/>
        <v>431.66618347156691</v>
      </c>
      <c r="O59" s="200">
        <f t="shared" si="84"/>
        <v>971.24891281102532</v>
      </c>
      <c r="P59" s="200">
        <f t="shared" si="85"/>
        <v>971.24891281102532</v>
      </c>
      <c r="Q59" s="200">
        <f t="shared" si="86"/>
        <v>971.24891281102532</v>
      </c>
      <c r="R59" s="236">
        <f t="shared" si="87"/>
        <v>1510.8316421504842</v>
      </c>
      <c r="S59" s="383">
        <f t="shared" si="88"/>
        <v>157.55815696712193</v>
      </c>
      <c r="T59" s="381">
        <f t="shared" si="89"/>
        <v>354.50585317602423</v>
      </c>
      <c r="U59" s="381">
        <f t="shared" si="90"/>
        <v>354.50585317602423</v>
      </c>
      <c r="V59" s="381">
        <f t="shared" si="91"/>
        <v>354.50585317602423</v>
      </c>
      <c r="W59" s="382">
        <f t="shared" si="92"/>
        <v>551.45354938492665</v>
      </c>
    </row>
    <row r="60" spans="1:37" ht="15" thickBot="1" x14ac:dyDescent="0.35">
      <c r="A60" s="192" t="s">
        <v>510</v>
      </c>
      <c r="B60" s="445"/>
      <c r="C60" s="203">
        <f>SUM(C54:C59)</f>
        <v>56236.853716699356</v>
      </c>
      <c r="D60" s="203">
        <f t="shared" ref="D60:L60" si="93">SUM(D54:D59)</f>
        <v>56236.853716699356</v>
      </c>
      <c r="E60" s="203">
        <f t="shared" si="93"/>
        <v>56236.853716699356</v>
      </c>
      <c r="F60" s="203">
        <f t="shared" si="93"/>
        <v>56236.853716699356</v>
      </c>
      <c r="G60" s="237">
        <f t="shared" si="93"/>
        <v>56236.853716699356</v>
      </c>
      <c r="H60" s="239">
        <f t="shared" si="93"/>
        <v>43552.034582399167</v>
      </c>
      <c r="I60" s="203">
        <f t="shared" si="93"/>
        <v>31866.214329847458</v>
      </c>
      <c r="J60" s="203">
        <f t="shared" si="93"/>
        <v>26886.63657051474</v>
      </c>
      <c r="K60" s="203">
        <f t="shared" si="93"/>
        <v>25036.638641350884</v>
      </c>
      <c r="L60" s="203">
        <f t="shared" si="93"/>
        <v>22076.641954688708</v>
      </c>
      <c r="M60" s="208"/>
      <c r="N60" s="434">
        <f>SUM(N54:N59)</f>
        <v>-12684.819134300185</v>
      </c>
      <c r="O60" s="429">
        <f t="shared" ref="O60:R60" si="94">SUM(O54:O59)</f>
        <v>-24370.639386851894</v>
      </c>
      <c r="P60" s="429">
        <f t="shared" si="94"/>
        <v>-29350.217146184605</v>
      </c>
      <c r="Q60" s="429">
        <f t="shared" si="94"/>
        <v>-31200.215075348468</v>
      </c>
      <c r="R60" s="430">
        <f t="shared" si="94"/>
        <v>-34160.211762010636</v>
      </c>
      <c r="S60" s="241">
        <f>SUM(S54:S59)</f>
        <v>-4629.9589840195677</v>
      </c>
      <c r="T60" s="204">
        <f>SUM(T54:T59)</f>
        <v>-8895.2833762009413</v>
      </c>
      <c r="U60" s="204">
        <f>SUM(U54:U59)</f>
        <v>-10712.829258357382</v>
      </c>
      <c r="V60" s="204">
        <f>SUM(V54:V59)</f>
        <v>-11388.078502502191</v>
      </c>
      <c r="W60" s="205">
        <f>SUM(W54:W59)</f>
        <v>-12468.477293133883</v>
      </c>
    </row>
    <row r="61" spans="1:37" ht="15" thickBot="1" x14ac:dyDescent="0.35">
      <c r="A61" s="223" t="s">
        <v>3</v>
      </c>
    </row>
    <row r="62" spans="1:37" ht="83.4" thickBot="1" x14ac:dyDescent="0.35">
      <c r="A62" s="231" t="s">
        <v>542</v>
      </c>
      <c r="B62" s="199" t="s">
        <v>446</v>
      </c>
      <c r="C62" s="290" t="s">
        <v>476</v>
      </c>
      <c r="D62" s="291" t="s">
        <v>477</v>
      </c>
      <c r="E62" s="292" t="s">
        <v>478</v>
      </c>
      <c r="F62" s="293" t="s">
        <v>479</v>
      </c>
      <c r="G62" s="294" t="s">
        <v>480</v>
      </c>
      <c r="H62" s="295" t="s">
        <v>481</v>
      </c>
      <c r="I62" s="296" t="s">
        <v>482</v>
      </c>
      <c r="J62" s="297" t="s">
        <v>483</v>
      </c>
      <c r="K62" s="297" t="s">
        <v>484</v>
      </c>
      <c r="L62" s="298" t="s">
        <v>485</v>
      </c>
      <c r="M62" s="299"/>
      <c r="N62" s="300" t="s">
        <v>486</v>
      </c>
      <c r="O62" s="301" t="s">
        <v>487</v>
      </c>
      <c r="P62" s="302" t="s">
        <v>488</v>
      </c>
      <c r="Q62" s="302" t="s">
        <v>489</v>
      </c>
      <c r="R62" s="303" t="s">
        <v>490</v>
      </c>
      <c r="S62" s="302" t="s">
        <v>491</v>
      </c>
      <c r="T62" s="302" t="s">
        <v>492</v>
      </c>
      <c r="U62" s="302" t="s">
        <v>493</v>
      </c>
      <c r="V62" s="302" t="s">
        <v>494</v>
      </c>
      <c r="W62" s="303" t="s">
        <v>495</v>
      </c>
    </row>
    <row r="63" spans="1:37" x14ac:dyDescent="0.3">
      <c r="A63" s="320" t="s">
        <v>524</v>
      </c>
      <c r="B63" s="201">
        <f>'Resource impact template'!B42</f>
        <v>3061.79</v>
      </c>
      <c r="C63" s="200">
        <f>C36*'Assumptions input'!$B25</f>
        <v>351.49960654113306</v>
      </c>
      <c r="D63" s="200">
        <f>D36*'Assumptions input'!$B25</f>
        <v>351.49960654113306</v>
      </c>
      <c r="E63" s="200">
        <f>E36*'Assumptions input'!$B25</f>
        <v>351.49960654113306</v>
      </c>
      <c r="F63" s="200">
        <f>F36*'Assumptions input'!$B25</f>
        <v>351.49960654113306</v>
      </c>
      <c r="G63" s="236">
        <f>G36*'Assumptions input'!$B25</f>
        <v>351.49960654113306</v>
      </c>
      <c r="H63" s="238">
        <f>H36*'Assumptions input'!$D25</f>
        <v>175.74980327056653</v>
      </c>
      <c r="I63" s="200">
        <f>I36*'Assumptions input'!$D25</f>
        <v>58.58326775685552</v>
      </c>
      <c r="J63" s="200">
        <f>J36*'Assumptions input'!$D25</f>
        <v>0</v>
      </c>
      <c r="K63" s="200">
        <f>K36*'Assumptions input'!$D25</f>
        <v>0</v>
      </c>
      <c r="L63" s="286">
        <f>L36*'Assumptions input'!$D25</f>
        <v>0</v>
      </c>
      <c r="M63" s="431"/>
      <c r="N63" s="433">
        <f t="shared" ref="N63:N68" si="95">H63-C63</f>
        <v>-175.74980327056653</v>
      </c>
      <c r="O63" s="200">
        <f t="shared" ref="O63:O68" si="96">I63-D63</f>
        <v>-292.91633878427751</v>
      </c>
      <c r="P63" s="200">
        <f t="shared" ref="P63:P68" si="97">J63-E63</f>
        <v>-351.49960654113306</v>
      </c>
      <c r="Q63" s="200">
        <f t="shared" ref="Q63:Q68" si="98">K63-F63</f>
        <v>-351.49960654113306</v>
      </c>
      <c r="R63" s="236">
        <f t="shared" ref="R63:R68" si="99">L63-G63</f>
        <v>-351.49960654113306</v>
      </c>
      <c r="S63" s="240">
        <f t="shared" ref="S63:S68" si="100">N63*$B63/1000</f>
        <v>-538.10899015578786</v>
      </c>
      <c r="T63" s="201">
        <f t="shared" ref="T63:T68" si="101">O63*$B63/1000</f>
        <v>-896.84831692631303</v>
      </c>
      <c r="U63" s="201">
        <f t="shared" ref="U63:U68" si="102">P63*$B63/1000</f>
        <v>-1076.2179803115757</v>
      </c>
      <c r="V63" s="201">
        <f t="shared" ref="V63:V68" si="103">Q63*$B63/1000</f>
        <v>-1076.2179803115757</v>
      </c>
      <c r="W63" s="202">
        <f t="shared" ref="W63:W68" si="104">R63*$B63/1000</f>
        <v>-1076.2179803115757</v>
      </c>
    </row>
    <row r="64" spans="1:37" x14ac:dyDescent="0.3">
      <c r="A64" s="320" t="s">
        <v>534</v>
      </c>
      <c r="B64" s="201">
        <f>B63</f>
        <v>3061.79</v>
      </c>
      <c r="C64" s="200">
        <f>C37*'Assumptions input'!$B26</f>
        <v>369.99958583277169</v>
      </c>
      <c r="D64" s="200">
        <f>D37*'Assumptions input'!$B26</f>
        <v>369.99958583277169</v>
      </c>
      <c r="E64" s="200">
        <f>E37*'Assumptions input'!$B26</f>
        <v>369.99958583277169</v>
      </c>
      <c r="F64" s="200">
        <f>F37*'Assumptions input'!$B26</f>
        <v>369.99958583277169</v>
      </c>
      <c r="G64" s="236">
        <f>G37*'Assumptions input'!$B26</f>
        <v>369.99958583277169</v>
      </c>
      <c r="H64" s="238">
        <f>H37*'Assumptions input'!$D26</f>
        <v>369.99958583277169</v>
      </c>
      <c r="I64" s="200">
        <f>I37*'Assumptions input'!$D26</f>
        <v>277.49968937457874</v>
      </c>
      <c r="J64" s="200">
        <f>J37*'Assumptions input'!$D26</f>
        <v>231.24974114548229</v>
      </c>
      <c r="K64" s="200">
        <f>K37*'Assumptions input'!$D26</f>
        <v>184.99979291638584</v>
      </c>
      <c r="L64" s="286">
        <f>L37*'Assumptions input'!$D26</f>
        <v>138.74984468728937</v>
      </c>
      <c r="M64" s="431"/>
      <c r="N64" s="238">
        <f t="shared" si="95"/>
        <v>0</v>
      </c>
      <c r="O64" s="200">
        <f t="shared" si="96"/>
        <v>-92.49989645819295</v>
      </c>
      <c r="P64" s="200">
        <f t="shared" si="97"/>
        <v>-138.7498446872894</v>
      </c>
      <c r="Q64" s="200">
        <f t="shared" si="98"/>
        <v>-184.99979291638584</v>
      </c>
      <c r="R64" s="236">
        <f t="shared" si="99"/>
        <v>-231.24974114548232</v>
      </c>
      <c r="S64" s="240">
        <f t="shared" si="100"/>
        <v>0</v>
      </c>
      <c r="T64" s="201">
        <f t="shared" si="101"/>
        <v>-283.21525797673058</v>
      </c>
      <c r="U64" s="201">
        <f t="shared" si="102"/>
        <v>-424.82288696509585</v>
      </c>
      <c r="V64" s="201">
        <f t="shared" si="103"/>
        <v>-566.43051595346105</v>
      </c>
      <c r="W64" s="202">
        <f t="shared" si="104"/>
        <v>-708.03814494182632</v>
      </c>
    </row>
    <row r="65" spans="1:23" x14ac:dyDescent="0.3">
      <c r="A65" s="185" t="s">
        <v>519</v>
      </c>
      <c r="B65" s="201">
        <f>B63</f>
        <v>3061.79</v>
      </c>
      <c r="C65" s="200">
        <f>C38*'Assumptions input'!$B27</f>
        <v>33.916628701337402</v>
      </c>
      <c r="D65" s="200">
        <f>D38*'Assumptions input'!$B27</f>
        <v>33.916628701337402</v>
      </c>
      <c r="E65" s="200">
        <f>E38*'Assumptions input'!$B27</f>
        <v>33.916628701337402</v>
      </c>
      <c r="F65" s="200">
        <f>F38*'Assumptions input'!$B27</f>
        <v>33.916628701337402</v>
      </c>
      <c r="G65" s="236">
        <f>G38*'Assumptions input'!$B27</f>
        <v>33.916628701337402</v>
      </c>
      <c r="H65" s="238">
        <f>H38*'Assumptions input'!$D27</f>
        <v>30.833298819397644</v>
      </c>
      <c r="I65" s="200">
        <f>I38*'Assumptions input'!$D27</f>
        <v>46.249948229096454</v>
      </c>
      <c r="J65" s="200">
        <f>J38*'Assumptions input'!$D27</f>
        <v>61.666597638795288</v>
      </c>
      <c r="K65" s="200">
        <f>K38*'Assumptions input'!$D27</f>
        <v>61.666597638795288</v>
      </c>
      <c r="L65" s="286">
        <f>L38*'Assumptions input'!$D27</f>
        <v>61.666597638795288</v>
      </c>
      <c r="M65" s="431"/>
      <c r="N65" s="238">
        <f t="shared" si="95"/>
        <v>-3.0833298819397577</v>
      </c>
      <c r="O65" s="200">
        <f t="shared" si="96"/>
        <v>12.333319527759052</v>
      </c>
      <c r="P65" s="200">
        <f t="shared" si="97"/>
        <v>27.749968937457886</v>
      </c>
      <c r="Q65" s="200">
        <f t="shared" si="98"/>
        <v>27.749968937457886</v>
      </c>
      <c r="R65" s="236">
        <f t="shared" si="99"/>
        <v>27.749968937457886</v>
      </c>
      <c r="S65" s="240">
        <f t="shared" si="100"/>
        <v>-9.4405085992243318</v>
      </c>
      <c r="T65" s="201">
        <f t="shared" si="101"/>
        <v>37.762034396897391</v>
      </c>
      <c r="U65" s="201">
        <f t="shared" si="102"/>
        <v>84.964577393019184</v>
      </c>
      <c r="V65" s="201">
        <f t="shared" si="103"/>
        <v>84.964577393019184</v>
      </c>
      <c r="W65" s="202">
        <f t="shared" si="104"/>
        <v>84.964577393019184</v>
      </c>
    </row>
    <row r="66" spans="1:23" x14ac:dyDescent="0.3">
      <c r="A66" s="284" t="s">
        <v>516</v>
      </c>
      <c r="B66" s="201">
        <f>B63</f>
        <v>3061.79</v>
      </c>
      <c r="C66" s="200">
        <f>C39*'Assumptions input'!$B28</f>
        <v>61.666597638795288</v>
      </c>
      <c r="D66" s="374">
        <f>D39*'Assumptions input'!$B28</f>
        <v>61.666597638795288</v>
      </c>
      <c r="E66" s="374">
        <f>E39*'Assumptions input'!$B28</f>
        <v>61.666597638795288</v>
      </c>
      <c r="F66" s="374">
        <f>F39*'Assumptions input'!$B28</f>
        <v>61.666597638795288</v>
      </c>
      <c r="G66" s="375">
        <f>G39*'Assumptions input'!$B28</f>
        <v>61.666597638795288</v>
      </c>
      <c r="H66" s="376">
        <f>H39*'Assumptions input'!$D28</f>
        <v>92.499896458192907</v>
      </c>
      <c r="I66" s="374">
        <f>I39*'Assumptions input'!$D28</f>
        <v>123.33319527759058</v>
      </c>
      <c r="J66" s="374">
        <f>J39*'Assumptions input'!$D28</f>
        <v>154.1664940969882</v>
      </c>
      <c r="K66" s="374">
        <f>K39*'Assumptions input'!$D28</f>
        <v>184.99979291638581</v>
      </c>
      <c r="L66" s="377">
        <f>L39*'Assumptions input'!$D28</f>
        <v>154.1664940969882</v>
      </c>
      <c r="M66" s="432"/>
      <c r="N66" s="376">
        <f t="shared" si="95"/>
        <v>30.833298819397619</v>
      </c>
      <c r="O66" s="374">
        <f t="shared" si="96"/>
        <v>61.666597638795288</v>
      </c>
      <c r="P66" s="374">
        <f t="shared" si="97"/>
        <v>92.499896458192922</v>
      </c>
      <c r="Q66" s="374">
        <f t="shared" si="98"/>
        <v>123.33319527759053</v>
      </c>
      <c r="R66" s="375">
        <f t="shared" si="99"/>
        <v>92.499896458192922</v>
      </c>
      <c r="S66" s="240">
        <f t="shared" si="100"/>
        <v>94.405085992243428</v>
      </c>
      <c r="T66" s="201">
        <f t="shared" si="101"/>
        <v>188.810171984487</v>
      </c>
      <c r="U66" s="201">
        <f t="shared" si="102"/>
        <v>283.21525797673053</v>
      </c>
      <c r="V66" s="201">
        <f t="shared" si="103"/>
        <v>377.62034396897388</v>
      </c>
      <c r="W66" s="202">
        <f t="shared" si="104"/>
        <v>283.21525797673053</v>
      </c>
    </row>
    <row r="67" spans="1:23" x14ac:dyDescent="0.3">
      <c r="A67" s="284" t="s">
        <v>517</v>
      </c>
      <c r="B67" s="201">
        <f>B63</f>
        <v>3061.79</v>
      </c>
      <c r="C67" s="200">
        <f>C40*'Assumptions input'!$B29</f>
        <v>3.6999958583277168</v>
      </c>
      <c r="D67" s="200">
        <f>D40*'Assumptions input'!$B29</f>
        <v>3.6999958583277168</v>
      </c>
      <c r="E67" s="200">
        <f>E40*'Assumptions input'!$B29</f>
        <v>3.6999958583277168</v>
      </c>
      <c r="F67" s="200">
        <f>F40*'Assumptions input'!$B29</f>
        <v>3.6999958583277168</v>
      </c>
      <c r="G67" s="236">
        <f>G40*'Assumptions input'!$B29</f>
        <v>3.6999958583277168</v>
      </c>
      <c r="H67" s="238">
        <f>H40*'Assumptions input'!$D29</f>
        <v>12.333319527759057</v>
      </c>
      <c r="I67" s="200">
        <f>I40*'Assumptions input'!$D29</f>
        <v>18.499979291638581</v>
      </c>
      <c r="J67" s="200">
        <f>J40*'Assumptions input'!$D29</f>
        <v>18.499979291638581</v>
      </c>
      <c r="K67" s="200">
        <f>K40*'Assumptions input'!$D29</f>
        <v>18.499979291638581</v>
      </c>
      <c r="L67" s="286">
        <f>L40*'Assumptions input'!$D29</f>
        <v>24.666639055518115</v>
      </c>
      <c r="M67" s="431"/>
      <c r="N67" s="238">
        <f t="shared" si="95"/>
        <v>8.6333236694313413</v>
      </c>
      <c r="O67" s="200">
        <f t="shared" si="96"/>
        <v>14.799983433310864</v>
      </c>
      <c r="P67" s="200">
        <f t="shared" si="97"/>
        <v>14.799983433310864</v>
      </c>
      <c r="Q67" s="200">
        <f t="shared" si="98"/>
        <v>14.799983433310864</v>
      </c>
      <c r="R67" s="236">
        <f t="shared" si="99"/>
        <v>20.966643197190397</v>
      </c>
      <c r="S67" s="380">
        <f t="shared" si="100"/>
        <v>26.433424077828185</v>
      </c>
      <c r="T67" s="381">
        <f t="shared" si="101"/>
        <v>45.314441276276867</v>
      </c>
      <c r="U67" s="381">
        <f t="shared" si="102"/>
        <v>45.314441276276867</v>
      </c>
      <c r="V67" s="381">
        <f t="shared" si="103"/>
        <v>45.314441276276867</v>
      </c>
      <c r="W67" s="382">
        <f t="shared" si="104"/>
        <v>64.195458474725584</v>
      </c>
    </row>
    <row r="68" spans="1:23" x14ac:dyDescent="0.3">
      <c r="A68" s="185" t="s">
        <v>518</v>
      </c>
      <c r="B68" s="201">
        <f>B63</f>
        <v>3061.79</v>
      </c>
      <c r="C68" s="200">
        <f>C41*'Assumptions input'!$B30</f>
        <v>9.2499896458192925</v>
      </c>
      <c r="D68" s="200">
        <f>D41*'Assumptions input'!$B30</f>
        <v>9.2499896458192925</v>
      </c>
      <c r="E68" s="200">
        <f>E41*'Assumptions input'!$B30</f>
        <v>9.2499896458192925</v>
      </c>
      <c r="F68" s="200">
        <f>F41*'Assumptions input'!$B30</f>
        <v>9.2499896458192925</v>
      </c>
      <c r="G68" s="236">
        <f>G41*'Assumptions input'!$B30</f>
        <v>9.2499896458192925</v>
      </c>
      <c r="H68" s="238">
        <f>H41*'Assumptions input'!$D30</f>
        <v>15.416649409698822</v>
      </c>
      <c r="I68" s="200">
        <f>I41*'Assumptions input'!$D30</f>
        <v>23.124974114548227</v>
      </c>
      <c r="J68" s="200">
        <f>J41*'Assumptions input'!$D30</f>
        <v>23.124974114548227</v>
      </c>
      <c r="K68" s="200">
        <f>K41*'Assumptions input'!$D30</f>
        <v>23.124974114548227</v>
      </c>
      <c r="L68" s="242">
        <f>L41*'Assumptions input'!$D30</f>
        <v>30.833298819397644</v>
      </c>
      <c r="M68" s="431"/>
      <c r="N68" s="238">
        <f t="shared" si="95"/>
        <v>6.1666597638795295</v>
      </c>
      <c r="O68" s="200">
        <f t="shared" si="96"/>
        <v>13.874984468728934</v>
      </c>
      <c r="P68" s="200">
        <f t="shared" si="97"/>
        <v>13.874984468728934</v>
      </c>
      <c r="Q68" s="200">
        <f t="shared" si="98"/>
        <v>13.874984468728934</v>
      </c>
      <c r="R68" s="236">
        <f t="shared" si="99"/>
        <v>21.58330917357835</v>
      </c>
      <c r="S68" s="383">
        <f t="shared" si="100"/>
        <v>18.881017198448706</v>
      </c>
      <c r="T68" s="381">
        <f t="shared" si="101"/>
        <v>42.482288696509563</v>
      </c>
      <c r="U68" s="381">
        <f t="shared" si="102"/>
        <v>42.482288696509563</v>
      </c>
      <c r="V68" s="381">
        <f t="shared" si="103"/>
        <v>42.482288696509563</v>
      </c>
      <c r="W68" s="382">
        <f t="shared" si="104"/>
        <v>66.083560194570452</v>
      </c>
    </row>
    <row r="69" spans="1:23" ht="15" thickBot="1" x14ac:dyDescent="0.35">
      <c r="A69" s="192" t="s">
        <v>553</v>
      </c>
      <c r="B69" s="445"/>
      <c r="C69" s="203">
        <f>SUM(C63:C68)</f>
        <v>830.03240421818441</v>
      </c>
      <c r="D69" s="203">
        <f t="shared" ref="D69" si="105">SUM(D63:D68)</f>
        <v>830.03240421818441</v>
      </c>
      <c r="E69" s="203">
        <f t="shared" ref="E69" si="106">SUM(E63:E68)</f>
        <v>830.03240421818441</v>
      </c>
      <c r="F69" s="203">
        <f t="shared" ref="F69" si="107">SUM(F63:F68)</f>
        <v>830.03240421818441</v>
      </c>
      <c r="G69" s="237">
        <f t="shared" ref="G69" si="108">SUM(G63:G68)</f>
        <v>830.03240421818441</v>
      </c>
      <c r="H69" s="239">
        <f t="shared" ref="H69" si="109">SUM(H63:H68)</f>
        <v>696.83255331838666</v>
      </c>
      <c r="I69" s="203">
        <f t="shared" ref="I69" si="110">SUM(I63:I68)</f>
        <v>547.291054044308</v>
      </c>
      <c r="J69" s="203">
        <f t="shared" ref="J69" si="111">SUM(J63:J68)</f>
        <v>488.70778628745256</v>
      </c>
      <c r="K69" s="203">
        <f t="shared" ref="K69" si="112">SUM(K63:K68)</f>
        <v>473.29113687775373</v>
      </c>
      <c r="L69" s="203">
        <f t="shared" ref="L69" si="113">SUM(L63:L68)</f>
        <v>410.08287429798861</v>
      </c>
      <c r="M69" s="208"/>
      <c r="N69" s="434">
        <f>SUM(N63:N68)</f>
        <v>-133.19985089979781</v>
      </c>
      <c r="O69" s="429">
        <f t="shared" ref="O69" si="114">SUM(O63:O68)</f>
        <v>-282.74135017387636</v>
      </c>
      <c r="P69" s="429">
        <f t="shared" ref="P69" si="115">SUM(P63:P68)</f>
        <v>-341.3246179307319</v>
      </c>
      <c r="Q69" s="429">
        <f t="shared" ref="Q69" si="116">SUM(Q63:Q68)</f>
        <v>-356.74126734043062</v>
      </c>
      <c r="R69" s="430">
        <f t="shared" ref="R69" si="117">SUM(R63:R68)</f>
        <v>-419.9495299201958</v>
      </c>
      <c r="S69" s="241">
        <f>SUM(S63:S68)</f>
        <v>-407.8299714864919</v>
      </c>
      <c r="T69" s="204">
        <f>SUM(T63:T68)</f>
        <v>-865.69463854887283</v>
      </c>
      <c r="U69" s="204">
        <f>SUM(U63:U68)</f>
        <v>-1045.0643019341353</v>
      </c>
      <c r="V69" s="204">
        <f>SUM(V63:V68)</f>
        <v>-1092.2668449302571</v>
      </c>
      <c r="W69" s="205">
        <f>SUM(W63:W68)</f>
        <v>-1285.797271214356</v>
      </c>
    </row>
    <row r="70" spans="1:23" ht="15" thickBot="1" x14ac:dyDescent="0.35">
      <c r="A70" s="223" t="s">
        <v>3</v>
      </c>
    </row>
    <row r="71" spans="1:23" ht="83.4" thickBot="1" x14ac:dyDescent="0.35">
      <c r="A71" s="231" t="s">
        <v>551</v>
      </c>
      <c r="B71" s="199" t="s">
        <v>446</v>
      </c>
      <c r="C71" s="290" t="s">
        <v>476</v>
      </c>
      <c r="D71" s="291" t="s">
        <v>477</v>
      </c>
      <c r="E71" s="292" t="s">
        <v>478</v>
      </c>
      <c r="F71" s="293" t="s">
        <v>479</v>
      </c>
      <c r="G71" s="294" t="s">
        <v>480</v>
      </c>
      <c r="H71" s="295" t="s">
        <v>481</v>
      </c>
      <c r="I71" s="296" t="s">
        <v>482</v>
      </c>
      <c r="J71" s="297" t="s">
        <v>483</v>
      </c>
      <c r="K71" s="297" t="s">
        <v>484</v>
      </c>
      <c r="L71" s="298" t="s">
        <v>485</v>
      </c>
      <c r="M71" s="299"/>
      <c r="N71" s="300" t="s">
        <v>486</v>
      </c>
      <c r="O71" s="301" t="s">
        <v>487</v>
      </c>
      <c r="P71" s="302" t="s">
        <v>488</v>
      </c>
      <c r="Q71" s="302" t="s">
        <v>489</v>
      </c>
      <c r="R71" s="303" t="s">
        <v>490</v>
      </c>
      <c r="S71" s="302" t="s">
        <v>491</v>
      </c>
      <c r="T71" s="302" t="s">
        <v>492</v>
      </c>
      <c r="U71" s="302" t="s">
        <v>493</v>
      </c>
      <c r="V71" s="302" t="s">
        <v>494</v>
      </c>
      <c r="W71" s="303" t="s">
        <v>495</v>
      </c>
    </row>
    <row r="72" spans="1:23" x14ac:dyDescent="0.3">
      <c r="A72" s="320" t="s">
        <v>524</v>
      </c>
      <c r="B72" s="201">
        <f>'Resource impact template'!B51</f>
        <v>520.4</v>
      </c>
      <c r="C72" s="200">
        <f>C36*'Assumptions input'!$B34</f>
        <v>647.49927520735037</v>
      </c>
      <c r="D72" s="200">
        <f>D36*'Assumptions input'!$B34</f>
        <v>647.49927520735037</v>
      </c>
      <c r="E72" s="200">
        <f>E36*'Assumptions input'!$B34</f>
        <v>647.49927520735037</v>
      </c>
      <c r="F72" s="200">
        <f>F36*'Assumptions input'!$B34</f>
        <v>647.49927520735037</v>
      </c>
      <c r="G72" s="236">
        <f>G36*'Assumptions input'!$B34</f>
        <v>647.49927520735037</v>
      </c>
      <c r="H72" s="238">
        <f>H36*'Assumptions input'!$D34</f>
        <v>323.74963760367518</v>
      </c>
      <c r="I72" s="200">
        <f>I36*'Assumptions input'!$D34</f>
        <v>107.91654586789176</v>
      </c>
      <c r="J72" s="200">
        <f>J36*'Assumptions input'!$D34</f>
        <v>0</v>
      </c>
      <c r="K72" s="200">
        <f>K36*'Assumptions input'!$D34</f>
        <v>0</v>
      </c>
      <c r="L72" s="286">
        <f>L36*'Assumptions input'!$D34</f>
        <v>0</v>
      </c>
      <c r="M72" s="431"/>
      <c r="N72" s="433">
        <f t="shared" ref="N72:N77" si="118">H72-C72</f>
        <v>-323.74963760367518</v>
      </c>
      <c r="O72" s="200">
        <f t="shared" ref="O72:O77" si="119">I72-D72</f>
        <v>-539.58272933945864</v>
      </c>
      <c r="P72" s="200">
        <f t="shared" ref="P72:P77" si="120">J72-E72</f>
        <v>-647.49927520735037</v>
      </c>
      <c r="Q72" s="200">
        <f t="shared" ref="Q72:Q77" si="121">K72-F72</f>
        <v>-647.49927520735037</v>
      </c>
      <c r="R72" s="236">
        <f t="shared" ref="R72:R77" si="122">L72-G72</f>
        <v>-647.49927520735037</v>
      </c>
      <c r="S72" s="240">
        <f t="shared" ref="S72:S77" si="123">N72*$B72/1000</f>
        <v>-168.47931140895255</v>
      </c>
      <c r="T72" s="201">
        <f t="shared" ref="T72:T77" si="124">O72*$B72/1000</f>
        <v>-280.79885234825423</v>
      </c>
      <c r="U72" s="201">
        <f t="shared" ref="U72:U77" si="125">P72*$B72/1000</f>
        <v>-336.95862281790511</v>
      </c>
      <c r="V72" s="201">
        <f t="shared" ref="V72:V77" si="126">Q72*$B72/1000</f>
        <v>-336.95862281790511</v>
      </c>
      <c r="W72" s="202">
        <f t="shared" ref="W72:W77" si="127">R72*$B72/1000</f>
        <v>-336.95862281790511</v>
      </c>
    </row>
    <row r="73" spans="1:23" x14ac:dyDescent="0.3">
      <c r="A73" s="320" t="s">
        <v>534</v>
      </c>
      <c r="B73" s="201">
        <f>B72</f>
        <v>520.4</v>
      </c>
      <c r="C73" s="200">
        <f>C37*'Assumptions input'!$B35</f>
        <v>493.3327811103623</v>
      </c>
      <c r="D73" s="200">
        <f>D37*'Assumptions input'!$B35</f>
        <v>493.3327811103623</v>
      </c>
      <c r="E73" s="200">
        <f>E37*'Assumptions input'!$B35</f>
        <v>493.3327811103623</v>
      </c>
      <c r="F73" s="200">
        <f>F37*'Assumptions input'!$B35</f>
        <v>493.3327811103623</v>
      </c>
      <c r="G73" s="236">
        <f>G37*'Assumptions input'!$B35</f>
        <v>493.3327811103623</v>
      </c>
      <c r="H73" s="238">
        <f>H37*'Assumptions input'!$D35</f>
        <v>493.3327811103623</v>
      </c>
      <c r="I73" s="200">
        <f>I37*'Assumptions input'!$D35</f>
        <v>369.99958583277163</v>
      </c>
      <c r="J73" s="200">
        <f>J37*'Assumptions input'!$D35</f>
        <v>308.33298819397641</v>
      </c>
      <c r="K73" s="200">
        <f>K37*'Assumptions input'!$D35</f>
        <v>246.66639055518115</v>
      </c>
      <c r="L73" s="286">
        <f>L37*'Assumptions input'!$D35</f>
        <v>184.99979291638581</v>
      </c>
      <c r="M73" s="431"/>
      <c r="N73" s="238">
        <f t="shared" si="118"/>
        <v>0</v>
      </c>
      <c r="O73" s="200">
        <f t="shared" si="119"/>
        <v>-123.33319527759068</v>
      </c>
      <c r="P73" s="200">
        <f t="shared" si="120"/>
        <v>-184.9997929163859</v>
      </c>
      <c r="Q73" s="200">
        <f t="shared" si="121"/>
        <v>-246.66639055518115</v>
      </c>
      <c r="R73" s="236">
        <f t="shared" si="122"/>
        <v>-308.33298819397646</v>
      </c>
      <c r="S73" s="240">
        <f t="shared" si="123"/>
        <v>0</v>
      </c>
      <c r="T73" s="201">
        <f t="shared" si="124"/>
        <v>-64.182594822458185</v>
      </c>
      <c r="U73" s="201">
        <f t="shared" si="125"/>
        <v>-96.273892233687221</v>
      </c>
      <c r="V73" s="201">
        <f t="shared" si="126"/>
        <v>-128.36518964491626</v>
      </c>
      <c r="W73" s="202">
        <f t="shared" si="127"/>
        <v>-160.45648705614536</v>
      </c>
    </row>
    <row r="74" spans="1:23" x14ac:dyDescent="0.3">
      <c r="A74" s="185" t="s">
        <v>519</v>
      </c>
      <c r="B74" s="201">
        <f>B72</f>
        <v>520.4</v>
      </c>
      <c r="C74" s="200">
        <f>C38*'Assumptions input'!$B36</f>
        <v>101.74988610401221</v>
      </c>
      <c r="D74" s="200">
        <f>D38*'Assumptions input'!$B36</f>
        <v>101.74988610401221</v>
      </c>
      <c r="E74" s="200">
        <f>E38*'Assumptions input'!$B36</f>
        <v>101.74988610401221</v>
      </c>
      <c r="F74" s="200">
        <f>F38*'Assumptions input'!$B36</f>
        <v>101.74988610401221</v>
      </c>
      <c r="G74" s="236">
        <f>G38*'Assumptions input'!$B36</f>
        <v>101.74988610401221</v>
      </c>
      <c r="H74" s="238">
        <f>H38*'Assumptions input'!$D36</f>
        <v>92.499896458192922</v>
      </c>
      <c r="I74" s="200">
        <f>I38*'Assumptions input'!$D36</f>
        <v>138.74984468728937</v>
      </c>
      <c r="J74" s="200">
        <f>J38*'Assumptions input'!$D36</f>
        <v>184.99979291638584</v>
      </c>
      <c r="K74" s="200">
        <f>K38*'Assumptions input'!$D36</f>
        <v>184.99979291638584</v>
      </c>
      <c r="L74" s="286">
        <f>L38*'Assumptions input'!$D36</f>
        <v>184.99979291638584</v>
      </c>
      <c r="M74" s="431"/>
      <c r="N74" s="238">
        <f t="shared" si="118"/>
        <v>-9.2499896458192836</v>
      </c>
      <c r="O74" s="200">
        <f t="shared" si="119"/>
        <v>36.999958583277163</v>
      </c>
      <c r="P74" s="200">
        <f t="shared" si="120"/>
        <v>83.249906812373638</v>
      </c>
      <c r="Q74" s="200">
        <f t="shared" si="121"/>
        <v>83.249906812373638</v>
      </c>
      <c r="R74" s="236">
        <f t="shared" si="122"/>
        <v>83.249906812373638</v>
      </c>
      <c r="S74" s="240">
        <f t="shared" si="123"/>
        <v>-4.8136946116843546</v>
      </c>
      <c r="T74" s="201">
        <f t="shared" si="124"/>
        <v>19.254778446737433</v>
      </c>
      <c r="U74" s="201">
        <f t="shared" si="125"/>
        <v>43.323251505159242</v>
      </c>
      <c r="V74" s="201">
        <f t="shared" si="126"/>
        <v>43.323251505159242</v>
      </c>
      <c r="W74" s="202">
        <f t="shared" si="127"/>
        <v>43.323251505159242</v>
      </c>
    </row>
    <row r="75" spans="1:23" x14ac:dyDescent="0.3">
      <c r="A75" s="284" t="s">
        <v>516</v>
      </c>
      <c r="B75" s="201">
        <f>B72</f>
        <v>520.4</v>
      </c>
      <c r="C75" s="200">
        <f>C39*'Assumptions input'!$B37</f>
        <v>55.499937874915751</v>
      </c>
      <c r="D75" s="374">
        <f>D39*'Assumptions input'!$B37</f>
        <v>55.499937874915751</v>
      </c>
      <c r="E75" s="374">
        <f>E39*'Assumptions input'!$B37</f>
        <v>55.499937874915751</v>
      </c>
      <c r="F75" s="374">
        <f>F39*'Assumptions input'!$B37</f>
        <v>55.499937874915751</v>
      </c>
      <c r="G75" s="375">
        <f>G39*'Assumptions input'!$B37</f>
        <v>55.499937874915751</v>
      </c>
      <c r="H75" s="376">
        <f>H39*'Assumptions input'!$D37</f>
        <v>83.249906812373609</v>
      </c>
      <c r="I75" s="374">
        <f>I39*'Assumptions input'!$D37</f>
        <v>110.9998757498315</v>
      </c>
      <c r="J75" s="374">
        <f>J39*'Assumptions input'!$D37</f>
        <v>138.74984468728937</v>
      </c>
      <c r="K75" s="374">
        <f>K39*'Assumptions input'!$D37</f>
        <v>166.49981362474722</v>
      </c>
      <c r="L75" s="377">
        <f>L39*'Assumptions input'!$D37</f>
        <v>138.74984468728937</v>
      </c>
      <c r="M75" s="432"/>
      <c r="N75" s="376">
        <f t="shared" si="118"/>
        <v>27.749968937457858</v>
      </c>
      <c r="O75" s="374">
        <f t="shared" si="119"/>
        <v>55.499937874915751</v>
      </c>
      <c r="P75" s="374">
        <f t="shared" si="120"/>
        <v>83.249906812373609</v>
      </c>
      <c r="Q75" s="374">
        <f t="shared" si="121"/>
        <v>110.99987574983146</v>
      </c>
      <c r="R75" s="375">
        <f t="shared" si="122"/>
        <v>83.249906812373609</v>
      </c>
      <c r="S75" s="240">
        <f t="shared" si="123"/>
        <v>14.441083835053069</v>
      </c>
      <c r="T75" s="201">
        <f t="shared" si="124"/>
        <v>28.882167670106156</v>
      </c>
      <c r="U75" s="201">
        <f t="shared" si="125"/>
        <v>43.323251505159227</v>
      </c>
      <c r="V75" s="201">
        <f t="shared" si="126"/>
        <v>57.764335340212291</v>
      </c>
      <c r="W75" s="202">
        <f t="shared" si="127"/>
        <v>43.323251505159227</v>
      </c>
    </row>
    <row r="76" spans="1:23" x14ac:dyDescent="0.3">
      <c r="A76" s="284" t="s">
        <v>517</v>
      </c>
      <c r="B76" s="201">
        <f>B72</f>
        <v>520.4</v>
      </c>
      <c r="C76" s="200">
        <f>C40*'Assumptions input'!$B38</f>
        <v>0</v>
      </c>
      <c r="D76" s="200">
        <f>D40*'Assumptions input'!$B38</f>
        <v>0</v>
      </c>
      <c r="E76" s="200">
        <f>E40*'Assumptions input'!$B38</f>
        <v>0</v>
      </c>
      <c r="F76" s="200">
        <f>F40*'Assumptions input'!$B38</f>
        <v>0</v>
      </c>
      <c r="G76" s="236">
        <f>G40*'Assumptions input'!$B38</f>
        <v>0</v>
      </c>
      <c r="H76" s="238">
        <f>H40*'Assumptions input'!$D38</f>
        <v>0</v>
      </c>
      <c r="I76" s="200">
        <f>I40*'Assumptions input'!$D38</f>
        <v>0</v>
      </c>
      <c r="J76" s="200">
        <f>J40*'Assumptions input'!$D38</f>
        <v>0</v>
      </c>
      <c r="K76" s="200">
        <f>K40*'Assumptions input'!$D38</f>
        <v>0</v>
      </c>
      <c r="L76" s="286">
        <f>L40*'Assumptions input'!$D38</f>
        <v>0</v>
      </c>
      <c r="M76" s="431"/>
      <c r="N76" s="238">
        <f t="shared" si="118"/>
        <v>0</v>
      </c>
      <c r="O76" s="200">
        <f t="shared" si="119"/>
        <v>0</v>
      </c>
      <c r="P76" s="200">
        <f t="shared" si="120"/>
        <v>0</v>
      </c>
      <c r="Q76" s="200">
        <f t="shared" si="121"/>
        <v>0</v>
      </c>
      <c r="R76" s="236">
        <f t="shared" si="122"/>
        <v>0</v>
      </c>
      <c r="S76" s="380">
        <f t="shared" si="123"/>
        <v>0</v>
      </c>
      <c r="T76" s="381">
        <f t="shared" si="124"/>
        <v>0</v>
      </c>
      <c r="U76" s="381">
        <f t="shared" si="125"/>
        <v>0</v>
      </c>
      <c r="V76" s="381">
        <f t="shared" si="126"/>
        <v>0</v>
      </c>
      <c r="W76" s="382">
        <f t="shared" si="127"/>
        <v>0</v>
      </c>
    </row>
    <row r="77" spans="1:23" x14ac:dyDescent="0.3">
      <c r="A77" s="185" t="s">
        <v>518</v>
      </c>
      <c r="B77" s="201">
        <f>B72</f>
        <v>520.4</v>
      </c>
      <c r="C77" s="200">
        <f>C41*'Assumptions input'!$B39</f>
        <v>3.6999958583277168</v>
      </c>
      <c r="D77" s="200">
        <f>D41*'Assumptions input'!$B39</f>
        <v>3.6999958583277168</v>
      </c>
      <c r="E77" s="200">
        <f>E41*'Assumptions input'!$B39</f>
        <v>3.6999958583277168</v>
      </c>
      <c r="F77" s="200">
        <f>F41*'Assumptions input'!$B39</f>
        <v>3.6999958583277168</v>
      </c>
      <c r="G77" s="236">
        <f>G41*'Assumptions input'!$B39</f>
        <v>3.6999958583277168</v>
      </c>
      <c r="H77" s="238">
        <f>H41*'Assumptions input'!$D39</f>
        <v>6.1666597638795286</v>
      </c>
      <c r="I77" s="200">
        <f>I41*'Assumptions input'!$D39</f>
        <v>9.2499896458192907</v>
      </c>
      <c r="J77" s="200">
        <f>J41*'Assumptions input'!$D39</f>
        <v>9.2499896458192907</v>
      </c>
      <c r="K77" s="200">
        <f>K41*'Assumptions input'!$D39</f>
        <v>9.2499896458192907</v>
      </c>
      <c r="L77" s="242">
        <f>L41*'Assumptions input'!$D39</f>
        <v>12.333319527759057</v>
      </c>
      <c r="M77" s="431"/>
      <c r="N77" s="238">
        <f t="shared" si="118"/>
        <v>2.4666639055518118</v>
      </c>
      <c r="O77" s="200">
        <f t="shared" si="119"/>
        <v>5.5499937874915739</v>
      </c>
      <c r="P77" s="200">
        <f t="shared" si="120"/>
        <v>5.5499937874915739</v>
      </c>
      <c r="Q77" s="200">
        <f t="shared" si="121"/>
        <v>5.5499937874915739</v>
      </c>
      <c r="R77" s="236">
        <f t="shared" si="122"/>
        <v>8.6333236694313413</v>
      </c>
      <c r="S77" s="383">
        <f t="shared" si="123"/>
        <v>1.283651896449163</v>
      </c>
      <c r="T77" s="381">
        <f t="shared" si="124"/>
        <v>2.8882167670106149</v>
      </c>
      <c r="U77" s="381">
        <f t="shared" si="125"/>
        <v>2.8882167670106149</v>
      </c>
      <c r="V77" s="381">
        <f t="shared" si="126"/>
        <v>2.8882167670106149</v>
      </c>
      <c r="W77" s="382">
        <f t="shared" si="127"/>
        <v>4.4927816375720697</v>
      </c>
    </row>
    <row r="78" spans="1:23" ht="15" thickBot="1" x14ac:dyDescent="0.35">
      <c r="A78" s="192" t="s">
        <v>554</v>
      </c>
      <c r="B78" s="445"/>
      <c r="C78" s="203">
        <f>SUM(C72:C77)</f>
        <v>1301.7818761549681</v>
      </c>
      <c r="D78" s="203">
        <f t="shared" ref="D78" si="128">SUM(D72:D77)</f>
        <v>1301.7818761549681</v>
      </c>
      <c r="E78" s="203">
        <f t="shared" ref="E78" si="129">SUM(E72:E77)</f>
        <v>1301.7818761549681</v>
      </c>
      <c r="F78" s="203">
        <f t="shared" ref="F78" si="130">SUM(F72:F77)</f>
        <v>1301.7818761549681</v>
      </c>
      <c r="G78" s="237">
        <f t="shared" ref="G78" si="131">SUM(G72:G77)</f>
        <v>1301.7818761549681</v>
      </c>
      <c r="H78" s="239">
        <f t="shared" ref="H78" si="132">SUM(H72:H77)</f>
        <v>998.99888174848354</v>
      </c>
      <c r="I78" s="203">
        <f t="shared" ref="I78" si="133">SUM(I72:I77)</f>
        <v>736.91584178360358</v>
      </c>
      <c r="J78" s="203">
        <f t="shared" ref="J78" si="134">SUM(J72:J77)</f>
        <v>641.3326154434709</v>
      </c>
      <c r="K78" s="203">
        <f t="shared" ref="K78" si="135">SUM(K72:K77)</f>
        <v>607.41598674213344</v>
      </c>
      <c r="L78" s="203">
        <f t="shared" ref="L78" si="136">SUM(L72:L77)</f>
        <v>521.08275004782013</v>
      </c>
      <c r="M78" s="208"/>
      <c r="N78" s="434">
        <f>SUM(N72:N77)</f>
        <v>-302.78299440648476</v>
      </c>
      <c r="O78" s="429">
        <f t="shared" ref="O78" si="137">SUM(O72:O77)</f>
        <v>-564.86603437136489</v>
      </c>
      <c r="P78" s="429">
        <f t="shared" ref="P78" si="138">SUM(P72:P77)</f>
        <v>-660.44926071149746</v>
      </c>
      <c r="Q78" s="429">
        <f t="shared" ref="Q78" si="139">SUM(Q72:Q77)</f>
        <v>-694.3658894128348</v>
      </c>
      <c r="R78" s="430">
        <f t="shared" ref="R78" si="140">SUM(R72:R77)</f>
        <v>-780.69912610714823</v>
      </c>
      <c r="S78" s="241">
        <f>SUM(S72:S77)</f>
        <v>-157.56827028913469</v>
      </c>
      <c r="T78" s="204">
        <f>SUM(T72:T77)</f>
        <v>-293.95628428685825</v>
      </c>
      <c r="U78" s="204">
        <f>SUM(U72:U77)</f>
        <v>-343.69779527426323</v>
      </c>
      <c r="V78" s="204">
        <f>SUM(V72:V77)</f>
        <v>-361.34800885043921</v>
      </c>
      <c r="W78" s="205">
        <f>SUM(W72:W77)</f>
        <v>-406.2758252261599</v>
      </c>
    </row>
    <row r="79" spans="1:23" ht="15" thickBot="1" x14ac:dyDescent="0.35">
      <c r="A79" s="223" t="s">
        <v>3</v>
      </c>
    </row>
    <row r="80" spans="1:23" ht="83.4" thickBot="1" x14ac:dyDescent="0.35">
      <c r="A80" s="231" t="s">
        <v>552</v>
      </c>
      <c r="B80" s="199" t="s">
        <v>446</v>
      </c>
      <c r="C80" s="290" t="s">
        <v>476</v>
      </c>
      <c r="D80" s="291" t="s">
        <v>477</v>
      </c>
      <c r="E80" s="292" t="s">
        <v>478</v>
      </c>
      <c r="F80" s="293" t="s">
        <v>479</v>
      </c>
      <c r="G80" s="294" t="s">
        <v>480</v>
      </c>
      <c r="H80" s="295" t="s">
        <v>481</v>
      </c>
      <c r="I80" s="296" t="s">
        <v>482</v>
      </c>
      <c r="J80" s="297" t="s">
        <v>483</v>
      </c>
      <c r="K80" s="297" t="s">
        <v>484</v>
      </c>
      <c r="L80" s="298" t="s">
        <v>485</v>
      </c>
      <c r="M80" s="299"/>
      <c r="N80" s="300" t="s">
        <v>486</v>
      </c>
      <c r="O80" s="301" t="s">
        <v>487</v>
      </c>
      <c r="P80" s="302" t="s">
        <v>488</v>
      </c>
      <c r="Q80" s="302" t="s">
        <v>489</v>
      </c>
      <c r="R80" s="303" t="s">
        <v>490</v>
      </c>
      <c r="S80" s="302" t="s">
        <v>491</v>
      </c>
      <c r="T80" s="302" t="s">
        <v>492</v>
      </c>
      <c r="U80" s="302" t="s">
        <v>493</v>
      </c>
      <c r="V80" s="302" t="s">
        <v>494</v>
      </c>
      <c r="W80" s="303" t="s">
        <v>495</v>
      </c>
    </row>
    <row r="81" spans="1:23" x14ac:dyDescent="0.3">
      <c r="A81" s="320" t="s">
        <v>524</v>
      </c>
      <c r="B81" s="201">
        <f>'Resource impact template'!B60</f>
        <v>348</v>
      </c>
      <c r="C81" s="200">
        <f>C36*'Assumptions input'!$B43</f>
        <v>739.99917166554326</v>
      </c>
      <c r="D81" s="200">
        <f>D36*'Assumptions input'!$B43</f>
        <v>739.99917166554326</v>
      </c>
      <c r="E81" s="200">
        <f>E36*'Assumptions input'!$B43</f>
        <v>739.99917166554326</v>
      </c>
      <c r="F81" s="200">
        <f>F36*'Assumptions input'!$B43</f>
        <v>739.99917166554326</v>
      </c>
      <c r="G81" s="236">
        <f>G36*'Assumptions input'!$B43</f>
        <v>739.99917166554326</v>
      </c>
      <c r="H81" s="238">
        <f>H36*'Assumptions input'!$D43</f>
        <v>369.99958583277163</v>
      </c>
      <c r="I81" s="200">
        <f>I36*'Assumptions input'!$D43</f>
        <v>123.33319527759058</v>
      </c>
      <c r="J81" s="200">
        <f>J36*'Assumptions input'!$D43</f>
        <v>0</v>
      </c>
      <c r="K81" s="200">
        <f>K36*'Assumptions input'!$D43</f>
        <v>0</v>
      </c>
      <c r="L81" s="286">
        <f>L36*'Assumptions input'!$D43</f>
        <v>0</v>
      </c>
      <c r="M81" s="431"/>
      <c r="N81" s="433">
        <f t="shared" ref="N81:N86" si="141">H81-C81</f>
        <v>-369.99958583277163</v>
      </c>
      <c r="O81" s="200">
        <f t="shared" ref="O81:O86" si="142">I81-D81</f>
        <v>-616.6659763879527</v>
      </c>
      <c r="P81" s="200">
        <f t="shared" ref="P81:P86" si="143">J81-E81</f>
        <v>-739.99917166554326</v>
      </c>
      <c r="Q81" s="200">
        <f t="shared" ref="Q81:Q86" si="144">K81-F81</f>
        <v>-739.99917166554326</v>
      </c>
      <c r="R81" s="236">
        <f t="shared" ref="R81:R86" si="145">L81-G81</f>
        <v>-739.99917166554326</v>
      </c>
      <c r="S81" s="240">
        <f t="shared" ref="S81:S86" si="146">N81*$B81/1000</f>
        <v>-128.75985586980451</v>
      </c>
      <c r="T81" s="201">
        <f t="shared" ref="T81:T86" si="147">O81*$B81/1000</f>
        <v>-214.59975978300753</v>
      </c>
      <c r="U81" s="201">
        <f t="shared" ref="U81:U86" si="148">P81*$B81/1000</f>
        <v>-257.51971173960902</v>
      </c>
      <c r="V81" s="201">
        <f t="shared" ref="V81:V86" si="149">Q81*$B81/1000</f>
        <v>-257.51971173960902</v>
      </c>
      <c r="W81" s="202">
        <f t="shared" ref="W81:W86" si="150">R81*$B81/1000</f>
        <v>-257.51971173960902</v>
      </c>
    </row>
    <row r="82" spans="1:23" x14ac:dyDescent="0.3">
      <c r="A82" s="320" t="s">
        <v>534</v>
      </c>
      <c r="B82" s="201">
        <f>B81</f>
        <v>348</v>
      </c>
      <c r="C82" s="200">
        <f>C37*'Assumptions input'!$B44</f>
        <v>184.99979291638584</v>
      </c>
      <c r="D82" s="200">
        <f>D37*'Assumptions input'!$B44</f>
        <v>184.99979291638584</v>
      </c>
      <c r="E82" s="200">
        <f>E37*'Assumptions input'!$B44</f>
        <v>184.99979291638584</v>
      </c>
      <c r="F82" s="200">
        <f>F37*'Assumptions input'!$B44</f>
        <v>184.99979291638584</v>
      </c>
      <c r="G82" s="236">
        <f>G37*'Assumptions input'!$B44</f>
        <v>184.99979291638584</v>
      </c>
      <c r="H82" s="238">
        <f>H37*'Assumptions input'!$D44</f>
        <v>184.99979291638584</v>
      </c>
      <c r="I82" s="200">
        <f>I37*'Assumptions input'!$D44</f>
        <v>138.74984468728937</v>
      </c>
      <c r="J82" s="200">
        <f>J37*'Assumptions input'!$D44</f>
        <v>115.62487057274114</v>
      </c>
      <c r="K82" s="200">
        <f>K37*'Assumptions input'!$D44</f>
        <v>92.499896458192922</v>
      </c>
      <c r="L82" s="286">
        <f>L37*'Assumptions input'!$D44</f>
        <v>69.374922343644684</v>
      </c>
      <c r="M82" s="431"/>
      <c r="N82" s="238">
        <f t="shared" si="141"/>
        <v>0</v>
      </c>
      <c r="O82" s="200">
        <f t="shared" si="142"/>
        <v>-46.249948229096475</v>
      </c>
      <c r="P82" s="200">
        <f t="shared" si="143"/>
        <v>-69.374922343644698</v>
      </c>
      <c r="Q82" s="200">
        <f t="shared" si="144"/>
        <v>-92.499896458192922</v>
      </c>
      <c r="R82" s="236">
        <f t="shared" si="145"/>
        <v>-115.62487057274116</v>
      </c>
      <c r="S82" s="240">
        <f t="shared" si="146"/>
        <v>0</v>
      </c>
      <c r="T82" s="201">
        <f t="shared" si="147"/>
        <v>-16.094981983725571</v>
      </c>
      <c r="U82" s="201">
        <f t="shared" si="148"/>
        <v>-24.142472975588355</v>
      </c>
      <c r="V82" s="201">
        <f t="shared" si="149"/>
        <v>-32.189963967451135</v>
      </c>
      <c r="W82" s="202">
        <f t="shared" si="150"/>
        <v>-40.237454959313922</v>
      </c>
    </row>
    <row r="83" spans="1:23" x14ac:dyDescent="0.3">
      <c r="A83" s="185" t="s">
        <v>519</v>
      </c>
      <c r="B83" s="201">
        <f>B81</f>
        <v>348</v>
      </c>
      <c r="C83" s="200">
        <f>C38*'Assumptions input'!$B45</f>
        <v>3.3916628701337403</v>
      </c>
      <c r="D83" s="200">
        <f>D38*'Assumptions input'!$B45</f>
        <v>3.3916628701337403</v>
      </c>
      <c r="E83" s="200">
        <f>E38*'Assumptions input'!$B45</f>
        <v>3.3916628701337403</v>
      </c>
      <c r="F83" s="200">
        <f>F38*'Assumptions input'!$B45</f>
        <v>3.3916628701337403</v>
      </c>
      <c r="G83" s="236">
        <f>G38*'Assumptions input'!$B45</f>
        <v>3.3916628701337403</v>
      </c>
      <c r="H83" s="238">
        <f>H38*'Assumptions input'!$D45</f>
        <v>3.0833298819397643</v>
      </c>
      <c r="I83" s="200">
        <f>I38*'Assumptions input'!$D45</f>
        <v>4.6249948229096454</v>
      </c>
      <c r="J83" s="200">
        <f>J38*'Assumptions input'!$D45</f>
        <v>6.1666597638795286</v>
      </c>
      <c r="K83" s="200">
        <f>K38*'Assumptions input'!$D45</f>
        <v>6.1666597638795286</v>
      </c>
      <c r="L83" s="286">
        <f>L38*'Assumptions input'!$D45</f>
        <v>6.1666597638795286</v>
      </c>
      <c r="M83" s="431"/>
      <c r="N83" s="238">
        <f t="shared" si="141"/>
        <v>-0.30833298819397603</v>
      </c>
      <c r="O83" s="200">
        <f t="shared" si="142"/>
        <v>1.233331952775905</v>
      </c>
      <c r="P83" s="200">
        <f t="shared" si="143"/>
        <v>2.7749968937457883</v>
      </c>
      <c r="Q83" s="200">
        <f t="shared" si="144"/>
        <v>2.7749968937457883</v>
      </c>
      <c r="R83" s="236">
        <f t="shared" si="145"/>
        <v>2.7749968937457883</v>
      </c>
      <c r="S83" s="240">
        <f t="shared" si="146"/>
        <v>-0.10729987989150366</v>
      </c>
      <c r="T83" s="201">
        <f t="shared" si="147"/>
        <v>0.42919951956601493</v>
      </c>
      <c r="U83" s="201">
        <f t="shared" si="148"/>
        <v>0.96569891902353433</v>
      </c>
      <c r="V83" s="201">
        <f t="shared" si="149"/>
        <v>0.96569891902353433</v>
      </c>
      <c r="W83" s="202">
        <f t="shared" si="150"/>
        <v>0.96569891902353433</v>
      </c>
    </row>
    <row r="84" spans="1:23" x14ac:dyDescent="0.3">
      <c r="A84" s="284" t="s">
        <v>516</v>
      </c>
      <c r="B84" s="201">
        <f>B81</f>
        <v>348</v>
      </c>
      <c r="C84" s="200">
        <f>C39*'Assumptions input'!$B46</f>
        <v>0</v>
      </c>
      <c r="D84" s="374">
        <f>D39*'Assumptions input'!$B46</f>
        <v>0</v>
      </c>
      <c r="E84" s="374">
        <f>E39*'Assumptions input'!$B46</f>
        <v>0</v>
      </c>
      <c r="F84" s="374">
        <f>F39*'Assumptions input'!$B46</f>
        <v>0</v>
      </c>
      <c r="G84" s="375">
        <f>G39*'Assumptions input'!$B46</f>
        <v>0</v>
      </c>
      <c r="H84" s="376">
        <f>H39*'Assumptions input'!$D46</f>
        <v>0</v>
      </c>
      <c r="I84" s="374">
        <f>I39*'Assumptions input'!$D46</f>
        <v>0</v>
      </c>
      <c r="J84" s="374">
        <f>J39*'Assumptions input'!$D46</f>
        <v>0</v>
      </c>
      <c r="K84" s="374">
        <f>K39*'Assumptions input'!$D46</f>
        <v>0</v>
      </c>
      <c r="L84" s="377">
        <f>L39*'Assumptions input'!$D46</f>
        <v>0</v>
      </c>
      <c r="M84" s="432"/>
      <c r="N84" s="376">
        <f t="shared" si="141"/>
        <v>0</v>
      </c>
      <c r="O84" s="374">
        <f t="shared" si="142"/>
        <v>0</v>
      </c>
      <c r="P84" s="374">
        <f t="shared" si="143"/>
        <v>0</v>
      </c>
      <c r="Q84" s="374">
        <f t="shared" si="144"/>
        <v>0</v>
      </c>
      <c r="R84" s="375">
        <f t="shared" si="145"/>
        <v>0</v>
      </c>
      <c r="S84" s="240">
        <f t="shared" si="146"/>
        <v>0</v>
      </c>
      <c r="T84" s="201">
        <f t="shared" si="147"/>
        <v>0</v>
      </c>
      <c r="U84" s="201">
        <f t="shared" si="148"/>
        <v>0</v>
      </c>
      <c r="V84" s="201">
        <f t="shared" si="149"/>
        <v>0</v>
      </c>
      <c r="W84" s="202">
        <f t="shared" si="150"/>
        <v>0</v>
      </c>
    </row>
    <row r="85" spans="1:23" x14ac:dyDescent="0.3">
      <c r="A85" s="284" t="s">
        <v>517</v>
      </c>
      <c r="B85" s="201">
        <f>B81</f>
        <v>348</v>
      </c>
      <c r="C85" s="200">
        <f>C40*'Assumptions input'!$B47</f>
        <v>0</v>
      </c>
      <c r="D85" s="200">
        <f>D40*'Assumptions input'!$B47</f>
        <v>0</v>
      </c>
      <c r="E85" s="200">
        <f>E40*'Assumptions input'!$B47</f>
        <v>0</v>
      </c>
      <c r="F85" s="200">
        <f>F40*'Assumptions input'!$B47</f>
        <v>0</v>
      </c>
      <c r="G85" s="236">
        <f>G40*'Assumptions input'!$B47</f>
        <v>0</v>
      </c>
      <c r="H85" s="238">
        <f>H40*'Assumptions input'!$D47</f>
        <v>0</v>
      </c>
      <c r="I85" s="200">
        <f>I40*'Assumptions input'!$D47</f>
        <v>0</v>
      </c>
      <c r="J85" s="200">
        <f>J40*'Assumptions input'!$D47</f>
        <v>0</v>
      </c>
      <c r="K85" s="200">
        <f>K40*'Assumptions input'!$D47</f>
        <v>0</v>
      </c>
      <c r="L85" s="286">
        <f>L40*'Assumptions input'!$D47</f>
        <v>0</v>
      </c>
      <c r="M85" s="431"/>
      <c r="N85" s="238">
        <f t="shared" si="141"/>
        <v>0</v>
      </c>
      <c r="O85" s="200">
        <f t="shared" si="142"/>
        <v>0</v>
      </c>
      <c r="P85" s="200">
        <f t="shared" si="143"/>
        <v>0</v>
      </c>
      <c r="Q85" s="200">
        <f t="shared" si="144"/>
        <v>0</v>
      </c>
      <c r="R85" s="236">
        <f t="shared" si="145"/>
        <v>0</v>
      </c>
      <c r="S85" s="380">
        <f t="shared" si="146"/>
        <v>0</v>
      </c>
      <c r="T85" s="381">
        <f t="shared" si="147"/>
        <v>0</v>
      </c>
      <c r="U85" s="381">
        <f t="shared" si="148"/>
        <v>0</v>
      </c>
      <c r="V85" s="381">
        <f t="shared" si="149"/>
        <v>0</v>
      </c>
      <c r="W85" s="382">
        <f t="shared" si="150"/>
        <v>0</v>
      </c>
    </row>
    <row r="86" spans="1:23" x14ac:dyDescent="0.3">
      <c r="A86" s="185" t="s">
        <v>518</v>
      </c>
      <c r="B86" s="201">
        <f>B81</f>
        <v>348</v>
      </c>
      <c r="C86" s="200">
        <f>C41*'Assumptions input'!$B48</f>
        <v>0</v>
      </c>
      <c r="D86" s="200">
        <f>D41*'Assumptions input'!$B48</f>
        <v>0</v>
      </c>
      <c r="E86" s="200">
        <f>E41*'Assumptions input'!$B48</f>
        <v>0</v>
      </c>
      <c r="F86" s="200">
        <f>F41*'Assumptions input'!$B48</f>
        <v>0</v>
      </c>
      <c r="G86" s="236">
        <f>G41*'Assumptions input'!$B48</f>
        <v>0</v>
      </c>
      <c r="H86" s="238">
        <f>H41*'Assumptions input'!$D48</f>
        <v>0</v>
      </c>
      <c r="I86" s="200">
        <f>I41*'Assumptions input'!$D48</f>
        <v>0</v>
      </c>
      <c r="J86" s="200">
        <f>J41*'Assumptions input'!$D48</f>
        <v>0</v>
      </c>
      <c r="K86" s="200">
        <f>K41*'Assumptions input'!$D48</f>
        <v>0</v>
      </c>
      <c r="L86" s="242">
        <f>L41*'Assumptions input'!$D48</f>
        <v>0</v>
      </c>
      <c r="M86" s="431"/>
      <c r="N86" s="238">
        <f t="shared" si="141"/>
        <v>0</v>
      </c>
      <c r="O86" s="200">
        <f t="shared" si="142"/>
        <v>0</v>
      </c>
      <c r="P86" s="200">
        <f t="shared" si="143"/>
        <v>0</v>
      </c>
      <c r="Q86" s="200">
        <f t="shared" si="144"/>
        <v>0</v>
      </c>
      <c r="R86" s="236">
        <f t="shared" si="145"/>
        <v>0</v>
      </c>
      <c r="S86" s="383">
        <f t="shared" si="146"/>
        <v>0</v>
      </c>
      <c r="T86" s="381">
        <f t="shared" si="147"/>
        <v>0</v>
      </c>
      <c r="U86" s="381">
        <f t="shared" si="148"/>
        <v>0</v>
      </c>
      <c r="V86" s="381">
        <f t="shared" si="149"/>
        <v>0</v>
      </c>
      <c r="W86" s="382">
        <f t="shared" si="150"/>
        <v>0</v>
      </c>
    </row>
    <row r="87" spans="1:23" ht="15" thickBot="1" x14ac:dyDescent="0.35">
      <c r="A87" s="192" t="s">
        <v>555</v>
      </c>
      <c r="B87" s="445"/>
      <c r="C87" s="203">
        <f>SUM(C81:C86)</f>
        <v>928.39062745206286</v>
      </c>
      <c r="D87" s="203">
        <f t="shared" ref="D87" si="151">SUM(D81:D86)</f>
        <v>928.39062745206286</v>
      </c>
      <c r="E87" s="203">
        <f t="shared" ref="E87" si="152">SUM(E81:E86)</f>
        <v>928.39062745206286</v>
      </c>
      <c r="F87" s="203">
        <f t="shared" ref="F87" si="153">SUM(F81:F86)</f>
        <v>928.39062745206286</v>
      </c>
      <c r="G87" s="237">
        <f t="shared" ref="G87" si="154">SUM(G81:G86)</f>
        <v>928.39062745206286</v>
      </c>
      <c r="H87" s="239">
        <f t="shared" ref="H87" si="155">SUM(H81:H86)</f>
        <v>558.08270863109726</v>
      </c>
      <c r="I87" s="203">
        <f t="shared" ref="I87" si="156">SUM(I81:I86)</f>
        <v>266.70803478778959</v>
      </c>
      <c r="J87" s="203">
        <f t="shared" ref="J87" si="157">SUM(J81:J86)</f>
        <v>121.79153033662067</v>
      </c>
      <c r="K87" s="203">
        <f t="shared" ref="K87" si="158">SUM(K81:K86)</f>
        <v>98.666556222072444</v>
      </c>
      <c r="L87" s="203">
        <f t="shared" ref="L87" si="159">SUM(L81:L86)</f>
        <v>75.541582107524206</v>
      </c>
      <c r="M87" s="208"/>
      <c r="N87" s="434">
        <f>SUM(N81:N86)</f>
        <v>-370.3079188209656</v>
      </c>
      <c r="O87" s="429">
        <f t="shared" ref="O87" si="160">SUM(O81:O86)</f>
        <v>-661.68259266427333</v>
      </c>
      <c r="P87" s="429">
        <f t="shared" ref="P87" si="161">SUM(P81:P86)</f>
        <v>-806.59909711544219</v>
      </c>
      <c r="Q87" s="429">
        <f t="shared" ref="Q87" si="162">SUM(Q81:Q86)</f>
        <v>-829.72407122999039</v>
      </c>
      <c r="R87" s="430">
        <f t="shared" ref="R87" si="163">SUM(R81:R86)</f>
        <v>-852.84904534453869</v>
      </c>
      <c r="S87" s="241">
        <f>SUM(S81:S86)</f>
        <v>-128.86715574969602</v>
      </c>
      <c r="T87" s="204">
        <f>SUM(T81:T86)</f>
        <v>-230.26554224716708</v>
      </c>
      <c r="U87" s="204">
        <f>SUM(U81:U86)</f>
        <v>-280.69648579617387</v>
      </c>
      <c r="V87" s="204">
        <f>SUM(V81:V86)</f>
        <v>-288.74397678803666</v>
      </c>
      <c r="W87" s="205">
        <f>SUM(W81:W86)</f>
        <v>-296.79146777989945</v>
      </c>
    </row>
    <row r="88" spans="1:23" ht="15" thickBot="1" x14ac:dyDescent="0.35">
      <c r="A88" s="223" t="s">
        <v>3</v>
      </c>
    </row>
    <row r="89" spans="1:23" ht="83.4" thickBot="1" x14ac:dyDescent="0.35">
      <c r="A89" s="231" t="s">
        <v>586</v>
      </c>
      <c r="B89" s="199" t="s">
        <v>446</v>
      </c>
      <c r="C89" s="290" t="s">
        <v>476</v>
      </c>
      <c r="D89" s="291" t="s">
        <v>477</v>
      </c>
      <c r="E89" s="292" t="s">
        <v>478</v>
      </c>
      <c r="F89" s="293" t="s">
        <v>479</v>
      </c>
      <c r="G89" s="294" t="s">
        <v>480</v>
      </c>
      <c r="H89" s="295" t="s">
        <v>481</v>
      </c>
      <c r="I89" s="296" t="s">
        <v>482</v>
      </c>
      <c r="J89" s="297" t="s">
        <v>483</v>
      </c>
      <c r="K89" s="297" t="s">
        <v>484</v>
      </c>
      <c r="L89" s="298" t="s">
        <v>485</v>
      </c>
      <c r="M89" s="299"/>
      <c r="N89" s="300" t="s">
        <v>486</v>
      </c>
      <c r="O89" s="301" t="s">
        <v>487</v>
      </c>
      <c r="P89" s="302" t="s">
        <v>488</v>
      </c>
      <c r="Q89" s="302" t="s">
        <v>489</v>
      </c>
      <c r="R89" s="303" t="s">
        <v>490</v>
      </c>
      <c r="S89" s="302" t="s">
        <v>491</v>
      </c>
      <c r="T89" s="302" t="s">
        <v>492</v>
      </c>
      <c r="U89" s="302" t="s">
        <v>493</v>
      </c>
      <c r="V89" s="302" t="s">
        <v>494</v>
      </c>
      <c r="W89" s="303" t="s">
        <v>495</v>
      </c>
    </row>
    <row r="90" spans="1:23" x14ac:dyDescent="0.3">
      <c r="A90" s="320" t="s">
        <v>524</v>
      </c>
      <c r="B90" s="201">
        <f>'Resource impact template'!B69</f>
        <v>2500</v>
      </c>
      <c r="C90" s="200">
        <f>C36*'Assumptions input'!$B52</f>
        <v>277.49968937457874</v>
      </c>
      <c r="D90" s="200">
        <f>D36*'Assumptions input'!$B52</f>
        <v>277.49968937457874</v>
      </c>
      <c r="E90" s="200">
        <f>E36*'Assumptions input'!$B52</f>
        <v>277.49968937457874</v>
      </c>
      <c r="F90" s="200">
        <f>F36*'Assumptions input'!$B52</f>
        <v>277.49968937457874</v>
      </c>
      <c r="G90" s="236">
        <f>G36*'Assumptions input'!$B52</f>
        <v>277.49968937457874</v>
      </c>
      <c r="H90" s="238">
        <f>H36*'Assumptions input'!$D52</f>
        <v>138.74984468728937</v>
      </c>
      <c r="I90" s="200">
        <f>I36*'Assumptions input'!$D52</f>
        <v>46.249948229096461</v>
      </c>
      <c r="J90" s="200">
        <f>J36*'Assumptions input'!$D52</f>
        <v>0</v>
      </c>
      <c r="K90" s="200">
        <f>K36*'Assumptions input'!$D52</f>
        <v>0</v>
      </c>
      <c r="L90" s="286">
        <f>L36*'Assumptions input'!$D52</f>
        <v>0</v>
      </c>
      <c r="M90" s="431"/>
      <c r="N90" s="433">
        <f t="shared" ref="N90:N95" si="164">H90-C90</f>
        <v>-138.74984468728937</v>
      </c>
      <c r="O90" s="200">
        <f t="shared" ref="O90:O95" si="165">I90-D90</f>
        <v>-231.24974114548229</v>
      </c>
      <c r="P90" s="200">
        <f t="shared" ref="P90:P95" si="166">J90-E90</f>
        <v>-277.49968937457874</v>
      </c>
      <c r="Q90" s="200">
        <f t="shared" ref="Q90:Q95" si="167">K90-F90</f>
        <v>-277.49968937457874</v>
      </c>
      <c r="R90" s="236">
        <f t="shared" ref="R90:R95" si="168">L90-G90</f>
        <v>-277.49968937457874</v>
      </c>
      <c r="S90" s="240">
        <f t="shared" ref="S90:S95" si="169">N90*$B90/1000</f>
        <v>-346.87461171822343</v>
      </c>
      <c r="T90" s="201">
        <f t="shared" ref="T90:T95" si="170">O90*$B90/1000</f>
        <v>-578.12435286370567</v>
      </c>
      <c r="U90" s="201">
        <f t="shared" ref="U90:U95" si="171">P90*$B90/1000</f>
        <v>-693.74922343644687</v>
      </c>
      <c r="V90" s="201">
        <f t="shared" ref="V90:V95" si="172">Q90*$B90/1000</f>
        <v>-693.74922343644687</v>
      </c>
      <c r="W90" s="202">
        <f t="shared" ref="W90:W95" si="173">R90*$B90/1000</f>
        <v>-693.74922343644687</v>
      </c>
    </row>
    <row r="91" spans="1:23" x14ac:dyDescent="0.3">
      <c r="A91" s="320" t="s">
        <v>534</v>
      </c>
      <c r="B91" s="201">
        <f>B90</f>
        <v>2500</v>
      </c>
      <c r="C91" s="200">
        <f>C37*'Assumptions input'!$B53</f>
        <v>0</v>
      </c>
      <c r="D91" s="200">
        <f>D37*'Assumptions input'!$B53</f>
        <v>0</v>
      </c>
      <c r="E91" s="200">
        <f>E37*'Assumptions input'!$B53</f>
        <v>0</v>
      </c>
      <c r="F91" s="200">
        <f>F37*'Assumptions input'!$B53</f>
        <v>0</v>
      </c>
      <c r="G91" s="236">
        <f>G37*'Assumptions input'!$B53</f>
        <v>0</v>
      </c>
      <c r="H91" s="238">
        <f>H37*'Assumptions input'!$D53</f>
        <v>0</v>
      </c>
      <c r="I91" s="200">
        <f>I37*'Assumptions input'!$D53</f>
        <v>0</v>
      </c>
      <c r="J91" s="200">
        <f>J37*'Assumptions input'!$D53</f>
        <v>0</v>
      </c>
      <c r="K91" s="200">
        <f>K37*'Assumptions input'!$D53</f>
        <v>0</v>
      </c>
      <c r="L91" s="286">
        <f>L37*'Assumptions input'!$D53</f>
        <v>0</v>
      </c>
      <c r="M91" s="431"/>
      <c r="N91" s="238">
        <f t="shared" si="164"/>
        <v>0</v>
      </c>
      <c r="O91" s="200">
        <f t="shared" si="165"/>
        <v>0</v>
      </c>
      <c r="P91" s="200">
        <f t="shared" si="166"/>
        <v>0</v>
      </c>
      <c r="Q91" s="200">
        <f t="shared" si="167"/>
        <v>0</v>
      </c>
      <c r="R91" s="236">
        <f t="shared" si="168"/>
        <v>0</v>
      </c>
      <c r="S91" s="240">
        <f t="shared" si="169"/>
        <v>0</v>
      </c>
      <c r="T91" s="201">
        <f t="shared" si="170"/>
        <v>0</v>
      </c>
      <c r="U91" s="201">
        <f t="shared" si="171"/>
        <v>0</v>
      </c>
      <c r="V91" s="201">
        <f t="shared" si="172"/>
        <v>0</v>
      </c>
      <c r="W91" s="202">
        <f t="shared" si="173"/>
        <v>0</v>
      </c>
    </row>
    <row r="92" spans="1:23" x14ac:dyDescent="0.3">
      <c r="A92" s="185" t="s">
        <v>519</v>
      </c>
      <c r="B92" s="201">
        <f>B90</f>
        <v>2500</v>
      </c>
      <c r="C92" s="200">
        <f>C38*'Assumptions input'!$B54</f>
        <v>0</v>
      </c>
      <c r="D92" s="200">
        <f>D38*'Assumptions input'!$B54</f>
        <v>0</v>
      </c>
      <c r="E92" s="200">
        <f>E38*'Assumptions input'!$B54</f>
        <v>0</v>
      </c>
      <c r="F92" s="200">
        <f>F38*'Assumptions input'!$B54</f>
        <v>0</v>
      </c>
      <c r="G92" s="236">
        <f>G38*'Assumptions input'!$B54</f>
        <v>0</v>
      </c>
      <c r="H92" s="238">
        <f>H38*'Assumptions input'!$D54</f>
        <v>0</v>
      </c>
      <c r="I92" s="200">
        <f>I38*'Assumptions input'!$D54</f>
        <v>0</v>
      </c>
      <c r="J92" s="200">
        <f>J38*'Assumptions input'!$D54</f>
        <v>0</v>
      </c>
      <c r="K92" s="200">
        <f>K38*'Assumptions input'!$D54</f>
        <v>0</v>
      </c>
      <c r="L92" s="286">
        <f>L38*'Assumptions input'!$D54</f>
        <v>0</v>
      </c>
      <c r="M92" s="431"/>
      <c r="N92" s="238">
        <f t="shared" si="164"/>
        <v>0</v>
      </c>
      <c r="O92" s="200">
        <f t="shared" si="165"/>
        <v>0</v>
      </c>
      <c r="P92" s="200">
        <f t="shared" si="166"/>
        <v>0</v>
      </c>
      <c r="Q92" s="200">
        <f t="shared" si="167"/>
        <v>0</v>
      </c>
      <c r="R92" s="236">
        <f t="shared" si="168"/>
        <v>0</v>
      </c>
      <c r="S92" s="240">
        <f t="shared" si="169"/>
        <v>0</v>
      </c>
      <c r="T92" s="201">
        <f t="shared" si="170"/>
        <v>0</v>
      </c>
      <c r="U92" s="201">
        <f t="shared" si="171"/>
        <v>0</v>
      </c>
      <c r="V92" s="201">
        <f t="shared" si="172"/>
        <v>0</v>
      </c>
      <c r="W92" s="202">
        <f t="shared" si="173"/>
        <v>0</v>
      </c>
    </row>
    <row r="93" spans="1:23" x14ac:dyDescent="0.3">
      <c r="A93" s="284" t="s">
        <v>516</v>
      </c>
      <c r="B93" s="201">
        <f>B90</f>
        <v>2500</v>
      </c>
      <c r="C93" s="200">
        <f>C39*'Assumptions input'!$B55</f>
        <v>0</v>
      </c>
      <c r="D93" s="374">
        <f>D39*'Assumptions input'!$B55</f>
        <v>0</v>
      </c>
      <c r="E93" s="374">
        <f>E39*'Assumptions input'!$B55</f>
        <v>0</v>
      </c>
      <c r="F93" s="374">
        <f>F39*'Assumptions input'!$B55</f>
        <v>0</v>
      </c>
      <c r="G93" s="375">
        <f>G39*'Assumptions input'!$B55</f>
        <v>0</v>
      </c>
      <c r="H93" s="376">
        <f>H39*'Assumptions input'!$D55</f>
        <v>0</v>
      </c>
      <c r="I93" s="374">
        <f>I39*'Assumptions input'!$D55</f>
        <v>0</v>
      </c>
      <c r="J93" s="374">
        <f>J39*'Assumptions input'!$D55</f>
        <v>0</v>
      </c>
      <c r="K93" s="374">
        <f>K39*'Assumptions input'!$D55</f>
        <v>0</v>
      </c>
      <c r="L93" s="377">
        <f>L39*'Assumptions input'!$D55</f>
        <v>0</v>
      </c>
      <c r="M93" s="432"/>
      <c r="N93" s="376">
        <f t="shared" si="164"/>
        <v>0</v>
      </c>
      <c r="O93" s="374">
        <f t="shared" si="165"/>
        <v>0</v>
      </c>
      <c r="P93" s="374">
        <f t="shared" si="166"/>
        <v>0</v>
      </c>
      <c r="Q93" s="374">
        <f t="shared" si="167"/>
        <v>0</v>
      </c>
      <c r="R93" s="375">
        <f t="shared" si="168"/>
        <v>0</v>
      </c>
      <c r="S93" s="240">
        <f t="shared" si="169"/>
        <v>0</v>
      </c>
      <c r="T93" s="201">
        <f t="shared" si="170"/>
        <v>0</v>
      </c>
      <c r="U93" s="201">
        <f t="shared" si="171"/>
        <v>0</v>
      </c>
      <c r="V93" s="201">
        <f t="shared" si="172"/>
        <v>0</v>
      </c>
      <c r="W93" s="202">
        <f t="shared" si="173"/>
        <v>0</v>
      </c>
    </row>
    <row r="94" spans="1:23" x14ac:dyDescent="0.3">
      <c r="A94" s="284" t="s">
        <v>517</v>
      </c>
      <c r="B94" s="201">
        <f>B90</f>
        <v>2500</v>
      </c>
      <c r="C94" s="200">
        <f>C40*'Assumptions input'!$B56</f>
        <v>0</v>
      </c>
      <c r="D94" s="200">
        <f>D40*'Assumptions input'!$B56</f>
        <v>0</v>
      </c>
      <c r="E94" s="200">
        <f>E40*'Assumptions input'!$B56</f>
        <v>0</v>
      </c>
      <c r="F94" s="200">
        <f>F40*'Assumptions input'!$B56</f>
        <v>0</v>
      </c>
      <c r="G94" s="236">
        <f>G40*'Assumptions input'!$B56</f>
        <v>0</v>
      </c>
      <c r="H94" s="238">
        <f>H40*'Assumptions input'!$D56</f>
        <v>0</v>
      </c>
      <c r="I94" s="200">
        <f>I40*'Assumptions input'!$D56</f>
        <v>0</v>
      </c>
      <c r="J94" s="200">
        <f>J40*'Assumptions input'!$D56</f>
        <v>0</v>
      </c>
      <c r="K94" s="200">
        <f>K40*'Assumptions input'!$D56</f>
        <v>0</v>
      </c>
      <c r="L94" s="286">
        <f>L40*'Assumptions input'!$D56</f>
        <v>0</v>
      </c>
      <c r="M94" s="431"/>
      <c r="N94" s="238">
        <f t="shared" si="164"/>
        <v>0</v>
      </c>
      <c r="O94" s="200">
        <f t="shared" si="165"/>
        <v>0</v>
      </c>
      <c r="P94" s="200">
        <f t="shared" si="166"/>
        <v>0</v>
      </c>
      <c r="Q94" s="200">
        <f t="shared" si="167"/>
        <v>0</v>
      </c>
      <c r="R94" s="236">
        <f t="shared" si="168"/>
        <v>0</v>
      </c>
      <c r="S94" s="380">
        <f t="shared" si="169"/>
        <v>0</v>
      </c>
      <c r="T94" s="381">
        <f t="shared" si="170"/>
        <v>0</v>
      </c>
      <c r="U94" s="381">
        <f t="shared" si="171"/>
        <v>0</v>
      </c>
      <c r="V94" s="381">
        <f t="shared" si="172"/>
        <v>0</v>
      </c>
      <c r="W94" s="382">
        <f t="shared" si="173"/>
        <v>0</v>
      </c>
    </row>
    <row r="95" spans="1:23" x14ac:dyDescent="0.3">
      <c r="A95" s="185" t="s">
        <v>518</v>
      </c>
      <c r="B95" s="201">
        <f>B90</f>
        <v>2500</v>
      </c>
      <c r="C95" s="200">
        <f>C41*'Assumptions input'!$B57</f>
        <v>0</v>
      </c>
      <c r="D95" s="200">
        <f>D41*'Assumptions input'!$B57</f>
        <v>0</v>
      </c>
      <c r="E95" s="200">
        <f>E41*'Assumptions input'!$B57</f>
        <v>0</v>
      </c>
      <c r="F95" s="200">
        <f>F41*'Assumptions input'!$B57</f>
        <v>0</v>
      </c>
      <c r="G95" s="236">
        <f>G41*'Assumptions input'!$B57</f>
        <v>0</v>
      </c>
      <c r="H95" s="238">
        <f>H41*'Assumptions input'!$D57</f>
        <v>0</v>
      </c>
      <c r="I95" s="200">
        <f>I41*'Assumptions input'!$D57</f>
        <v>0</v>
      </c>
      <c r="J95" s="200">
        <f>J41*'Assumptions input'!$D57</f>
        <v>0</v>
      </c>
      <c r="K95" s="200">
        <f>K41*'Assumptions input'!$D57</f>
        <v>0</v>
      </c>
      <c r="L95" s="242">
        <f>L41*'Assumptions input'!$D57</f>
        <v>0</v>
      </c>
      <c r="M95" s="431"/>
      <c r="N95" s="238">
        <f t="shared" si="164"/>
        <v>0</v>
      </c>
      <c r="O95" s="200">
        <f t="shared" si="165"/>
        <v>0</v>
      </c>
      <c r="P95" s="200">
        <f t="shared" si="166"/>
        <v>0</v>
      </c>
      <c r="Q95" s="200">
        <f t="shared" si="167"/>
        <v>0</v>
      </c>
      <c r="R95" s="236">
        <f t="shared" si="168"/>
        <v>0</v>
      </c>
      <c r="S95" s="383">
        <f t="shared" si="169"/>
        <v>0</v>
      </c>
      <c r="T95" s="381">
        <f t="shared" si="170"/>
        <v>0</v>
      </c>
      <c r="U95" s="381">
        <f t="shared" si="171"/>
        <v>0</v>
      </c>
      <c r="V95" s="381">
        <f t="shared" si="172"/>
        <v>0</v>
      </c>
      <c r="W95" s="382">
        <f t="shared" si="173"/>
        <v>0</v>
      </c>
    </row>
    <row r="96" spans="1:23" ht="15" thickBot="1" x14ac:dyDescent="0.35">
      <c r="A96" s="192" t="s">
        <v>570</v>
      </c>
      <c r="B96" s="445"/>
      <c r="C96" s="203">
        <f>SUM(C90:C95)</f>
        <v>277.49968937457874</v>
      </c>
      <c r="D96" s="203">
        <f t="shared" ref="D96" si="174">SUM(D90:D95)</f>
        <v>277.49968937457874</v>
      </c>
      <c r="E96" s="203">
        <f t="shared" ref="E96" si="175">SUM(E90:E95)</f>
        <v>277.49968937457874</v>
      </c>
      <c r="F96" s="203">
        <f t="shared" ref="F96" si="176">SUM(F90:F95)</f>
        <v>277.49968937457874</v>
      </c>
      <c r="G96" s="237">
        <f t="shared" ref="G96" si="177">SUM(G90:G95)</f>
        <v>277.49968937457874</v>
      </c>
      <c r="H96" s="239">
        <f t="shared" ref="H96" si="178">SUM(H90:H95)</f>
        <v>138.74984468728937</v>
      </c>
      <c r="I96" s="203">
        <f t="shared" ref="I96" si="179">SUM(I90:I95)</f>
        <v>46.249948229096461</v>
      </c>
      <c r="J96" s="203">
        <f t="shared" ref="J96" si="180">SUM(J90:J95)</f>
        <v>0</v>
      </c>
      <c r="K96" s="203">
        <f t="shared" ref="K96" si="181">SUM(K90:K95)</f>
        <v>0</v>
      </c>
      <c r="L96" s="203">
        <f t="shared" ref="L96" si="182">SUM(L90:L95)</f>
        <v>0</v>
      </c>
      <c r="M96" s="208"/>
      <c r="N96" s="434">
        <f>SUM(N90:N95)</f>
        <v>-138.74984468728937</v>
      </c>
      <c r="O96" s="429">
        <f t="shared" ref="O96" si="183">SUM(O90:O95)</f>
        <v>-231.24974114548229</v>
      </c>
      <c r="P96" s="429">
        <f t="shared" ref="P96" si="184">SUM(P90:P95)</f>
        <v>-277.49968937457874</v>
      </c>
      <c r="Q96" s="429">
        <f t="shared" ref="Q96" si="185">SUM(Q90:Q95)</f>
        <v>-277.49968937457874</v>
      </c>
      <c r="R96" s="430">
        <f t="shared" ref="R96" si="186">SUM(R90:R95)</f>
        <v>-277.49968937457874</v>
      </c>
      <c r="S96" s="241">
        <f>SUM(S90:S95)</f>
        <v>-346.87461171822343</v>
      </c>
      <c r="T96" s="204">
        <f>SUM(T90:T95)</f>
        <v>-578.12435286370567</v>
      </c>
      <c r="U96" s="204">
        <f>SUM(U90:U95)</f>
        <v>-693.74922343644687</v>
      </c>
      <c r="V96" s="204">
        <f>SUM(V90:V95)</f>
        <v>-693.74922343644687</v>
      </c>
      <c r="W96" s="205">
        <f>SUM(W90:W95)</f>
        <v>-693.74922343644687</v>
      </c>
    </row>
    <row r="97" spans="1:23" ht="15" thickBot="1" x14ac:dyDescent="0.35">
      <c r="A97" s="223" t="s">
        <v>3</v>
      </c>
    </row>
    <row r="98" spans="1:23" ht="83.4" thickBot="1" x14ac:dyDescent="0.35">
      <c r="A98" s="231" t="s">
        <v>557</v>
      </c>
      <c r="B98" s="199" t="s">
        <v>446</v>
      </c>
      <c r="C98" s="290" t="s">
        <v>476</v>
      </c>
      <c r="D98" s="291" t="s">
        <v>477</v>
      </c>
      <c r="E98" s="292" t="s">
        <v>478</v>
      </c>
      <c r="F98" s="293" t="s">
        <v>479</v>
      </c>
      <c r="G98" s="294" t="s">
        <v>480</v>
      </c>
      <c r="H98" s="295" t="s">
        <v>481</v>
      </c>
      <c r="I98" s="296" t="s">
        <v>482</v>
      </c>
      <c r="J98" s="297" t="s">
        <v>483</v>
      </c>
      <c r="K98" s="297" t="s">
        <v>484</v>
      </c>
      <c r="L98" s="298" t="s">
        <v>485</v>
      </c>
      <c r="M98" s="299"/>
      <c r="N98" s="300" t="s">
        <v>486</v>
      </c>
      <c r="O98" s="301" t="s">
        <v>487</v>
      </c>
      <c r="P98" s="302" t="s">
        <v>488</v>
      </c>
      <c r="Q98" s="302" t="s">
        <v>489</v>
      </c>
      <c r="R98" s="303" t="s">
        <v>490</v>
      </c>
      <c r="S98" s="302" t="s">
        <v>491</v>
      </c>
      <c r="T98" s="302" t="s">
        <v>492</v>
      </c>
      <c r="U98" s="302" t="s">
        <v>493</v>
      </c>
      <c r="V98" s="302" t="s">
        <v>494</v>
      </c>
      <c r="W98" s="303" t="s">
        <v>495</v>
      </c>
    </row>
    <row r="99" spans="1:23" x14ac:dyDescent="0.3">
      <c r="A99" s="320" t="s">
        <v>524</v>
      </c>
      <c r="B99" s="201">
        <f>'Resource impact template'!B78</f>
        <v>738</v>
      </c>
      <c r="C99" s="200">
        <f>C36*'Assumptions input'!$B61</f>
        <v>554.99937874915747</v>
      </c>
      <c r="D99" s="200">
        <f>D36*'Assumptions input'!$B61</f>
        <v>554.99937874915747</v>
      </c>
      <c r="E99" s="200">
        <f>E36*'Assumptions input'!$B61</f>
        <v>554.99937874915747</v>
      </c>
      <c r="F99" s="200">
        <f>F36*'Assumptions input'!$B61</f>
        <v>554.99937874915747</v>
      </c>
      <c r="G99" s="236">
        <f>G36*'Assumptions input'!$B61</f>
        <v>554.99937874915747</v>
      </c>
      <c r="H99" s="238">
        <f>H36*'Assumptions input'!$D61</f>
        <v>277.49968937457874</v>
      </c>
      <c r="I99" s="200">
        <f>I36*'Assumptions input'!$D61</f>
        <v>92.499896458192922</v>
      </c>
      <c r="J99" s="200">
        <f>J36*'Assumptions input'!$D61</f>
        <v>0</v>
      </c>
      <c r="K99" s="200">
        <f>K36*'Assumptions input'!$D61</f>
        <v>0</v>
      </c>
      <c r="L99" s="286">
        <f>L36*'Assumptions input'!$D61</f>
        <v>0</v>
      </c>
      <c r="M99" s="431"/>
      <c r="N99" s="433">
        <f t="shared" ref="N99:N104" si="187">H99-C99</f>
        <v>-277.49968937457874</v>
      </c>
      <c r="O99" s="200">
        <f t="shared" ref="O99:O104" si="188">I99-D99</f>
        <v>-462.49948229096458</v>
      </c>
      <c r="P99" s="200">
        <f t="shared" ref="P99:P104" si="189">J99-E99</f>
        <v>-554.99937874915747</v>
      </c>
      <c r="Q99" s="200">
        <f t="shared" ref="Q99:Q104" si="190">K99-F99</f>
        <v>-554.99937874915747</v>
      </c>
      <c r="R99" s="236">
        <f t="shared" ref="R99:R104" si="191">L99-G99</f>
        <v>-554.99937874915747</v>
      </c>
      <c r="S99" s="240">
        <f t="shared" ref="S99:S104" si="192">N99*$B99/1000</f>
        <v>-204.79477075843911</v>
      </c>
      <c r="T99" s="201">
        <f t="shared" ref="T99:T104" si="193">O99*$B99/1000</f>
        <v>-341.32461793073185</v>
      </c>
      <c r="U99" s="201">
        <f t="shared" ref="U99:U104" si="194">P99*$B99/1000</f>
        <v>-409.58954151687823</v>
      </c>
      <c r="V99" s="201">
        <f t="shared" ref="V99:V104" si="195">Q99*$B99/1000</f>
        <v>-409.58954151687823</v>
      </c>
      <c r="W99" s="202">
        <f t="shared" ref="W99:W104" si="196">R99*$B99/1000</f>
        <v>-409.58954151687823</v>
      </c>
    </row>
    <row r="100" spans="1:23" x14ac:dyDescent="0.3">
      <c r="A100" s="320" t="s">
        <v>534</v>
      </c>
      <c r="B100" s="201">
        <f>B99</f>
        <v>738</v>
      </c>
      <c r="C100" s="200">
        <f>C37*'Assumptions input'!$B62</f>
        <v>493.3327811103623</v>
      </c>
      <c r="D100" s="200">
        <f>D37*'Assumptions input'!$B62</f>
        <v>493.3327811103623</v>
      </c>
      <c r="E100" s="200">
        <f>E37*'Assumptions input'!$B62</f>
        <v>493.3327811103623</v>
      </c>
      <c r="F100" s="200">
        <f>F37*'Assumptions input'!$B62</f>
        <v>493.3327811103623</v>
      </c>
      <c r="G100" s="236">
        <f>G37*'Assumptions input'!$B62</f>
        <v>493.3327811103623</v>
      </c>
      <c r="H100" s="238">
        <f>H37*'Assumptions input'!$D62</f>
        <v>493.3327811103623</v>
      </c>
      <c r="I100" s="200">
        <f>I37*'Assumptions input'!$D62</f>
        <v>369.99958583277163</v>
      </c>
      <c r="J100" s="200">
        <f>J37*'Assumptions input'!$D62</f>
        <v>308.33298819397641</v>
      </c>
      <c r="K100" s="200">
        <f>K37*'Assumptions input'!$D62</f>
        <v>246.66639055518115</v>
      </c>
      <c r="L100" s="286">
        <f>L37*'Assumptions input'!$D62</f>
        <v>184.99979291638581</v>
      </c>
      <c r="M100" s="431"/>
      <c r="N100" s="238">
        <f t="shared" si="187"/>
        <v>0</v>
      </c>
      <c r="O100" s="200">
        <f t="shared" si="188"/>
        <v>-123.33319527759068</v>
      </c>
      <c r="P100" s="200">
        <f t="shared" si="189"/>
        <v>-184.9997929163859</v>
      </c>
      <c r="Q100" s="200">
        <f t="shared" si="190"/>
        <v>-246.66639055518115</v>
      </c>
      <c r="R100" s="236">
        <f t="shared" si="191"/>
        <v>-308.33298819397646</v>
      </c>
      <c r="S100" s="240">
        <f t="shared" si="192"/>
        <v>0</v>
      </c>
      <c r="T100" s="201">
        <f t="shared" si="193"/>
        <v>-91.019898114861917</v>
      </c>
      <c r="U100" s="201">
        <f t="shared" si="194"/>
        <v>-136.52984717229279</v>
      </c>
      <c r="V100" s="201">
        <f t="shared" si="195"/>
        <v>-182.03979622972369</v>
      </c>
      <c r="W100" s="202">
        <f t="shared" si="196"/>
        <v>-227.54974528715462</v>
      </c>
    </row>
    <row r="101" spans="1:23" x14ac:dyDescent="0.3">
      <c r="A101" s="185" t="s">
        <v>519</v>
      </c>
      <c r="B101" s="201">
        <f>B99</f>
        <v>738</v>
      </c>
      <c r="C101" s="200">
        <f>C38*'Assumptions input'!$B63</f>
        <v>135.66651480534961</v>
      </c>
      <c r="D101" s="200">
        <f>D38*'Assumptions input'!$B63</f>
        <v>135.66651480534961</v>
      </c>
      <c r="E101" s="200">
        <f>E38*'Assumptions input'!$B63</f>
        <v>135.66651480534961</v>
      </c>
      <c r="F101" s="200">
        <f>F38*'Assumptions input'!$B63</f>
        <v>135.66651480534961</v>
      </c>
      <c r="G101" s="236">
        <f>G38*'Assumptions input'!$B63</f>
        <v>135.66651480534961</v>
      </c>
      <c r="H101" s="238">
        <f>H38*'Assumptions input'!$D63</f>
        <v>123.33319527759058</v>
      </c>
      <c r="I101" s="200">
        <f>I38*'Assumptions input'!$D63</f>
        <v>184.99979291638581</v>
      </c>
      <c r="J101" s="200">
        <f>J38*'Assumptions input'!$D63</f>
        <v>246.66639055518115</v>
      </c>
      <c r="K101" s="200">
        <f>K38*'Assumptions input'!$D63</f>
        <v>246.66639055518115</v>
      </c>
      <c r="L101" s="286">
        <f>L38*'Assumptions input'!$D63</f>
        <v>246.66639055518115</v>
      </c>
      <c r="M101" s="431"/>
      <c r="N101" s="238">
        <f t="shared" si="187"/>
        <v>-12.333319527759031</v>
      </c>
      <c r="O101" s="200">
        <f t="shared" si="188"/>
        <v>49.333278111036208</v>
      </c>
      <c r="P101" s="200">
        <f t="shared" si="189"/>
        <v>110.99987574983155</v>
      </c>
      <c r="Q101" s="200">
        <f t="shared" si="190"/>
        <v>110.99987574983155</v>
      </c>
      <c r="R101" s="236">
        <f t="shared" si="191"/>
        <v>110.99987574983155</v>
      </c>
      <c r="S101" s="240">
        <f t="shared" si="192"/>
        <v>-9.101989811486165</v>
      </c>
      <c r="T101" s="201">
        <f t="shared" si="193"/>
        <v>36.407959245944724</v>
      </c>
      <c r="U101" s="201">
        <f t="shared" si="194"/>
        <v>81.917908303375683</v>
      </c>
      <c r="V101" s="201">
        <f t="shared" si="195"/>
        <v>81.917908303375683</v>
      </c>
      <c r="W101" s="202">
        <f t="shared" si="196"/>
        <v>81.917908303375683</v>
      </c>
    </row>
    <row r="102" spans="1:23" x14ac:dyDescent="0.3">
      <c r="A102" s="284" t="s">
        <v>516</v>
      </c>
      <c r="B102" s="201">
        <f>B99</f>
        <v>738</v>
      </c>
      <c r="C102" s="200">
        <f>C39*'Assumptions input'!$B64</f>
        <v>107.91654586789176</v>
      </c>
      <c r="D102" s="374">
        <f>D39*'Assumptions input'!$B64</f>
        <v>107.91654586789176</v>
      </c>
      <c r="E102" s="374">
        <f>E39*'Assumptions input'!$B64</f>
        <v>107.91654586789176</v>
      </c>
      <c r="F102" s="374">
        <f>F39*'Assumptions input'!$B64</f>
        <v>107.91654586789176</v>
      </c>
      <c r="G102" s="375">
        <f>G39*'Assumptions input'!$B64</f>
        <v>107.91654586789176</v>
      </c>
      <c r="H102" s="376">
        <f>H39*'Assumptions input'!$D64</f>
        <v>161.87481880183759</v>
      </c>
      <c r="I102" s="374">
        <f>I39*'Assumptions input'!$D64</f>
        <v>215.83309173578351</v>
      </c>
      <c r="J102" s="374">
        <f>J39*'Assumptions input'!$D64</f>
        <v>269.79136466972938</v>
      </c>
      <c r="K102" s="374">
        <f>K39*'Assumptions input'!$D64</f>
        <v>323.74963760367518</v>
      </c>
      <c r="L102" s="377">
        <f>L39*'Assumptions input'!$D64</f>
        <v>269.79136466972938</v>
      </c>
      <c r="M102" s="432"/>
      <c r="N102" s="376">
        <f t="shared" si="187"/>
        <v>53.958272933945835</v>
      </c>
      <c r="O102" s="374">
        <f t="shared" si="188"/>
        <v>107.91654586789176</v>
      </c>
      <c r="P102" s="374">
        <f t="shared" si="189"/>
        <v>161.87481880183762</v>
      </c>
      <c r="Q102" s="374">
        <f t="shared" si="190"/>
        <v>215.83309173578343</v>
      </c>
      <c r="R102" s="375">
        <f t="shared" si="191"/>
        <v>161.87481880183762</v>
      </c>
      <c r="S102" s="240">
        <f t="shared" si="192"/>
        <v>39.821205425252025</v>
      </c>
      <c r="T102" s="201">
        <f t="shared" si="193"/>
        <v>79.64241085050412</v>
      </c>
      <c r="U102" s="201">
        <f t="shared" si="194"/>
        <v>119.46361627575617</v>
      </c>
      <c r="V102" s="201">
        <f t="shared" si="195"/>
        <v>159.28482170100816</v>
      </c>
      <c r="W102" s="202">
        <f t="shared" si="196"/>
        <v>119.46361627575617</v>
      </c>
    </row>
    <row r="103" spans="1:23" x14ac:dyDescent="0.3">
      <c r="A103" s="284" t="s">
        <v>517</v>
      </c>
      <c r="B103" s="201">
        <f>B99</f>
        <v>738</v>
      </c>
      <c r="C103" s="200">
        <f>C40*'Assumptions input'!$B65</f>
        <v>26.824969972875948</v>
      </c>
      <c r="D103" s="200">
        <f>D40*'Assumptions input'!$B65</f>
        <v>26.824969972875948</v>
      </c>
      <c r="E103" s="200">
        <f>E40*'Assumptions input'!$B65</f>
        <v>26.824969972875948</v>
      </c>
      <c r="F103" s="200">
        <f>F40*'Assumptions input'!$B65</f>
        <v>26.824969972875948</v>
      </c>
      <c r="G103" s="236">
        <f>G40*'Assumptions input'!$B65</f>
        <v>26.824969972875948</v>
      </c>
      <c r="H103" s="238">
        <f>H40*'Assumptions input'!$D65</f>
        <v>89.41656657625316</v>
      </c>
      <c r="I103" s="200">
        <f>I40*'Assumptions input'!$D65</f>
        <v>134.12484986437971</v>
      </c>
      <c r="J103" s="200">
        <f>J40*'Assumptions input'!$D65</f>
        <v>134.12484986437971</v>
      </c>
      <c r="K103" s="200">
        <f>K40*'Assumptions input'!$D65</f>
        <v>134.12484986437971</v>
      </c>
      <c r="L103" s="286">
        <f>L40*'Assumptions input'!$D65</f>
        <v>178.83313315250632</v>
      </c>
      <c r="M103" s="431"/>
      <c r="N103" s="238">
        <f t="shared" si="187"/>
        <v>62.591596603377212</v>
      </c>
      <c r="O103" s="200">
        <f t="shared" si="188"/>
        <v>107.29987989150376</v>
      </c>
      <c r="P103" s="200">
        <f t="shared" si="189"/>
        <v>107.29987989150376</v>
      </c>
      <c r="Q103" s="200">
        <f t="shared" si="190"/>
        <v>107.29987989150376</v>
      </c>
      <c r="R103" s="236">
        <f t="shared" si="191"/>
        <v>152.00816317963037</v>
      </c>
      <c r="S103" s="380">
        <f t="shared" si="192"/>
        <v>46.192598293292377</v>
      </c>
      <c r="T103" s="381">
        <f t="shared" si="193"/>
        <v>79.18731135992978</v>
      </c>
      <c r="U103" s="381">
        <f t="shared" si="194"/>
        <v>79.18731135992978</v>
      </c>
      <c r="V103" s="381">
        <f t="shared" si="195"/>
        <v>79.18731135992978</v>
      </c>
      <c r="W103" s="382">
        <f t="shared" si="196"/>
        <v>112.18202442656721</v>
      </c>
    </row>
    <row r="104" spans="1:23" x14ac:dyDescent="0.3">
      <c r="A104" s="185" t="s">
        <v>518</v>
      </c>
      <c r="B104" s="201">
        <f>B99</f>
        <v>738</v>
      </c>
      <c r="C104" s="200">
        <f>C41*'Assumptions input'!$B66</f>
        <v>110.99987574983149</v>
      </c>
      <c r="D104" s="200">
        <f>D41*'Assumptions input'!$B66</f>
        <v>110.99987574983149</v>
      </c>
      <c r="E104" s="200">
        <f>E41*'Assumptions input'!$B66</f>
        <v>110.99987574983149</v>
      </c>
      <c r="F104" s="200">
        <f>F41*'Assumptions input'!$B66</f>
        <v>110.99987574983149</v>
      </c>
      <c r="G104" s="236">
        <f>G41*'Assumptions input'!$B66</f>
        <v>110.99987574983149</v>
      </c>
      <c r="H104" s="238">
        <f>H41*'Assumptions input'!$D66</f>
        <v>184.99979291638584</v>
      </c>
      <c r="I104" s="200">
        <f>I41*'Assumptions input'!$D66</f>
        <v>277.49968937457874</v>
      </c>
      <c r="J104" s="200">
        <f>J41*'Assumptions input'!$D66</f>
        <v>277.49968937457874</v>
      </c>
      <c r="K104" s="200">
        <f>K41*'Assumptions input'!$D66</f>
        <v>277.49968937457874</v>
      </c>
      <c r="L104" s="242">
        <f>L41*'Assumptions input'!$D66</f>
        <v>369.99958583277169</v>
      </c>
      <c r="M104" s="431"/>
      <c r="N104" s="238">
        <f t="shared" si="187"/>
        <v>73.999917166554354</v>
      </c>
      <c r="O104" s="200">
        <f t="shared" si="188"/>
        <v>166.49981362474725</v>
      </c>
      <c r="P104" s="200">
        <f t="shared" si="189"/>
        <v>166.49981362474725</v>
      </c>
      <c r="Q104" s="200">
        <f t="shared" si="190"/>
        <v>166.49981362474725</v>
      </c>
      <c r="R104" s="236">
        <f t="shared" si="191"/>
        <v>258.99971008294017</v>
      </c>
      <c r="S104" s="383">
        <f t="shared" si="192"/>
        <v>54.611938868917107</v>
      </c>
      <c r="T104" s="381">
        <f t="shared" si="193"/>
        <v>122.87686245506347</v>
      </c>
      <c r="U104" s="381">
        <f t="shared" si="194"/>
        <v>122.87686245506347</v>
      </c>
      <c r="V104" s="381">
        <f t="shared" si="195"/>
        <v>122.87686245506347</v>
      </c>
      <c r="W104" s="382">
        <f t="shared" si="196"/>
        <v>191.14178604120985</v>
      </c>
    </row>
    <row r="105" spans="1:23" ht="15" thickBot="1" x14ac:dyDescent="0.35">
      <c r="A105" s="192" t="s">
        <v>569</v>
      </c>
      <c r="B105" s="445"/>
      <c r="C105" s="203">
        <f>SUM(C99:C104)</f>
        <v>1429.7400662554687</v>
      </c>
      <c r="D105" s="203">
        <f t="shared" ref="D105" si="197">SUM(D99:D104)</f>
        <v>1429.7400662554687</v>
      </c>
      <c r="E105" s="203">
        <f t="shared" ref="E105" si="198">SUM(E99:E104)</f>
        <v>1429.7400662554687</v>
      </c>
      <c r="F105" s="203">
        <f t="shared" ref="F105" si="199">SUM(F99:F104)</f>
        <v>1429.7400662554687</v>
      </c>
      <c r="G105" s="237">
        <f t="shared" ref="G105" si="200">SUM(G99:G104)</f>
        <v>1429.7400662554687</v>
      </c>
      <c r="H105" s="239">
        <f t="shared" ref="H105" si="201">SUM(H99:H104)</f>
        <v>1330.4568440570083</v>
      </c>
      <c r="I105" s="203">
        <f t="shared" ref="I105" si="202">SUM(I99:I104)</f>
        <v>1274.9569061820923</v>
      </c>
      <c r="J105" s="203">
        <f t="shared" ref="J105" si="203">SUM(J99:J104)</f>
        <v>1236.4152826578454</v>
      </c>
      <c r="K105" s="203">
        <f t="shared" ref="K105" si="204">SUM(K99:K104)</f>
        <v>1228.7069579529959</v>
      </c>
      <c r="L105" s="203">
        <f t="shared" ref="L105" si="205">SUM(L99:L104)</f>
        <v>1250.2902671265742</v>
      </c>
      <c r="M105" s="208"/>
      <c r="N105" s="434">
        <f>SUM(N99:N104)</f>
        <v>-99.283222198460379</v>
      </c>
      <c r="O105" s="429">
        <f t="shared" ref="O105" si="206">SUM(O99:O104)</f>
        <v>-154.78316007337631</v>
      </c>
      <c r="P105" s="429">
        <f t="shared" ref="P105" si="207">SUM(P99:P104)</f>
        <v>-193.32478359762322</v>
      </c>
      <c r="Q105" s="429">
        <f t="shared" ref="Q105" si="208">SUM(Q99:Q104)</f>
        <v>-201.03310830247258</v>
      </c>
      <c r="R105" s="430">
        <f t="shared" ref="R105" si="209">SUM(R99:R104)</f>
        <v>-179.44979912889426</v>
      </c>
      <c r="S105" s="241">
        <f>SUM(S99:S104)</f>
        <v>-73.271017982463761</v>
      </c>
      <c r="T105" s="204">
        <f>SUM(T99:T104)</f>
        <v>-114.22997213415169</v>
      </c>
      <c r="U105" s="204">
        <f>SUM(U99:U104)</f>
        <v>-142.67369029504596</v>
      </c>
      <c r="V105" s="204">
        <f>SUM(V99:V104)</f>
        <v>-148.3624339272248</v>
      </c>
      <c r="W105" s="205">
        <f>SUM(W99:W104)</f>
        <v>-132.43395175712391</v>
      </c>
    </row>
    <row r="106" spans="1:23" ht="15" thickBot="1" x14ac:dyDescent="0.35">
      <c r="A106" s="223" t="s">
        <v>3</v>
      </c>
    </row>
    <row r="107" spans="1:23" ht="83.4" thickBot="1" x14ac:dyDescent="0.35">
      <c r="A107" s="231" t="s">
        <v>558</v>
      </c>
      <c r="B107" s="199" t="s">
        <v>446</v>
      </c>
      <c r="C107" s="290" t="s">
        <v>476</v>
      </c>
      <c r="D107" s="291" t="s">
        <v>477</v>
      </c>
      <c r="E107" s="292" t="s">
        <v>478</v>
      </c>
      <c r="F107" s="293" t="s">
        <v>479</v>
      </c>
      <c r="G107" s="294" t="s">
        <v>480</v>
      </c>
      <c r="H107" s="295" t="s">
        <v>481</v>
      </c>
      <c r="I107" s="296" t="s">
        <v>482</v>
      </c>
      <c r="J107" s="297" t="s">
        <v>483</v>
      </c>
      <c r="K107" s="297" t="s">
        <v>484</v>
      </c>
      <c r="L107" s="298" t="s">
        <v>485</v>
      </c>
      <c r="M107" s="299"/>
      <c r="N107" s="300" t="s">
        <v>486</v>
      </c>
      <c r="O107" s="301" t="s">
        <v>487</v>
      </c>
      <c r="P107" s="302" t="s">
        <v>488</v>
      </c>
      <c r="Q107" s="302" t="s">
        <v>489</v>
      </c>
      <c r="R107" s="303" t="s">
        <v>490</v>
      </c>
      <c r="S107" s="302" t="s">
        <v>491</v>
      </c>
      <c r="T107" s="302" t="s">
        <v>492</v>
      </c>
      <c r="U107" s="302" t="s">
        <v>493</v>
      </c>
      <c r="V107" s="302" t="s">
        <v>494</v>
      </c>
      <c r="W107" s="303" t="s">
        <v>495</v>
      </c>
    </row>
    <row r="108" spans="1:23" x14ac:dyDescent="0.3">
      <c r="A108" s="320" t="s">
        <v>524</v>
      </c>
      <c r="B108" s="201">
        <f>'Resource impact template'!B87</f>
        <v>10641.8</v>
      </c>
      <c r="C108" s="200">
        <f>C36*'Assumptions input'!$B69</f>
        <v>277.49968937457874</v>
      </c>
      <c r="D108" s="200">
        <f>D36*'Assumptions input'!$B69</f>
        <v>277.49968937457874</v>
      </c>
      <c r="E108" s="200">
        <f>E36*'Assumptions input'!$B69</f>
        <v>277.49968937457874</v>
      </c>
      <c r="F108" s="200">
        <f>F36*'Assumptions input'!$B69</f>
        <v>277.49968937457874</v>
      </c>
      <c r="G108" s="236">
        <f>G36*'Assumptions input'!$B69</f>
        <v>277.49968937457874</v>
      </c>
      <c r="H108" s="238">
        <f>H36*'Assumptions input'!$D69</f>
        <v>138.74984468728937</v>
      </c>
      <c r="I108" s="200">
        <f>I36*'Assumptions input'!$D69</f>
        <v>46.249948229096461</v>
      </c>
      <c r="J108" s="200">
        <f>J36*'Assumptions input'!$D69</f>
        <v>0</v>
      </c>
      <c r="K108" s="200">
        <f>K36*'Assumptions input'!$D69</f>
        <v>0</v>
      </c>
      <c r="L108" s="286">
        <f>L36*'Assumptions input'!$D69</f>
        <v>0</v>
      </c>
      <c r="M108" s="431"/>
      <c r="N108" s="433">
        <f t="shared" ref="N108:N113" si="210">H108-C108</f>
        <v>-138.74984468728937</v>
      </c>
      <c r="O108" s="200">
        <f t="shared" ref="O108:O113" si="211">I108-D108</f>
        <v>-231.24974114548229</v>
      </c>
      <c r="P108" s="200">
        <f t="shared" ref="P108:P113" si="212">J108-E108</f>
        <v>-277.49968937457874</v>
      </c>
      <c r="Q108" s="200">
        <f t="shared" ref="Q108:Q113" si="213">K108-F108</f>
        <v>-277.49968937457874</v>
      </c>
      <c r="R108" s="236">
        <f t="shared" ref="R108:R113" si="214">L108-G108</f>
        <v>-277.49968937457874</v>
      </c>
      <c r="S108" s="240">
        <f t="shared" ref="S108:S113" si="215">N108*$B108/1000</f>
        <v>-1476.5480971931959</v>
      </c>
      <c r="T108" s="201">
        <f t="shared" ref="T108:T113" si="216">O108*$B108/1000</f>
        <v>-2460.9134953219932</v>
      </c>
      <c r="U108" s="201">
        <f t="shared" ref="U108:U113" si="217">P108*$B108/1000</f>
        <v>-2953.0961943863917</v>
      </c>
      <c r="V108" s="201">
        <f t="shared" ref="V108:V113" si="218">Q108*$B108/1000</f>
        <v>-2953.0961943863917</v>
      </c>
      <c r="W108" s="202">
        <f t="shared" ref="W108:W113" si="219">R108*$B108/1000</f>
        <v>-2953.0961943863917</v>
      </c>
    </row>
    <row r="109" spans="1:23" x14ac:dyDescent="0.3">
      <c r="A109" s="320" t="s">
        <v>534</v>
      </c>
      <c r="B109" s="201">
        <f>B108</f>
        <v>10641.8</v>
      </c>
      <c r="C109" s="200">
        <f>C37*'Assumptions input'!$B70</f>
        <v>246.66639055518115</v>
      </c>
      <c r="D109" s="200">
        <f>D37*'Assumptions input'!$B70</f>
        <v>246.66639055518115</v>
      </c>
      <c r="E109" s="200">
        <f>E37*'Assumptions input'!$B70</f>
        <v>246.66639055518115</v>
      </c>
      <c r="F109" s="200">
        <f>F37*'Assumptions input'!$B70</f>
        <v>246.66639055518115</v>
      </c>
      <c r="G109" s="236">
        <f>G37*'Assumptions input'!$B70</f>
        <v>246.66639055518115</v>
      </c>
      <c r="H109" s="238">
        <f>H37*'Assumptions input'!$D70</f>
        <v>246.66639055518115</v>
      </c>
      <c r="I109" s="200">
        <f>I37*'Assumptions input'!$D70</f>
        <v>184.99979291638581</v>
      </c>
      <c r="J109" s="200">
        <f>J37*'Assumptions input'!$D70</f>
        <v>154.1664940969882</v>
      </c>
      <c r="K109" s="200">
        <f>K37*'Assumptions input'!$D70</f>
        <v>123.33319527759058</v>
      </c>
      <c r="L109" s="286">
        <f>L37*'Assumptions input'!$D70</f>
        <v>92.499896458192907</v>
      </c>
      <c r="M109" s="431"/>
      <c r="N109" s="238">
        <f t="shared" si="210"/>
        <v>0</v>
      </c>
      <c r="O109" s="200">
        <f t="shared" si="211"/>
        <v>-61.666597638795338</v>
      </c>
      <c r="P109" s="200">
        <f t="shared" si="212"/>
        <v>-92.49989645819295</v>
      </c>
      <c r="Q109" s="200">
        <f t="shared" si="213"/>
        <v>-123.33319527759058</v>
      </c>
      <c r="R109" s="236">
        <f t="shared" si="214"/>
        <v>-154.16649409698823</v>
      </c>
      <c r="S109" s="240">
        <f t="shared" si="215"/>
        <v>0</v>
      </c>
      <c r="T109" s="201">
        <f t="shared" si="216"/>
        <v>-656.24359875253219</v>
      </c>
      <c r="U109" s="201">
        <f t="shared" si="217"/>
        <v>-984.36539812879766</v>
      </c>
      <c r="V109" s="201">
        <f t="shared" si="218"/>
        <v>-1312.4871975050635</v>
      </c>
      <c r="W109" s="202">
        <f t="shared" si="219"/>
        <v>-1640.6089968813292</v>
      </c>
    </row>
    <row r="110" spans="1:23" x14ac:dyDescent="0.3">
      <c r="A110" s="185" t="s">
        <v>519</v>
      </c>
      <c r="B110" s="201">
        <f>B108</f>
        <v>10641.8</v>
      </c>
      <c r="C110" s="200">
        <f>C38*'Assumptions input'!$B71</f>
        <v>67.833257402674803</v>
      </c>
      <c r="D110" s="200">
        <f>D38*'Assumptions input'!$B71</f>
        <v>67.833257402674803</v>
      </c>
      <c r="E110" s="200">
        <f>E38*'Assumptions input'!$B71</f>
        <v>67.833257402674803</v>
      </c>
      <c r="F110" s="200">
        <f>F38*'Assumptions input'!$B71</f>
        <v>67.833257402674803</v>
      </c>
      <c r="G110" s="236">
        <f>G38*'Assumptions input'!$B71</f>
        <v>67.833257402674803</v>
      </c>
      <c r="H110" s="238">
        <f>H38*'Assumptions input'!$D71</f>
        <v>61.666597638795288</v>
      </c>
      <c r="I110" s="200">
        <f>I38*'Assumptions input'!$D71</f>
        <v>92.499896458192907</v>
      </c>
      <c r="J110" s="200">
        <f>J38*'Assumptions input'!$D71</f>
        <v>123.33319527759058</v>
      </c>
      <c r="K110" s="200">
        <f>K38*'Assumptions input'!$D71</f>
        <v>123.33319527759058</v>
      </c>
      <c r="L110" s="286">
        <f>L38*'Assumptions input'!$D71</f>
        <v>123.33319527759058</v>
      </c>
      <c r="M110" s="431"/>
      <c r="N110" s="238">
        <f t="shared" si="210"/>
        <v>-6.1666597638795153</v>
      </c>
      <c r="O110" s="200">
        <f t="shared" si="211"/>
        <v>24.666639055518104</v>
      </c>
      <c r="P110" s="200">
        <f t="shared" si="212"/>
        <v>55.499937874915773</v>
      </c>
      <c r="Q110" s="200">
        <f t="shared" si="213"/>
        <v>55.499937874915773</v>
      </c>
      <c r="R110" s="236">
        <f t="shared" si="214"/>
        <v>55.499937874915773</v>
      </c>
      <c r="S110" s="240">
        <f t="shared" si="215"/>
        <v>-65.62435987525302</v>
      </c>
      <c r="T110" s="201">
        <f t="shared" si="216"/>
        <v>262.49743950101254</v>
      </c>
      <c r="U110" s="201">
        <f t="shared" si="217"/>
        <v>590.61923887727869</v>
      </c>
      <c r="V110" s="201">
        <f t="shared" si="218"/>
        <v>590.61923887727869</v>
      </c>
      <c r="W110" s="202">
        <f t="shared" si="219"/>
        <v>590.61923887727869</v>
      </c>
    </row>
    <row r="111" spans="1:23" x14ac:dyDescent="0.3">
      <c r="A111" s="284" t="s">
        <v>516</v>
      </c>
      <c r="B111" s="201">
        <f>B108</f>
        <v>10641.8</v>
      </c>
      <c r="C111" s="200">
        <f>C39*'Assumptions input'!$B72</f>
        <v>15.416649409698822</v>
      </c>
      <c r="D111" s="374">
        <f>D39*'Assumptions input'!$B72</f>
        <v>15.416649409698822</v>
      </c>
      <c r="E111" s="374">
        <f>E39*'Assumptions input'!$B72</f>
        <v>15.416649409698822</v>
      </c>
      <c r="F111" s="374">
        <f>F39*'Assumptions input'!$B72</f>
        <v>15.416649409698822</v>
      </c>
      <c r="G111" s="375">
        <f>G39*'Assumptions input'!$B72</f>
        <v>15.416649409698822</v>
      </c>
      <c r="H111" s="376">
        <f>H39*'Assumptions input'!$D72</f>
        <v>23.124974114548227</v>
      </c>
      <c r="I111" s="374">
        <f>I39*'Assumptions input'!$D72</f>
        <v>30.833298819397644</v>
      </c>
      <c r="J111" s="374">
        <f>J39*'Assumptions input'!$D72</f>
        <v>38.541623524247051</v>
      </c>
      <c r="K111" s="374">
        <f>K39*'Assumptions input'!$D72</f>
        <v>46.249948229096454</v>
      </c>
      <c r="L111" s="377">
        <f>L39*'Assumptions input'!$D72</f>
        <v>38.541623524247051</v>
      </c>
      <c r="M111" s="432"/>
      <c r="N111" s="376">
        <f t="shared" si="210"/>
        <v>7.7083247048494048</v>
      </c>
      <c r="O111" s="374">
        <f t="shared" si="211"/>
        <v>15.416649409698822</v>
      </c>
      <c r="P111" s="374">
        <f t="shared" si="212"/>
        <v>23.12497411454823</v>
      </c>
      <c r="Q111" s="374">
        <f t="shared" si="213"/>
        <v>30.833298819397633</v>
      </c>
      <c r="R111" s="375">
        <f t="shared" si="214"/>
        <v>23.12497411454823</v>
      </c>
      <c r="S111" s="240">
        <f t="shared" si="215"/>
        <v>82.030449844066382</v>
      </c>
      <c r="T111" s="201">
        <f t="shared" si="216"/>
        <v>164.06089968813293</v>
      </c>
      <c r="U111" s="201">
        <f t="shared" si="217"/>
        <v>246.09134953219936</v>
      </c>
      <c r="V111" s="201">
        <f t="shared" si="218"/>
        <v>328.12179937626576</v>
      </c>
      <c r="W111" s="202">
        <f t="shared" si="219"/>
        <v>246.09134953219936</v>
      </c>
    </row>
    <row r="112" spans="1:23" x14ac:dyDescent="0.3">
      <c r="A112" s="284" t="s">
        <v>517</v>
      </c>
      <c r="B112" s="201">
        <f>B108</f>
        <v>10641.8</v>
      </c>
      <c r="C112" s="200">
        <f>C40*'Assumptions input'!$B73</f>
        <v>0</v>
      </c>
      <c r="D112" s="200">
        <f>D40*'Assumptions input'!$B73</f>
        <v>0</v>
      </c>
      <c r="E112" s="200">
        <f>E40*'Assumptions input'!$B73</f>
        <v>0</v>
      </c>
      <c r="F112" s="200">
        <f>F40*'Assumptions input'!$B73</f>
        <v>0</v>
      </c>
      <c r="G112" s="236">
        <f>G40*'Assumptions input'!$B73</f>
        <v>0</v>
      </c>
      <c r="H112" s="238">
        <f>H40*'Assumptions input'!$D73</f>
        <v>0</v>
      </c>
      <c r="I112" s="200">
        <f>I40*'Assumptions input'!$D73</f>
        <v>0</v>
      </c>
      <c r="J112" s="200">
        <f>J40*'Assumptions input'!$D73</f>
        <v>0</v>
      </c>
      <c r="K112" s="200">
        <f>K40*'Assumptions input'!$D73</f>
        <v>0</v>
      </c>
      <c r="L112" s="286">
        <f>L40*'Assumptions input'!$D73</f>
        <v>0</v>
      </c>
      <c r="M112" s="431"/>
      <c r="N112" s="238">
        <f t="shared" si="210"/>
        <v>0</v>
      </c>
      <c r="O112" s="200">
        <f t="shared" si="211"/>
        <v>0</v>
      </c>
      <c r="P112" s="200">
        <f t="shared" si="212"/>
        <v>0</v>
      </c>
      <c r="Q112" s="200">
        <f t="shared" si="213"/>
        <v>0</v>
      </c>
      <c r="R112" s="236">
        <f t="shared" si="214"/>
        <v>0</v>
      </c>
      <c r="S112" s="380">
        <f t="shared" si="215"/>
        <v>0</v>
      </c>
      <c r="T112" s="381">
        <f t="shared" si="216"/>
        <v>0</v>
      </c>
      <c r="U112" s="381">
        <f t="shared" si="217"/>
        <v>0</v>
      </c>
      <c r="V112" s="381">
        <f t="shared" si="218"/>
        <v>0</v>
      </c>
      <c r="W112" s="382">
        <f t="shared" si="219"/>
        <v>0</v>
      </c>
    </row>
    <row r="113" spans="1:23" x14ac:dyDescent="0.3">
      <c r="A113" s="185" t="s">
        <v>518</v>
      </c>
      <c r="B113" s="201">
        <f>B108</f>
        <v>10641.8</v>
      </c>
      <c r="C113" s="200">
        <f>C41*'Assumptions input'!$B74</f>
        <v>0</v>
      </c>
      <c r="D113" s="200">
        <f>D41*'Assumptions input'!$B74</f>
        <v>0</v>
      </c>
      <c r="E113" s="200">
        <f>E41*'Assumptions input'!$B74</f>
        <v>0</v>
      </c>
      <c r="F113" s="200">
        <f>F41*'Assumptions input'!$B74</f>
        <v>0</v>
      </c>
      <c r="G113" s="236">
        <f>G41*'Assumptions input'!$B74</f>
        <v>0</v>
      </c>
      <c r="H113" s="238">
        <f>H41*'Assumptions input'!$D74</f>
        <v>0</v>
      </c>
      <c r="I113" s="200">
        <f>I41*'Assumptions input'!$D74</f>
        <v>0</v>
      </c>
      <c r="J113" s="200">
        <f>J41*'Assumptions input'!$D74</f>
        <v>0</v>
      </c>
      <c r="K113" s="200">
        <f>K41*'Assumptions input'!$D74</f>
        <v>0</v>
      </c>
      <c r="L113" s="242">
        <f>L41*'Assumptions input'!$D74</f>
        <v>0</v>
      </c>
      <c r="M113" s="431"/>
      <c r="N113" s="238">
        <f t="shared" si="210"/>
        <v>0</v>
      </c>
      <c r="O113" s="200">
        <f t="shared" si="211"/>
        <v>0</v>
      </c>
      <c r="P113" s="200">
        <f t="shared" si="212"/>
        <v>0</v>
      </c>
      <c r="Q113" s="200">
        <f t="shared" si="213"/>
        <v>0</v>
      </c>
      <c r="R113" s="236">
        <f t="shared" si="214"/>
        <v>0</v>
      </c>
      <c r="S113" s="383">
        <f t="shared" si="215"/>
        <v>0</v>
      </c>
      <c r="T113" s="381">
        <f t="shared" si="216"/>
        <v>0</v>
      </c>
      <c r="U113" s="381">
        <f t="shared" si="217"/>
        <v>0</v>
      </c>
      <c r="V113" s="381">
        <f t="shared" si="218"/>
        <v>0</v>
      </c>
      <c r="W113" s="382">
        <f t="shared" si="219"/>
        <v>0</v>
      </c>
    </row>
    <row r="114" spans="1:23" ht="15" thickBot="1" x14ac:dyDescent="0.35">
      <c r="A114" s="192" t="s">
        <v>568</v>
      </c>
      <c r="B114" s="445"/>
      <c r="C114" s="203">
        <f>SUM(C108:C113)</f>
        <v>607.41598674213355</v>
      </c>
      <c r="D114" s="203">
        <f t="shared" ref="D114" si="220">SUM(D108:D113)</f>
        <v>607.41598674213355</v>
      </c>
      <c r="E114" s="203">
        <f t="shared" ref="E114" si="221">SUM(E108:E113)</f>
        <v>607.41598674213355</v>
      </c>
      <c r="F114" s="203">
        <f t="shared" ref="F114" si="222">SUM(F108:F113)</f>
        <v>607.41598674213355</v>
      </c>
      <c r="G114" s="237">
        <f t="shared" ref="G114" si="223">SUM(G108:G113)</f>
        <v>607.41598674213355</v>
      </c>
      <c r="H114" s="239">
        <f t="shared" ref="H114" si="224">SUM(H108:H113)</f>
        <v>470.20780699581405</v>
      </c>
      <c r="I114" s="203">
        <f t="shared" ref="I114" si="225">SUM(I108:I113)</f>
        <v>354.58293642307285</v>
      </c>
      <c r="J114" s="203">
        <f t="shared" ref="J114" si="226">SUM(J108:J113)</f>
        <v>316.04131289882582</v>
      </c>
      <c r="K114" s="203">
        <f t="shared" ref="K114" si="227">SUM(K108:K113)</f>
        <v>292.91633878427763</v>
      </c>
      <c r="L114" s="203">
        <f t="shared" ref="L114" si="228">SUM(L108:L113)</f>
        <v>254.37471526003054</v>
      </c>
      <c r="M114" s="208"/>
      <c r="N114" s="434">
        <f>SUM(N108:N113)</f>
        <v>-137.20817974631947</v>
      </c>
      <c r="O114" s="429">
        <f t="shared" ref="O114" si="229">SUM(O108:O113)</f>
        <v>-252.8330503190607</v>
      </c>
      <c r="P114" s="429">
        <f t="shared" ref="P114" si="230">SUM(P108:P113)</f>
        <v>-291.37467384330768</v>
      </c>
      <c r="Q114" s="429">
        <f t="shared" ref="Q114" si="231">SUM(Q108:Q113)</f>
        <v>-314.49964795785593</v>
      </c>
      <c r="R114" s="430">
        <f t="shared" ref="R114" si="232">SUM(R108:R113)</f>
        <v>-353.04127148210296</v>
      </c>
      <c r="S114" s="241">
        <f>SUM(S108:S113)</f>
        <v>-1460.1420072243825</v>
      </c>
      <c r="T114" s="204">
        <f>SUM(T108:T113)</f>
        <v>-2690.59875488538</v>
      </c>
      <c r="U114" s="204">
        <f>SUM(U108:U113)</f>
        <v>-3100.7510041057112</v>
      </c>
      <c r="V114" s="204">
        <f>SUM(V108:V113)</f>
        <v>-3346.8423536379105</v>
      </c>
      <c r="W114" s="205">
        <f>SUM(W108:W113)</f>
        <v>-3756.9946028582426</v>
      </c>
    </row>
    <row r="115" spans="1:23" ht="15" thickBot="1" x14ac:dyDescent="0.35">
      <c r="A115" s="223" t="s">
        <v>3</v>
      </c>
    </row>
    <row r="116" spans="1:23" ht="15" thickBot="1" x14ac:dyDescent="0.35">
      <c r="A116" s="446" t="s">
        <v>560</v>
      </c>
      <c r="B116" s="447"/>
      <c r="C116" s="448"/>
      <c r="D116" s="448"/>
      <c r="E116" s="448"/>
      <c r="F116" s="448"/>
      <c r="G116" s="448"/>
      <c r="H116" s="448"/>
      <c r="I116" s="448"/>
      <c r="J116" s="448"/>
      <c r="K116" s="448"/>
      <c r="L116" s="448"/>
      <c r="M116" s="448"/>
      <c r="N116" s="448"/>
      <c r="O116" s="448"/>
      <c r="P116" s="448"/>
      <c r="Q116" s="448"/>
      <c r="R116" s="448"/>
      <c r="S116" s="449">
        <f>IF(S42=0,0,S114+S105+S96+S87+S78+S69+S51+S60+S42)</f>
        <v>0</v>
      </c>
      <c r="T116" s="449">
        <f t="shared" ref="T116:W116" si="233">IF(T42=0,0,T114+T105+T96+T87+T78+T69+T51+T60+T42)</f>
        <v>0</v>
      </c>
      <c r="U116" s="449">
        <f t="shared" si="233"/>
        <v>0</v>
      </c>
      <c r="V116" s="449">
        <f t="shared" si="233"/>
        <v>0</v>
      </c>
      <c r="W116" s="477">
        <f t="shared" si="233"/>
        <v>0</v>
      </c>
    </row>
    <row r="117" spans="1:23" ht="15" thickBot="1" x14ac:dyDescent="0.35"/>
    <row r="118" spans="1:23" ht="15" thickBot="1" x14ac:dyDescent="0.35">
      <c r="A118" s="420" t="s">
        <v>538</v>
      </c>
      <c r="B118" s="456"/>
      <c r="C118" s="457"/>
      <c r="D118" s="457"/>
      <c r="E118" s="457"/>
      <c r="F118" s="457"/>
      <c r="G118" s="457"/>
      <c r="H118" s="457"/>
      <c r="I118" s="457"/>
      <c r="J118" s="457"/>
      <c r="K118" s="457"/>
      <c r="L118" s="457"/>
      <c r="M118" s="457"/>
      <c r="N118" s="457"/>
      <c r="O118" s="457"/>
      <c r="P118" s="457"/>
      <c r="Q118" s="457"/>
      <c r="R118" s="457"/>
      <c r="S118" s="458">
        <f>S42</f>
        <v>0</v>
      </c>
      <c r="T118" s="459">
        <f t="shared" ref="T118:W118" si="234">T42</f>
        <v>0</v>
      </c>
      <c r="U118" s="459">
        <f t="shared" si="234"/>
        <v>0</v>
      </c>
      <c r="V118" s="459">
        <f t="shared" si="234"/>
        <v>0</v>
      </c>
      <c r="W118" s="460">
        <f t="shared" si="234"/>
        <v>0</v>
      </c>
    </row>
    <row r="119" spans="1:23" ht="15" thickBot="1" x14ac:dyDescent="0.35">
      <c r="A119" s="420" t="s">
        <v>539</v>
      </c>
      <c r="B119" s="456"/>
      <c r="C119" s="457"/>
      <c r="D119" s="457"/>
      <c r="E119" s="457"/>
      <c r="F119" s="457"/>
      <c r="G119" s="457"/>
      <c r="H119" s="457"/>
      <c r="I119" s="457"/>
      <c r="J119" s="457"/>
      <c r="K119" s="457"/>
      <c r="L119" s="457"/>
      <c r="M119" s="457"/>
      <c r="N119" s="457"/>
      <c r="O119" s="457"/>
      <c r="P119" s="457"/>
      <c r="Q119" s="457"/>
      <c r="R119" s="457"/>
      <c r="S119" s="458">
        <f>S51</f>
        <v>-4235.1015926785994</v>
      </c>
      <c r="T119" s="459">
        <f t="shared" ref="T119:W119" si="235">T51</f>
        <v>-6945.6908085205487</v>
      </c>
      <c r="U119" s="459">
        <f t="shared" si="235"/>
        <v>-6864.9630655515994</v>
      </c>
      <c r="V119" s="459">
        <f t="shared" si="235"/>
        <v>-7218.9231693385254</v>
      </c>
      <c r="W119" s="460">
        <f t="shared" si="235"/>
        <v>-9327.1592261044789</v>
      </c>
    </row>
    <row r="120" spans="1:23" ht="15" thickBot="1" x14ac:dyDescent="0.35">
      <c r="A120" s="420" t="s">
        <v>578</v>
      </c>
      <c r="B120" s="456"/>
      <c r="C120" s="457"/>
      <c r="D120" s="457"/>
      <c r="E120" s="457"/>
      <c r="F120" s="457"/>
      <c r="G120" s="457"/>
      <c r="H120" s="457"/>
      <c r="I120" s="457"/>
      <c r="J120" s="457"/>
      <c r="K120" s="457"/>
      <c r="L120" s="457"/>
      <c r="M120" s="457"/>
      <c r="N120" s="457"/>
      <c r="O120" s="457"/>
      <c r="P120" s="457"/>
      <c r="Q120" s="457"/>
      <c r="R120" s="457"/>
      <c r="S120" s="458">
        <f>S60</f>
        <v>-4629.9589840195677</v>
      </c>
      <c r="T120" s="459">
        <f t="shared" ref="T120:W120" si="236">T60</f>
        <v>-8895.2833762009413</v>
      </c>
      <c r="U120" s="459">
        <f t="shared" si="236"/>
        <v>-10712.829258357382</v>
      </c>
      <c r="V120" s="459">
        <f t="shared" si="236"/>
        <v>-11388.078502502191</v>
      </c>
      <c r="W120" s="460">
        <f t="shared" si="236"/>
        <v>-12468.477293133883</v>
      </c>
    </row>
    <row r="121" spans="1:23" ht="15" thickBot="1" x14ac:dyDescent="0.35">
      <c r="A121" s="420" t="s">
        <v>559</v>
      </c>
      <c r="B121" s="456"/>
      <c r="C121" s="457"/>
      <c r="D121" s="457"/>
      <c r="E121" s="457"/>
      <c r="F121" s="457"/>
      <c r="G121" s="457"/>
      <c r="H121" s="457"/>
      <c r="I121" s="457"/>
      <c r="J121" s="457"/>
      <c r="K121" s="457"/>
      <c r="L121" s="457"/>
      <c r="M121" s="457"/>
      <c r="N121" s="457"/>
      <c r="O121" s="457"/>
      <c r="P121" s="457"/>
      <c r="Q121" s="457"/>
      <c r="R121" s="457"/>
      <c r="S121" s="458">
        <f>S114+S105+S96+S87+S78+S69</f>
        <v>-2574.5530344503923</v>
      </c>
      <c r="T121" s="459">
        <f t="shared" ref="T121:W121" si="237">T114+T105+T96+T87+T78+T69</f>
        <v>-4772.8695449661354</v>
      </c>
      <c r="U121" s="459">
        <f t="shared" si="237"/>
        <v>-5606.6325008417771</v>
      </c>
      <c r="V121" s="459">
        <f t="shared" si="237"/>
        <v>-5931.3128415703159</v>
      </c>
      <c r="W121" s="460">
        <f t="shared" si="237"/>
        <v>-6572.0423422722288</v>
      </c>
    </row>
  </sheetData>
  <sheetProtection algorithmName="SHA-512" hashValue="Uwk4NdEvEtcA3vvqVf2wQTVrJIidj1bB0IEvLoAvi2H6gqbxGCLiZa8oMJ0YAQXVHSDOrRIquR0G+xyoV7j0Yw==" saltValue="TcH3aw0EwWWAARgm7i7TzA==" spinCount="100000" sheet="1" objects="1" scenarios="1"/>
  <phoneticPr fontId="54" type="noConversion"/>
  <pageMargins left="0.70866141732283472" right="0.70866141732283472" top="0.74803149606299213" bottom="0.74803149606299213" header="0.31496062992125984" footer="0.31496062992125984"/>
  <pageSetup paperSize="9" scale="19" orientation="landscape" horizontalDpi="4294967293" verticalDpi="0" r:id="rId1"/>
  <ignoredErrors>
    <ignoredError sqref="C16:L16 C10:G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HTG545, HTG563, HTG578, HTG650 Resource impact template</dc:title>
  <dc:creator/>
  <cp:lastModifiedBy/>
  <dcterms:created xsi:type="dcterms:W3CDTF">2022-03-21T16:20:31Z</dcterms:created>
  <dcterms:modified xsi:type="dcterms:W3CDTF">2025-12-10T16:50:42Z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2025-12-10T16:50:42Z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41bd5693-8e65-4c01-ad86-b746572ad81f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