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E9581231-7499-4DC2-8B10-A75065284DBF}" xr6:coauthVersionLast="47" xr6:coauthVersionMax="47" xr10:uidLastSave="{00000000-0000-0000-0000-000000000000}"/>
  <bookViews>
    <workbookView xWindow="-108" yWindow="-108" windowWidth="23256" windowHeight="12576"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9" r:id="rId10"/>
    <sheet name="ICB COSTING" sheetId="5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__net1" hidden="1">{"NET",#N/A,FALSE,"401C11"}</definedName>
    <definedName name="___INDEX_SHEET___ASAP_Utilities">#REF!</definedName>
    <definedName name="__123Graph_A" hidden="1">'[1]2002PCTs'!#REF!</definedName>
    <definedName name="__123Graph_B" hidden="1">[2]Dnurse!#REF!</definedName>
    <definedName name="__123Graph_C" hidden="1">[2]Dnurse!#REF!</definedName>
    <definedName name="__123Graph_X" hidden="1">[2]Dnurse!#REF!</definedName>
    <definedName name="__net1" hidden="1">{"NET",#N/A,FALSE,"401C11"}</definedName>
    <definedName name="_1_0__123Grap" hidden="1">'[3]#REF'!#REF!</definedName>
    <definedName name="_1_01_Chapters">#REF!</definedName>
    <definedName name="_1_123Grap" hidden="1">'[4]#REF'!#REF!</definedName>
    <definedName name="_10_10_Other_Lists">#REF!</definedName>
    <definedName name="_11_11_U_Groups">#REF!</definedName>
    <definedName name="_12_12_PBCs">#REF!</definedName>
    <definedName name="_123Graph_A_1" hidden="1">'[5]2002PCTs'!#REF!</definedName>
    <definedName name="_123Graph_B_1" hidden="1">[6]Dnurse!#REF!</definedName>
    <definedName name="_2_0__123Grap" hidden="1">'[4]#REF'!#REF!</definedName>
    <definedName name="_2_02_Subchapters">#REF!</definedName>
    <definedName name="_2_123Grap" hidden="1">'[2]#REF'!#REF!</definedName>
    <definedName name="_3_0_S" hidden="1">'[3]#REF'!#REF!</definedName>
    <definedName name="_3_03_HRGs">#REF!</definedName>
    <definedName name="_3_123Grap" hidden="1">'[4]#REF'!#REF!</definedName>
    <definedName name="_34_123Grap" hidden="1">'[4]#REF'!#REF!</definedName>
    <definedName name="_4_04_Code_to_Group_Table">#REF!</definedName>
    <definedName name="_42S" hidden="1">'[4]#REF'!#REF!</definedName>
    <definedName name="_4S" hidden="1">'[4]#REF'!#REF!</definedName>
    <definedName name="_5_0__123Grap" hidden="1">'[4]#REF'!#REF!</definedName>
    <definedName name="_5_05_Group_to_Split_Table">#REF!</definedName>
    <definedName name="_6_0_S" hidden="1">'[4]#REF'!#REF!</definedName>
    <definedName name="_6_06_Flags">#REF!</definedName>
    <definedName name="_6_123Grap" hidden="1">'[2]#REF'!#REF!</definedName>
    <definedName name="_7_07_Hierarchy_Lists">#REF!</definedName>
    <definedName name="_8_08_Global_Lists">#REF!</definedName>
    <definedName name="_8_123Grap" hidden="1">'[4]#REF'!#REF!</definedName>
    <definedName name="_8S" hidden="1">'[2]#REF'!#REF!</definedName>
    <definedName name="_9_09_CC_Lists">#REF!</definedName>
    <definedName name="_ADS2010">[7]ADS2010_Map!$G$7:$G$388</definedName>
    <definedName name="_AMO_UniqueIdentifier" hidden="1">"'95855f14-3708-42be-827a-67de891e7598'"</definedName>
    <definedName name="_AMO_UniqueIdentifier2" hidden="1">"'f6a48cb9-158b-447f-a1b7-2ab5a8bc2aae'"</definedName>
    <definedName name="_C2G_Including_Desc___ChapterSub_and_Crosstab">#REF!</definedName>
    <definedName name="_C2G_Split_inc_Desc_Crosstab">#REF!</definedName>
    <definedName name="_xlnm._FilterDatabase" localSheetId="10" hidden="1">'ICB COSTING'!$A$1:$Q$43</definedName>
    <definedName name="_xlnm._FilterDatabase" localSheetId="2" hidden="1">'Population selection'!$A$157:$GL$532</definedName>
    <definedName name="_Key1" hidden="1">'[2]#REF'!#REF!</definedName>
    <definedName name="_net1" hidden="1">{"NET",#N/A,FALSE,"401C11"}</definedName>
    <definedName name="_Order1" hidden="1">0</definedName>
    <definedName name="_Sort" hidden="1">[2]ComPsy!#REF!</definedName>
    <definedName name="a" hidden="1">{"CHARGE",#N/A,FALSE,"401C11"}</definedName>
    <definedName name="aa" hidden="1">{"CHARGE",#N/A,FALSE,"401C11"}</definedName>
    <definedName name="aaa" hidden="1">{"CHARGE",#N/A,FALSE,"401C11"}</definedName>
    <definedName name="aaaa" hidden="1">{"CHARGE",#N/A,FALSE,"401C11"}</definedName>
    <definedName name="abc" hidden="1">{"NET",#N/A,FALSE,"401C11"}</definedName>
    <definedName name="AcqStage">[8]Capital!$C$299:$C$301</definedName>
    <definedName name="adbr" hidden="1">{"CHARGE",#N/A,FALSE,"401C11"}</definedName>
    <definedName name="AgeQuintiles">[9]CCG1819!$T$9:$T$200</definedName>
    <definedName name="Agg2Baseline1516">#REF!</definedName>
    <definedName name="Agg2CloseDfT1516">#REF!</definedName>
    <definedName name="Agg2CloseTarget1617FirstRow">#REF!</definedName>
    <definedName name="Agg2OpenTarget1617FirstRow">#REF!</definedName>
    <definedName name="AggCloseTarget1617FirstRow">#REF!</definedName>
    <definedName name="AggOpenTarget1617FirstRow">#REF!</definedName>
    <definedName name="AggXPCOBaseline1516">#REF!</definedName>
    <definedName name="AggXPCOCloseDfT1516">#REF!</definedName>
    <definedName name="AKI_Tariff_Calc">#REF!</definedName>
    <definedName name="Allocations_2">'[10]Master File'!$C$7:$AC$264</definedName>
    <definedName name="b" hidden="1">{"CHARGE",#N/A,FALSE,"401C11"}</definedName>
    <definedName name="Bands">payscales!$B$12:$B$47</definedName>
    <definedName name="BaseYear">[9]ReportingYears!$B$3</definedName>
    <definedName name="Births_Total">'[11]NHSE Assumptions'!$B$7</definedName>
    <definedName name="BMGHIndex" hidden="1">"O"</definedName>
    <definedName name="bn" hidden="1">#REF!</definedName>
    <definedName name="bpth">#REF!</definedName>
    <definedName name="BPTHOME">#REF!</definedName>
    <definedName name="Building_Weight">'[12]Base MFF calcs'!$G$3</definedName>
    <definedName name="CapSchemes">OFFSET([13]!Tbl_Capital[[#Headers],[Scheme Ref]],1,0,COUNTA([13]!Tbl_Capital[[#Data],[Scheme Ref]]),1)</definedName>
    <definedName name="Casemix_categories">'[11]NHSE Currency Design'!$A$10:$A$12</definedName>
    <definedName name="CB_Other_Mandatory">'[14]Price Adjustments'!$K$10</definedName>
    <definedName name="CB_Renal_CKD">'[15]Price Adjustments'!$K$8</definedName>
    <definedName name="CB_Unbundled">'[15]Price Adjustments'!$K$7</definedName>
    <definedName name="CC_ACT">#REF!</definedName>
    <definedName name="CC_UC">#REF!</definedName>
    <definedName name="CCG18Age65decile">[9]CCG1819!$Q$9:$Q$200</definedName>
    <definedName name="CCG18IMDdecile">[9]CCG1819!$P$9:$P$200</definedName>
    <definedName name="CCG18IMDxAge10x10">[9]CCG1819!$R$9:$R$200</definedName>
    <definedName name="CCG18InOutLdn">[9]CCG1819!$F$9:$F$200</definedName>
    <definedName name="CCGCodeList1819">[9]CCG1819!$B$9:$B$200</definedName>
    <definedName name="CCGQuanta">#REF!</definedName>
    <definedName name="CCGWPop1819">'[9]BaseWeightedPopulations 1819'!$E$9:$E$200</definedName>
    <definedName name="change1" hidden="1">{"CHARGE",#N/A,FALSE,"401C11"}</definedName>
    <definedName name="charge" hidden="1">{"CHARGE",#N/A,FALSE,"401C11"}</definedName>
    <definedName name="CHEM_ACT">#REF!</definedName>
    <definedName name="Chem_Tariff_Calc">[15]Chem_Calc!$B$15:$X$20</definedName>
    <definedName name="CHEM_UC">#REF!</definedName>
    <definedName name="ClosingDfTAGG1617">#REF!</definedName>
    <definedName name="ClosingDfTAGG1718">#REF!</definedName>
    <definedName name="ClosingDfTAGG1819">#REF!</definedName>
    <definedName name="ClosingDfTCCG1617">#REF!</definedName>
    <definedName name="ClosingDfTCCG1718">#REF!</definedName>
    <definedName name="ClosingDfTCCG1819">#REF!</definedName>
    <definedName name="ClosingDfTPCM1617">#REF!</definedName>
    <definedName name="ClosingDfTPCM1718">#REF!</definedName>
    <definedName name="ClosingDfTPCM1819">#REF!</definedName>
    <definedName name="ClosingDfTSS1617">#REF!</definedName>
    <definedName name="ClosingDfTSS1718">#REF!</definedName>
    <definedName name="ClosingDfTSS1819">#REF!</definedName>
    <definedName name="CNST_Table">'[15]Price Adjustments'!$B$18:$G$106</definedName>
    <definedName name="Codes">#REF!</definedName>
    <definedName name="ConsolSheets">[16]ListOfSheets!$A$1:$A$24</definedName>
    <definedName name="CQUIN_2021_22">#REF!</definedName>
    <definedName name="Currency_Description_RC1314">'[17]Currency Descriptions'!$A$1:$B$2291</definedName>
    <definedName name="DADS_ACT">#REF!</definedName>
    <definedName name="DADS_UC">#REF!</definedName>
    <definedName name="DC_ACT">#REF!</definedName>
    <definedName name="DC_UC">#REF!</definedName>
    <definedName name="DCOInnerOuterLondon1819">[9]CCG1819!$G$9:$G$200</definedName>
    <definedName name="Delivery_casemix_categories">'[11]NHSE Currency Design'!$A$15:$A$16</definedName>
    <definedName name="Delivery_Complications_Flag">'[11]NHSE Currency Design'!$D$22:$D$156</definedName>
    <definedName name="DI_Cost_of_Rep_Calc">[15]DI_Calc!$B$115:$U$213</definedName>
    <definedName name="DI_Tariff_Calc">[15]DI_Calc!$B$14:$U$112</definedName>
    <definedName name="Direct_Access_Tariff_Calc">[18]Calculation!$B$19:$O$27</definedName>
    <definedName name="dog" hidden="1">{"NET",#N/A,FALSE,"401C11"}</definedName>
    <definedName name="eff_update">#REF!</definedName>
    <definedName name="Efficiency_1617">'[18]Price Adjustments'!$F$5</definedName>
    <definedName name="EL_ACT">#REF!</definedName>
    <definedName name="EL_UC">#REF!</definedName>
    <definedName name="EL_XS_ACT">#REF!</definedName>
    <definedName name="EL_XS_UC">#REF!</definedName>
    <definedName name="EM_ACT">#REF!</definedName>
    <definedName name="EM_UC">#REF!</definedName>
    <definedName name="ENGCCGS">'Population selection'!$B$29:$B$134</definedName>
    <definedName name="ENGLANDICS">'Population selection'!$B$158:$B$199</definedName>
    <definedName name="EV__LASTREFTIME__" hidden="1">40339.4799074074</definedName>
    <definedName name="Expired" hidden="1">FALSE</definedName>
    <definedName name="Fccg">INDIRECT("Threshold!$U$3:$U$"&amp;[19]Threshold!$AH$2)</definedName>
    <definedName name="female">#REF!</definedName>
    <definedName name="femaleimprove">#REF!</definedName>
    <definedName name="Females">#REF!</definedName>
    <definedName name="femaletab">#REF!</definedName>
    <definedName name="FinAllocAGG1617">#REF!</definedName>
    <definedName name="FinAllocAGG1718">#REF!</definedName>
    <definedName name="FinAllocAGG1819">#REF!</definedName>
    <definedName name="FinAllocCCG1617">#REF!</definedName>
    <definedName name="FinAllocCCG1718">#REF!</definedName>
    <definedName name="FinAllocCCG1819">#REF!</definedName>
    <definedName name="FinAllocPCM1617">#REF!</definedName>
    <definedName name="FinAllocPCM1718">#REF!</definedName>
    <definedName name="FinAllocPCM1819">#REF!</definedName>
    <definedName name="FinAllocSS1617">#REF!</definedName>
    <definedName name="FinAllocSS1718">#REF!</definedName>
    <definedName name="FinAllocSS1819">#REF!</definedName>
    <definedName name="fn">[20]Intro!$B$1</definedName>
    <definedName name="FormerAreaTeams">#REF!</definedName>
    <definedName name="Fstpccg">INDIRECT("Threshold!$S$3:$S$"&amp;[19]Threshold!$AH$2)</definedName>
    <definedName name="Fstptrust">INDIRECT("Threshold!$W$3:$W$"&amp;[19]Threshold!$AH$2)</definedName>
    <definedName name="Ftrust">"INDIRECT(""Threshold!$Y$3:$Y$""&amp;$AH$2)"</definedName>
    <definedName name="gfff" hidden="1">{"CHARGE",#N/A,FALSE,"401C11"}</definedName>
    <definedName name="GG" hidden="1">[6]Dnurse!#REF!</definedName>
    <definedName name="GrantStage">[8]Capital!$D$299:$D$303</definedName>
    <definedName name="gross" hidden="1">{"GROSS",#N/A,FALSE,"401C11"}</definedName>
    <definedName name="gross1" hidden="1">{"GROSS",#N/A,FALSE,"401C11"}</definedName>
    <definedName name="hasdfjklhklj" hidden="1">{"NET",#N/A,FALSE,"401C11"}</definedName>
    <definedName name="HCD_ACT">#REF!</definedName>
    <definedName name="HCD_UC">#REF!</definedName>
    <definedName name="help" hidden="1">{"CHARGE",#N/A,FALSE,"401C11"}</definedName>
    <definedName name="hghghhj" hidden="1">{"CHARGE",#N/A,FALSE,"401C11"}</definedName>
    <definedName name="HRG_Codes">#REF!</definedName>
    <definedName name="HTML_CodePage" hidden="1">1252</definedName>
    <definedName name="HTML_Control"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ICD_Codes">#REF!</definedName>
    <definedName name="IMAG_ACT">#REF!</definedName>
    <definedName name="IMAG_UC">#REF!</definedName>
    <definedName name="IMDAgeMatrix">[9]CCG1819!$U$9:$U$200</definedName>
    <definedName name="IMDdecile">#REF!</definedName>
    <definedName name="IMDQuintiles">[9]CCG1819!$S$9:$S$200</definedName>
    <definedName name="Inflation_1617">'[18]Price Adjustments'!$F$4</definedName>
    <definedName name="Inflation_2015_16">#REF!</definedName>
    <definedName name="Inflation_and_Efficiency_1617">'[18]Price Adjustments'!$F$6</definedName>
    <definedName name="Inflation_and_Efficiency_1718">'[14]Price Adjustments'!$F$6</definedName>
    <definedName name="Inflation_Efficiency_2021_22">#REF!</definedName>
    <definedName name="Inflation_Efficiency_PA">'[15]Price Adjustments'!$F$6</definedName>
    <definedName name="JFELL" hidden="1">#REF!</definedName>
    <definedName name="Land_Weight">'[12]Base MFF calcs'!$H$3</definedName>
    <definedName name="LAUCALAUTHWALES">'Population selection'!$B$498:$B$519</definedName>
    <definedName name="list_Core20PLUS">'[21] Lists - for SR+KE'!$E$2:$E$16</definedName>
    <definedName name="list_Products">'[21] Lists - for SR+KE'!$C$3:$C$34</definedName>
    <definedName name="LOCALAUTH">'Population selection'!$B$201:$B$532</definedName>
    <definedName name="LOCALAUTHENG">'Population selection'!$B$201:$B$496</definedName>
    <definedName name="LOCALAUTHNORTHI" localSheetId="9">'[22]Population selection'!$B$521:$B$531</definedName>
    <definedName name="LOCALAUTHNORTHI">'Population selection'!$B$521:$B$531</definedName>
    <definedName name="LOCALAUTHWALES">'Population selection'!$B$498:$B$519</definedName>
    <definedName name="LONDON">#REF!</definedName>
    <definedName name="Lowest_Underlying_MFF">'[12]All Trusts'!$D$2</definedName>
    <definedName name="male">#REF!</definedName>
    <definedName name="maleimprove">#REF!</definedName>
    <definedName name="maletab">#REF!</definedName>
    <definedName name="mbn" hidden="1">#REF!</definedName>
    <definedName name="MFF_2014_15">#REF!</definedName>
    <definedName name="MFF_2016_17">'[23]2016-17 MFF Payment values'!$A$3:$D$241</definedName>
    <definedName name="MinAllocCCG1617">#REF!</definedName>
    <definedName name="MinAllocCCG1718">#REF!</definedName>
    <definedName name="MinAllocCCG1819">#REF!</definedName>
    <definedName name="MinAllocPCM1617">#REF!</definedName>
    <definedName name="MinAllocPCM1718">#REF!</definedName>
    <definedName name="MinAllocPCM1819">#REF!</definedName>
    <definedName name="MinAllocSS1617">#REF!</definedName>
    <definedName name="MinAllocSS1718">#REF!</definedName>
    <definedName name="MinAllocSS1819">#REF!</definedName>
    <definedName name="MinPerCapGrowth">#REF!</definedName>
    <definedName name="MnD_Weight">'[12]Base MFF calcs'!$F$3</definedName>
    <definedName name="month">"Mth07"</definedName>
    <definedName name="NATIONAL">'Population selection'!$B$25:$B$27</definedName>
    <definedName name="nb" hidden="1">#REF!</definedName>
    <definedName name="NEL_ACT">#REF!</definedName>
    <definedName name="NEL_UC">#REF!</definedName>
    <definedName name="NEL_XS_ACT">#REF!</definedName>
    <definedName name="NEL_XS_UC">#REF!</definedName>
    <definedName name="NES_ACT">#REF!</definedName>
    <definedName name="NES_UC">#REF!</definedName>
    <definedName name="newRawPop2018">'[9]Population estimates 1819'!$E$9:$E$200</definedName>
    <definedName name="newRawPop2019">'[9]Population estimates 1819'!$F$9:$F$200</definedName>
    <definedName name="newRawPop2020">'[9]Population estimates 1819'!$G$9:$G$200</definedName>
    <definedName name="newRawPop2021">'[9]Population estimates 1819'!$H$9:$H$200</definedName>
    <definedName name="newRawPop2022">'[9]Population estimates 1819'!$I$9:$I$200</definedName>
    <definedName name="newRawPop2023">'[9]Population estimates 1819'!$J$9:$J$200</definedName>
    <definedName name="NHSE_AreaOffice">#REF!</definedName>
    <definedName name="NHSE_Region">#REF!</definedName>
    <definedName name="NHSENGRE">'Population selection'!$B$150:$B$156</definedName>
    <definedName name="NI_HSCT">'Population selection'!$B$144:$B$148</definedName>
    <definedName name="ODS_Care_Trust_List">#REF!</definedName>
    <definedName name="ODS_List">#REF!</definedName>
    <definedName name="OISIII" hidden="1">#REF!</definedName>
    <definedName name="ONSType">#REF!</definedName>
    <definedName name="OP_PERSONS">#REF!</definedName>
    <definedName name="OPCS_Codes">#REF!</definedName>
    <definedName name="OPROC_ACT">#REF!</definedName>
    <definedName name="OPROC_UC">#REF!</definedName>
    <definedName name="Org_Code">[13]Cover!$C$5</definedName>
    <definedName name="Orgs">OFFSET([16]!Tbl_CSF[[#Headers],[Organisation]],MATCH("start",[16]!Tbl_CSF[[#Data],[Lookup]],FALSE),,COUNTIFS([16]!Tbl_CSF[[#Data],[Region]],'[24]CCG In-Year'!$B$2),1)</definedName>
    <definedName name="ORGTYPE" localSheetId="7">'[25]Population selection'!$L$12:$L$19</definedName>
    <definedName name="ORGTYPE" localSheetId="8">'[25]Population selection'!$L$12:$L$19</definedName>
    <definedName name="ORGTYPE" localSheetId="0">'[26]Population selection'!$L$12:$L$18</definedName>
    <definedName name="ORGTYPE" localSheetId="6">'[25]Population selection'!$L$12:$L$19</definedName>
    <definedName name="ORGTYPE" localSheetId="9">'[22]Population selection'!$L$5:$L$14</definedName>
    <definedName name="ORGTYPE" localSheetId="5">'[25]Population selection'!$L$12:$L$19</definedName>
    <definedName name="ORGTYPE">'Population selection'!$L$5:$L$14</definedName>
    <definedName name="ORGTYPE2">'[25]Population selection'!$L$12:$L$19</definedName>
    <definedName name="ORGTYPE3">'[25]Population selection'!$L$12:$L$19</definedName>
    <definedName name="Other_Weight">'[12]Base MFF calcs'!$I$3</definedName>
    <definedName name="PAth">[16]Setup!$A$3</definedName>
    <definedName name="Pathway_by_HRG">'[11]NHSE Currency Design'!$A$22:$D$156</definedName>
    <definedName name="Pathway_names">'[11]NHSE Currency Design'!$A$5:$A$7</definedName>
    <definedName name="Payscale">#REF!</definedName>
    <definedName name="PCMCloseTarget1617FirstRow">#REF!</definedName>
    <definedName name="PCMedBaseline1516">#REF!</definedName>
    <definedName name="PCMedCloseDfT1516">#REF!</definedName>
    <definedName name="PCMedQuanta">#REF!</definedName>
    <definedName name="PCMedWPop1516">#REF!</definedName>
    <definedName name="PCMOpenTarget1617FirstRow">#REF!</definedName>
    <definedName name="PCOthCloseDfT1516">#REF!</definedName>
    <definedName name="PCOtherBaseline1516">#REF!</definedName>
    <definedName name="PCOtherCloseTarget1617FirstRow">#REF!</definedName>
    <definedName name="PCOtherOpenTarget1617FirstRow">#REF!</definedName>
    <definedName name="PCOtherQuanta">#REF!</definedName>
    <definedName name="PCOtherWPop1516">#REF!</definedName>
    <definedName name="PER100K">'Population selection'!$B$23</definedName>
    <definedName name="Persons">#REF!</definedName>
    <definedName name="Planning_Year">"2019/20"</definedName>
    <definedName name="PopCache_GL_INTERFACE_REFERENCE7" hidden="1">[27]PopCache!$A$1:$A$2</definedName>
    <definedName name="Popindicator">'Population selection'!$B$549:$B$564</definedName>
    <definedName name="Previous_Year">"2018/19"</definedName>
    <definedName name="_xlnm.Print_Area" localSheetId="7">'Capacity (local prices)'!$B$1:$AP$198</definedName>
    <definedName name="_xlnm.Print_Area" localSheetId="8">'Capacity (national prices)'!$B$1:$AI$196</definedName>
    <definedName name="_xlnm.Print_Area" localSheetId="1">Contents!$A$1:$P$29</definedName>
    <definedName name="_xlnm.Print_Area" localSheetId="0">Cover!$A$1:$P$24</definedName>
    <definedName name="_xlnm.Print_Area" localSheetId="6">'Financial impact (cash)'!$B$1:$I$25</definedName>
    <definedName name="_xlnm.Print_Area" localSheetId="3">'Inputs and eligible population'!$A$2:$P$150</definedName>
    <definedName name="_xlnm.Print_Area" localSheetId="2">'Population selection'!$B$11:$J$17</definedName>
    <definedName name="_xlnm.Print_Area" localSheetId="5">Summary!$B$1:$H$60</definedName>
    <definedName name="_xlnm.Print_Area" localSheetId="4">'Unit costs'!$B$1:$O$70</definedName>
    <definedName name="qfx" hidden="1">{"NET",#N/A,FALSE,"401C11"}</definedName>
    <definedName name="QR1_Other_Mandatory">'[18]Price Adjustments'!$D$95</definedName>
    <definedName name="QR1_Renal_CKD">'[15]Price Adjustments'!$J$8</definedName>
    <definedName name="QR1_Unbundled">'[15]Price Adjustments'!$J$7</definedName>
    <definedName name="RAD_ACT">#REF!</definedName>
    <definedName name="Rad_Tariff_Calc">[15]Rad_Calc!$B$20:$AA$41</definedName>
    <definedName name="RAD_UC">#REF!</definedName>
    <definedName name="RawPop2015">#REF!</definedName>
    <definedName name="RawPop2016">#REF!</definedName>
    <definedName name="RawPop2017">#REF!</definedName>
    <definedName name="RawPop2018">#REF!</definedName>
    <definedName name="RawPop2019">#REF!</definedName>
    <definedName name="RawPop2020">#REF!</definedName>
    <definedName name="Region">"Y54"</definedName>
    <definedName name="Region18">[9]CCG1819!$E$9:$E$200</definedName>
    <definedName name="REHAB_ACT">#REF!</definedName>
    <definedName name="REHAB_UC">#REF!</definedName>
    <definedName name="RENAL_ACT">#REF!</definedName>
    <definedName name="Renal_CKD_SMF">'[15]Price Adjustments'!#REF!</definedName>
    <definedName name="Renal_CKD_Tariff_Calc">[15]Renal_CKD_Calc!$B$14:$T$27</definedName>
    <definedName name="RENAL_UC">#REF!</definedName>
    <definedName name="rngComparison3">OFFSET([28]Summary!$O$5,0,0,COUNTA([28]Summary!$O:$O)-2,)</definedName>
    <definedName name="round_dp">#REF!</definedName>
    <definedName name="RP_ACT">#REF!</definedName>
    <definedName name="RP_UC">#REF!</definedName>
    <definedName name="rytry" hidden="1">{"NET",#N/A,FALSE,"401C11"}</definedName>
    <definedName name="Scaling_2021_22">#REF!</definedName>
    <definedName name="Scaling_Factor">[11]Calculations!$B$146</definedName>
    <definedName name="SCF_Other_Mandatory">'[14]Price Adjustments'!$L$10</definedName>
    <definedName name="SCF_Renal_CKD">'[15]Price Adjustments'!$L$8</definedName>
    <definedName name="SCF_Unbundled">'[15]Price Adjustments'!$L$7</definedName>
    <definedName name="sheet1">#REF!</definedName>
    <definedName name="sheet3">#REF!</definedName>
    <definedName name="SPC_ACT">#REF!</definedName>
    <definedName name="SPC_UC">#REF!</definedName>
    <definedName name="SSBaseline1516">#REF!</definedName>
    <definedName name="SSCloseDfT1516">#REF!</definedName>
    <definedName name="SSCloseTarget1617FirstRow">#REF!</definedName>
    <definedName name="SSOpenTarget1617FirstRow">#REF!</definedName>
    <definedName name="SSQuanta">#REF!</definedName>
    <definedName name="SSWPop1516">#REF!</definedName>
    <definedName name="Staff_Weight">'[12]Base MFF calcs'!$E$3</definedName>
    <definedName name="Start_12">[29]CMDT!#REF!</definedName>
    <definedName name="Start_13">[29]AE!#REF!</definedName>
    <definedName name="Start_14">[29]CHEM!#REF!</definedName>
    <definedName name="status">"banner"</definedName>
    <definedName name="Table3.4" hidden="1">{"CHARGE",#N/A,FALSE,"401C11"}</definedName>
    <definedName name="TableName">"Dummy"</definedName>
    <definedName name="Tariff_Year">#REF!</definedName>
    <definedName name="Test23" hidden="1">{"NET",#N/A,FALSE,"401C11"}</definedName>
    <definedName name="Unbundled_2014_15_Tariff">#REF!</definedName>
    <definedName name="Unbundled_2015_16_Tariff">#REF!</definedName>
    <definedName name="Unbundled_SMF">'[15]Price Adjustments'!$R$18:$S$167</definedName>
    <definedName name="UnderLyingCategories">INDIRECT("Tbl_Underlying[Category]")</definedName>
    <definedName name="Uplift_for_antenatal_volumes">'[11]NHSE Assumptions'!$B$12</definedName>
    <definedName name="WALESHB">'Population selection'!$B$136:$B$142</definedName>
    <definedName name="wert" hidden="1">{"GROSS",#N/A,FALSE,"401C11"}</definedName>
    <definedName name="wombat" hidden="1">#REF!</definedName>
    <definedName name="wrn.CHARGE." hidden="1">{"CHARGE",#N/A,FALSE,"401C11"}</definedName>
    <definedName name="wrn.GROSS." hidden="1">{"GROSS",#N/A,FALSE,"401C11"}</definedName>
    <definedName name="wrn.NET." hidden="1">{"NET",#N/A,FALSE,"401C11"}</definedName>
    <definedName name="x">#REF!</definedName>
    <definedName name="Xrange">INDIRECT("Threshold!$AB$3:$AB$"&amp;[19]Threshold!$AH$2)</definedName>
    <definedName name="xxx" hidden="1">{"CHARGE",#N/A,FALSE,"401C11"}</definedName>
    <definedName name="y">'[12]Base MFF calcs'!$H$3</definedName>
    <definedName name="Yccg">INDIRECT("Threshold!$AD$3:$AD$"&amp;[19]Threshold!$AH$2)</definedName>
    <definedName name="Yrs">#REF!</definedName>
    <definedName name="Ytrust">INDIRECT("Threshold!$AE$3:$AE$"&amp;[19]Threshold!$AH$2)</definedName>
    <definedName name="yyy" hidden="1">{"GROSS",#N/A,FALSE,"401C11"}</definedName>
    <definedName name="z">'[12]Base MFF calcs'!$G$3</definedName>
    <definedName name="zzz" hidden="1">{"NET",#N/A,FALSE,"401C11"}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47" l="1"/>
  <c r="E91" i="46"/>
  <c r="F91" i="46"/>
  <c r="G91" i="46"/>
  <c r="H91" i="46"/>
  <c r="E92" i="46"/>
  <c r="F92" i="46"/>
  <c r="G92" i="46"/>
  <c r="H92" i="46"/>
  <c r="D92" i="46"/>
  <c r="D91" i="46"/>
  <c r="B54" i="47" l="1"/>
  <c r="E45" i="56"/>
  <c r="F45" i="56"/>
  <c r="G45" i="56"/>
  <c r="H45" i="56"/>
  <c r="D45" i="56"/>
  <c r="H29" i="21" l="1"/>
  <c r="H30" i="21"/>
  <c r="H31" i="21"/>
  <c r="B60" i="47"/>
  <c r="B51" i="47"/>
  <c r="B52" i="47"/>
  <c r="B53" i="47"/>
  <c r="B55" i="47"/>
  <c r="B56" i="47"/>
  <c r="B57" i="47"/>
  <c r="B58" i="47"/>
  <c r="B59" i="47"/>
  <c r="B50" i="47"/>
  <c r="B49" i="47"/>
  <c r="I60" i="46"/>
  <c r="N26" i="21"/>
  <c r="N27" i="21"/>
  <c r="N28" i="21"/>
  <c r="N29" i="21"/>
  <c r="N30" i="21"/>
  <c r="N31" i="21"/>
  <c r="N25" i="21"/>
  <c r="L32" i="21"/>
  <c r="I103" i="50"/>
  <c r="J103" i="50" s="1"/>
  <c r="J66" i="46" s="1"/>
  <c r="I101" i="50"/>
  <c r="J101" i="50" s="1"/>
  <c r="I117" i="50"/>
  <c r="I115" i="50"/>
  <c r="I113" i="50"/>
  <c r="I111" i="50"/>
  <c r="I109" i="50"/>
  <c r="I107" i="50"/>
  <c r="I105" i="50"/>
  <c r="I99" i="50"/>
  <c r="J99" i="50" s="1"/>
  <c r="I97" i="50"/>
  <c r="J97" i="50" s="1"/>
  <c r="J59" i="46" s="1"/>
  <c r="I60" i="56"/>
  <c r="J65" i="56" l="1"/>
  <c r="J145" i="46"/>
  <c r="J65" i="46"/>
  <c r="J145" i="56"/>
  <c r="J60" i="56"/>
  <c r="J60" i="46"/>
  <c r="J59" i="56"/>
  <c r="J140" i="56"/>
  <c r="J66" i="56"/>
  <c r="J140" i="46"/>
  <c r="N32" i="21"/>
  <c r="H47" i="59"/>
  <c r="E47" i="59"/>
  <c r="D47" i="59"/>
  <c r="C46" i="59"/>
  <c r="E46" i="59" s="1"/>
  <c r="G45" i="59"/>
  <c r="E45" i="59"/>
  <c r="D45" i="59"/>
  <c r="H44" i="59"/>
  <c r="G44" i="59"/>
  <c r="E44" i="59"/>
  <c r="D44" i="59"/>
  <c r="C43" i="59"/>
  <c r="H43" i="59" s="1"/>
  <c r="H42" i="59"/>
  <c r="E42" i="59"/>
  <c r="D42" i="59"/>
  <c r="C41" i="59"/>
  <c r="E41" i="59" s="1"/>
  <c r="C40" i="59"/>
  <c r="E40" i="59" s="1"/>
  <c r="C39" i="59"/>
  <c r="E39" i="59" s="1"/>
  <c r="C38" i="59"/>
  <c r="E38" i="59" s="1"/>
  <c r="C37" i="59"/>
  <c r="E37" i="59" s="1"/>
  <c r="W36" i="59"/>
  <c r="J42" i="59" s="1"/>
  <c r="C36" i="59"/>
  <c r="E36" i="59" s="1"/>
  <c r="C35" i="59"/>
  <c r="E35" i="59" s="1"/>
  <c r="C34" i="59"/>
  <c r="E34" i="59" s="1"/>
  <c r="C33" i="59"/>
  <c r="E33" i="59" s="1"/>
  <c r="C32" i="59"/>
  <c r="E32" i="59" s="1"/>
  <c r="C31" i="59"/>
  <c r="E31" i="59" s="1"/>
  <c r="C30" i="59"/>
  <c r="E30" i="59" s="1"/>
  <c r="C29" i="59"/>
  <c r="E29" i="59" s="1"/>
  <c r="W28" i="59"/>
  <c r="E28" i="59"/>
  <c r="H28" i="59" s="1"/>
  <c r="D28" i="59"/>
  <c r="C28" i="59"/>
  <c r="E27" i="59"/>
  <c r="H27" i="59" s="1"/>
  <c r="D27" i="59"/>
  <c r="C27" i="59"/>
  <c r="E26" i="59"/>
  <c r="H26" i="59" s="1"/>
  <c r="D26" i="59"/>
  <c r="C26" i="59"/>
  <c r="E25" i="59"/>
  <c r="H25" i="59" s="1"/>
  <c r="D25" i="59"/>
  <c r="C25" i="59"/>
  <c r="E24" i="59"/>
  <c r="H24" i="59" s="1"/>
  <c r="D24" i="59"/>
  <c r="C24" i="59"/>
  <c r="E23" i="59"/>
  <c r="H23" i="59" s="1"/>
  <c r="D23" i="59"/>
  <c r="C23" i="59"/>
  <c r="E22" i="59"/>
  <c r="H22" i="59" s="1"/>
  <c r="D22" i="59"/>
  <c r="C22" i="59"/>
  <c r="D21" i="59"/>
  <c r="C21" i="59"/>
  <c r="E21" i="59" s="1"/>
  <c r="D20" i="59"/>
  <c r="C20" i="59"/>
  <c r="E20" i="59" s="1"/>
  <c r="W19" i="59"/>
  <c r="E19" i="59"/>
  <c r="D19" i="59"/>
  <c r="C19" i="59"/>
  <c r="E18" i="59"/>
  <c r="D18" i="59"/>
  <c r="C18" i="59"/>
  <c r="E17" i="59"/>
  <c r="D17" i="59"/>
  <c r="C17" i="59"/>
  <c r="E16" i="59"/>
  <c r="D16" i="59"/>
  <c r="C16" i="59"/>
  <c r="E15" i="59"/>
  <c r="D15" i="59"/>
  <c r="C15" i="59"/>
  <c r="E14" i="59"/>
  <c r="D14" i="59"/>
  <c r="C14" i="59"/>
  <c r="E13" i="59"/>
  <c r="D13" i="59"/>
  <c r="C13" i="59"/>
  <c r="E12" i="59"/>
  <c r="D12" i="59"/>
  <c r="C12" i="59"/>
  <c r="J111" i="56" l="1"/>
  <c r="J111" i="46"/>
  <c r="H34" i="59"/>
  <c r="G34" i="59"/>
  <c r="F34" i="59"/>
  <c r="I34" i="59" s="1"/>
  <c r="K34" i="59" s="1"/>
  <c r="H36" i="59"/>
  <c r="G36" i="59"/>
  <c r="F36" i="59"/>
  <c r="I36" i="59" s="1"/>
  <c r="K36" i="59" s="1"/>
  <c r="H41" i="59"/>
  <c r="G41" i="59"/>
  <c r="F41" i="59"/>
  <c r="I41" i="59" s="1"/>
  <c r="K41" i="59" s="1"/>
  <c r="H35" i="59"/>
  <c r="I35" i="59" s="1"/>
  <c r="K35" i="59" s="1"/>
  <c r="G35" i="59"/>
  <c r="F35" i="59"/>
  <c r="H29" i="59"/>
  <c r="I29" i="59"/>
  <c r="K29" i="59" s="1"/>
  <c r="G29" i="59"/>
  <c r="F29" i="59"/>
  <c r="H20" i="59"/>
  <c r="I20" i="59" s="1"/>
  <c r="K20" i="59" s="1"/>
  <c r="G20" i="59"/>
  <c r="F20" i="59"/>
  <c r="H21" i="59"/>
  <c r="G21" i="59"/>
  <c r="F21" i="59"/>
  <c r="I21" i="59" s="1"/>
  <c r="K21" i="59" s="1"/>
  <c r="H30" i="59"/>
  <c r="I30" i="59" s="1"/>
  <c r="K30" i="59" s="1"/>
  <c r="G30" i="59"/>
  <c r="F30" i="59"/>
  <c r="H31" i="59"/>
  <c r="G31" i="59"/>
  <c r="F31" i="59"/>
  <c r="I31" i="59" s="1"/>
  <c r="K31" i="59" s="1"/>
  <c r="I38" i="59"/>
  <c r="K38" i="59" s="1"/>
  <c r="H38" i="59"/>
  <c r="G38" i="59"/>
  <c r="F38" i="59"/>
  <c r="I12" i="59"/>
  <c r="K12" i="59" s="1"/>
  <c r="I14" i="59"/>
  <c r="K14" i="59" s="1"/>
  <c r="G37" i="59"/>
  <c r="H37" i="59"/>
  <c r="F37" i="59"/>
  <c r="I37" i="59" s="1"/>
  <c r="K37" i="59" s="1"/>
  <c r="H46" i="59"/>
  <c r="G46" i="59"/>
  <c r="I46" i="59" s="1"/>
  <c r="K46" i="59" s="1"/>
  <c r="F46" i="59"/>
  <c r="H32" i="59"/>
  <c r="G32" i="59"/>
  <c r="F32" i="59"/>
  <c r="I32" i="59" s="1"/>
  <c r="K32" i="59" s="1"/>
  <c r="H39" i="59"/>
  <c r="I39" i="59" s="1"/>
  <c r="K39" i="59" s="1"/>
  <c r="G39" i="59"/>
  <c r="F39" i="59"/>
  <c r="I19" i="59"/>
  <c r="K19" i="59" s="1"/>
  <c r="H33" i="59"/>
  <c r="G33" i="59"/>
  <c r="F33" i="59"/>
  <c r="I33" i="59" s="1"/>
  <c r="K33" i="59" s="1"/>
  <c r="H40" i="59"/>
  <c r="G40" i="59"/>
  <c r="F40" i="59"/>
  <c r="I40" i="59" s="1"/>
  <c r="K40" i="59" s="1"/>
  <c r="F13" i="59"/>
  <c r="F16" i="59"/>
  <c r="I16" i="59" s="1"/>
  <c r="K16" i="59" s="1"/>
  <c r="F17" i="59"/>
  <c r="F18" i="59"/>
  <c r="I18" i="59" s="1"/>
  <c r="K18" i="59" s="1"/>
  <c r="D29" i="59"/>
  <c r="D30" i="59"/>
  <c r="D31" i="59"/>
  <c r="D32" i="59"/>
  <c r="D33" i="59"/>
  <c r="D34" i="59"/>
  <c r="D35" i="59"/>
  <c r="D36" i="59"/>
  <c r="J44" i="59"/>
  <c r="F15" i="59"/>
  <c r="I15" i="59" s="1"/>
  <c r="K15" i="59" s="1"/>
  <c r="G12" i="59"/>
  <c r="G13" i="59"/>
  <c r="I13" i="59" s="1"/>
  <c r="K13" i="59" s="1"/>
  <c r="G14" i="59"/>
  <c r="G15" i="59"/>
  <c r="G16" i="59"/>
  <c r="G17" i="59"/>
  <c r="I17" i="59" s="1"/>
  <c r="K17" i="59" s="1"/>
  <c r="G18" i="59"/>
  <c r="G19" i="59"/>
  <c r="F22" i="59"/>
  <c r="I22" i="59" s="1"/>
  <c r="K22" i="59" s="1"/>
  <c r="F23" i="59"/>
  <c r="F24" i="59"/>
  <c r="F25" i="59"/>
  <c r="F26" i="59"/>
  <c r="I26" i="59" s="1"/>
  <c r="K26" i="59" s="1"/>
  <c r="F27" i="59"/>
  <c r="I27" i="59" s="1"/>
  <c r="K27" i="59" s="1"/>
  <c r="F28" i="59"/>
  <c r="D37" i="59"/>
  <c r="D38" i="59"/>
  <c r="D39" i="59"/>
  <c r="D40" i="59"/>
  <c r="D41" i="59"/>
  <c r="D43" i="59"/>
  <c r="D46" i="59"/>
  <c r="F14" i="59"/>
  <c r="F19" i="59"/>
  <c r="H12" i="59"/>
  <c r="H13" i="59"/>
  <c r="H14" i="59"/>
  <c r="H15" i="59"/>
  <c r="H16" i="59"/>
  <c r="H17" i="59"/>
  <c r="H18" i="59"/>
  <c r="H19" i="59"/>
  <c r="G22" i="59"/>
  <c r="G23" i="59"/>
  <c r="G24" i="59"/>
  <c r="G25" i="59"/>
  <c r="G26" i="59"/>
  <c r="G27" i="59"/>
  <c r="G28" i="59"/>
  <c r="F42" i="59"/>
  <c r="I42" i="59" s="1"/>
  <c r="K42" i="59" s="1"/>
  <c r="E43" i="59"/>
  <c r="F47" i="59"/>
  <c r="I47" i="59" s="1"/>
  <c r="K47" i="59" s="1"/>
  <c r="J43" i="59"/>
  <c r="F12" i="59"/>
  <c r="G42" i="59"/>
  <c r="F44" i="59"/>
  <c r="I44" i="59" s="1"/>
  <c r="K44" i="59" s="1"/>
  <c r="F45" i="59"/>
  <c r="G47" i="59"/>
  <c r="H45" i="59"/>
  <c r="I45" i="59" s="1"/>
  <c r="K45" i="59" s="1"/>
  <c r="I25" i="59" l="1"/>
  <c r="K25" i="59" s="1"/>
  <c r="I24" i="59"/>
  <c r="K24" i="59" s="1"/>
  <c r="I23" i="59"/>
  <c r="K23" i="59" s="1"/>
  <c r="G43" i="59"/>
  <c r="F43" i="59"/>
  <c r="I43" i="59" s="1"/>
  <c r="K43" i="59" s="1"/>
  <c r="I28" i="59"/>
  <c r="K28" i="59" s="1"/>
  <c r="J99" i="56" l="1"/>
  <c r="J98" i="56"/>
  <c r="J92" i="56"/>
  <c r="J91" i="56"/>
  <c r="J105" i="50" l="1"/>
  <c r="J107" i="50" l="1"/>
  <c r="J78" i="56" s="1"/>
  <c r="J72" i="56"/>
  <c r="J109" i="50"/>
  <c r="J73" i="56" s="1"/>
  <c r="J111" i="50"/>
  <c r="J79" i="56" s="1"/>
  <c r="J150" i="46"/>
  <c r="J150" i="56"/>
  <c r="J72" i="46"/>
  <c r="B148" i="56"/>
  <c r="J164" i="56"/>
  <c r="B49" i="56"/>
  <c r="B48" i="56"/>
  <c r="B47" i="56"/>
  <c r="B46" i="56"/>
  <c r="B35" i="56"/>
  <c r="B34" i="56"/>
  <c r="B33" i="56"/>
  <c r="B32" i="56"/>
  <c r="J78" i="46" l="1"/>
  <c r="J155" i="46"/>
  <c r="J155" i="56"/>
  <c r="J73" i="46"/>
  <c r="J79" i="46"/>
  <c r="B148" i="46"/>
  <c r="B43" i="47"/>
  <c r="B46" i="46"/>
  <c r="B47" i="46"/>
  <c r="B48" i="46"/>
  <c r="B49" i="46"/>
  <c r="E55" i="50" l="1"/>
  <c r="G118" i="50"/>
  <c r="F118" i="50"/>
  <c r="K44" i="58"/>
  <c r="K3" i="58"/>
  <c r="K4" i="58"/>
  <c r="K5" i="58"/>
  <c r="K6" i="58"/>
  <c r="K7" i="58"/>
  <c r="K8" i="58"/>
  <c r="K9" i="58"/>
  <c r="K10" i="58"/>
  <c r="K11" i="58"/>
  <c r="K12" i="58"/>
  <c r="K13" i="58"/>
  <c r="K14" i="58"/>
  <c r="K15" i="58"/>
  <c r="K16" i="58"/>
  <c r="K17" i="58"/>
  <c r="K18" i="58"/>
  <c r="K19" i="58"/>
  <c r="K20" i="58"/>
  <c r="K21" i="58"/>
  <c r="K22" i="58"/>
  <c r="K23" i="58"/>
  <c r="K24" i="58"/>
  <c r="K25" i="58"/>
  <c r="K26" i="58"/>
  <c r="K27" i="58"/>
  <c r="K28" i="58"/>
  <c r="K29" i="58"/>
  <c r="K30" i="58"/>
  <c r="K31" i="58"/>
  <c r="K32" i="58"/>
  <c r="K33" i="58"/>
  <c r="K34" i="58"/>
  <c r="K35" i="58"/>
  <c r="K36" i="58"/>
  <c r="K37" i="58"/>
  <c r="K38" i="58"/>
  <c r="K39" i="58"/>
  <c r="K40" i="58"/>
  <c r="K41" i="58"/>
  <c r="K42" i="58"/>
  <c r="K43" i="58"/>
  <c r="K2" i="58"/>
  <c r="I44" i="58"/>
  <c r="B39" i="21"/>
  <c r="N39" i="21" s="1"/>
  <c r="J85" i="56" l="1"/>
  <c r="J84" i="46"/>
  <c r="J84" i="56"/>
  <c r="J85" i="46"/>
  <c r="J159" i="46" s="1"/>
  <c r="J159" i="56" l="1"/>
  <c r="M44" i="58"/>
  <c r="L44" i="58"/>
  <c r="B44" i="58"/>
  <c r="C43" i="58"/>
  <c r="D43" i="58" s="1"/>
  <c r="E43" i="58" s="1"/>
  <c r="C42" i="58"/>
  <c r="D42" i="58" s="1"/>
  <c r="E42" i="58" s="1"/>
  <c r="C41" i="58"/>
  <c r="D41" i="58" s="1"/>
  <c r="E41" i="58" s="1"/>
  <c r="C40" i="58"/>
  <c r="D40" i="58" s="1"/>
  <c r="E40" i="58" s="1"/>
  <c r="C39" i="58"/>
  <c r="D39" i="58" s="1"/>
  <c r="E39" i="58" s="1"/>
  <c r="C38" i="58"/>
  <c r="D38" i="58" s="1"/>
  <c r="E38" i="58" s="1"/>
  <c r="C37" i="58"/>
  <c r="D37" i="58" s="1"/>
  <c r="E37" i="58" s="1"/>
  <c r="C36" i="58"/>
  <c r="D36" i="58" s="1"/>
  <c r="E36" i="58" s="1"/>
  <c r="C35" i="58"/>
  <c r="D35" i="58" s="1"/>
  <c r="E35" i="58" s="1"/>
  <c r="C34" i="58"/>
  <c r="D34" i="58" s="1"/>
  <c r="E34" i="58" s="1"/>
  <c r="C33" i="58"/>
  <c r="D33" i="58" s="1"/>
  <c r="E33" i="58" s="1"/>
  <c r="C32" i="58"/>
  <c r="D32" i="58" s="1"/>
  <c r="E32" i="58" s="1"/>
  <c r="C31" i="58"/>
  <c r="D31" i="58" s="1"/>
  <c r="E31" i="58" s="1"/>
  <c r="C30" i="58"/>
  <c r="D30" i="58" s="1"/>
  <c r="E30" i="58" s="1"/>
  <c r="C29" i="58"/>
  <c r="D29" i="58" s="1"/>
  <c r="E29" i="58" s="1"/>
  <c r="C28" i="58"/>
  <c r="D28" i="58" s="1"/>
  <c r="E28" i="58" s="1"/>
  <c r="C27" i="58"/>
  <c r="D27" i="58" s="1"/>
  <c r="E27" i="58" s="1"/>
  <c r="C26" i="58"/>
  <c r="D26" i="58" s="1"/>
  <c r="E26" i="58" s="1"/>
  <c r="C25" i="58"/>
  <c r="D25" i="58" s="1"/>
  <c r="E25" i="58" s="1"/>
  <c r="C24" i="58"/>
  <c r="D24" i="58" s="1"/>
  <c r="E24" i="58" s="1"/>
  <c r="C23" i="58"/>
  <c r="D23" i="58" s="1"/>
  <c r="E23" i="58" s="1"/>
  <c r="C22" i="58"/>
  <c r="D22" i="58" s="1"/>
  <c r="E22" i="58" s="1"/>
  <c r="C21" i="58"/>
  <c r="D21" i="58" s="1"/>
  <c r="E21" i="58" s="1"/>
  <c r="C20" i="58"/>
  <c r="D20" i="58" s="1"/>
  <c r="E20" i="58" s="1"/>
  <c r="C19" i="58"/>
  <c r="D19" i="58" s="1"/>
  <c r="E19" i="58" s="1"/>
  <c r="C18" i="58"/>
  <c r="D18" i="58" s="1"/>
  <c r="E18" i="58" s="1"/>
  <c r="C17" i="58"/>
  <c r="D17" i="58" s="1"/>
  <c r="E17" i="58" s="1"/>
  <c r="C16" i="58"/>
  <c r="D16" i="58" s="1"/>
  <c r="E16" i="58" s="1"/>
  <c r="C15" i="58"/>
  <c r="D15" i="58" s="1"/>
  <c r="E15" i="58" s="1"/>
  <c r="C14" i="58"/>
  <c r="D14" i="58" s="1"/>
  <c r="E14" i="58" s="1"/>
  <c r="C13" i="58"/>
  <c r="D13" i="58" s="1"/>
  <c r="E13" i="58" s="1"/>
  <c r="C12" i="58"/>
  <c r="D12" i="58" s="1"/>
  <c r="E12" i="58" s="1"/>
  <c r="C11" i="58"/>
  <c r="D11" i="58" s="1"/>
  <c r="E11" i="58" s="1"/>
  <c r="C10" i="58"/>
  <c r="D10" i="58" s="1"/>
  <c r="E10" i="58" s="1"/>
  <c r="C9" i="58"/>
  <c r="D9" i="58" s="1"/>
  <c r="E9" i="58" s="1"/>
  <c r="C8" i="58"/>
  <c r="D8" i="58" s="1"/>
  <c r="E8" i="58" s="1"/>
  <c r="C7" i="58"/>
  <c r="D7" i="58" s="1"/>
  <c r="E7" i="58" s="1"/>
  <c r="C6" i="58"/>
  <c r="D6" i="58" s="1"/>
  <c r="E6" i="58" s="1"/>
  <c r="C5" i="58"/>
  <c r="D5" i="58" s="1"/>
  <c r="E5" i="58" s="1"/>
  <c r="C4" i="58"/>
  <c r="D4" i="58" s="1"/>
  <c r="E4" i="58" s="1"/>
  <c r="C3" i="58"/>
  <c r="D3" i="58" s="1"/>
  <c r="E3" i="58" s="1"/>
  <c r="C2" i="58"/>
  <c r="D2" i="58" s="1"/>
  <c r="C44" i="58" l="1"/>
  <c r="G4" i="58"/>
  <c r="H4" i="58" s="1"/>
  <c r="F4" i="58"/>
  <c r="G36" i="58"/>
  <c r="H36" i="58" s="1"/>
  <c r="F36" i="58"/>
  <c r="G14" i="58"/>
  <c r="H14" i="58" s="1"/>
  <c r="F14" i="58"/>
  <c r="G10" i="58"/>
  <c r="H10" i="58" s="1"/>
  <c r="F10" i="58"/>
  <c r="G19" i="58"/>
  <c r="H19" i="58" s="1"/>
  <c r="F19" i="58"/>
  <c r="F28" i="58"/>
  <c r="G28" i="58"/>
  <c r="H28" i="58" s="1"/>
  <c r="G33" i="58"/>
  <c r="H33" i="58" s="1"/>
  <c r="F33" i="58"/>
  <c r="G42" i="58"/>
  <c r="H42" i="58" s="1"/>
  <c r="F42" i="58"/>
  <c r="G6" i="58"/>
  <c r="H6" i="58" s="1"/>
  <c r="F6" i="58"/>
  <c r="F15" i="58"/>
  <c r="G15" i="58"/>
  <c r="H15" i="58" s="1"/>
  <c r="F24" i="58"/>
  <c r="G24" i="58"/>
  <c r="H24" i="58" s="1"/>
  <c r="G29" i="58"/>
  <c r="H29" i="58" s="1"/>
  <c r="F29" i="58"/>
  <c r="G38" i="58"/>
  <c r="H38" i="58" s="1"/>
  <c r="F38" i="58"/>
  <c r="F27" i="58"/>
  <c r="G27" i="58"/>
  <c r="H27" i="58" s="1"/>
  <c r="G16" i="58"/>
  <c r="H16" i="58" s="1"/>
  <c r="F16" i="58"/>
  <c r="G41" i="58"/>
  <c r="H41" i="58" s="1"/>
  <c r="F41" i="58"/>
  <c r="G23" i="58"/>
  <c r="H23" i="58" s="1"/>
  <c r="F23" i="58"/>
  <c r="F11" i="58"/>
  <c r="G11" i="58"/>
  <c r="H11" i="58" s="1"/>
  <c r="G35" i="58"/>
  <c r="H35" i="58" s="1"/>
  <c r="F35" i="58"/>
  <c r="G18" i="58"/>
  <c r="H18" i="58" s="1"/>
  <c r="F18" i="58"/>
  <c r="D44" i="58"/>
  <c r="F20" i="58"/>
  <c r="G20" i="58"/>
  <c r="H20" i="58" s="1"/>
  <c r="G25" i="58"/>
  <c r="H25" i="58" s="1"/>
  <c r="F25" i="58"/>
  <c r="G34" i="58"/>
  <c r="H34" i="58" s="1"/>
  <c r="F34" i="58"/>
  <c r="G43" i="58"/>
  <c r="H43" i="58" s="1"/>
  <c r="F43" i="58"/>
  <c r="G7" i="58"/>
  <c r="H7" i="58" s="1"/>
  <c r="F7" i="58"/>
  <c r="G21" i="58"/>
  <c r="H21" i="58" s="1"/>
  <c r="F21" i="58"/>
  <c r="G30" i="58"/>
  <c r="H30" i="58" s="1"/>
  <c r="F30" i="58"/>
  <c r="G39" i="58"/>
  <c r="H39" i="58" s="1"/>
  <c r="F39" i="58"/>
  <c r="G3" i="58"/>
  <c r="H3" i="58" s="1"/>
  <c r="F3" i="58"/>
  <c r="F12" i="58"/>
  <c r="G12" i="58"/>
  <c r="H12" i="58" s="1"/>
  <c r="G17" i="58"/>
  <c r="H17" i="58" s="1"/>
  <c r="F17" i="58"/>
  <c r="G26" i="58"/>
  <c r="H26" i="58" s="1"/>
  <c r="F26" i="58"/>
  <c r="F8" i="58"/>
  <c r="G8" i="58"/>
  <c r="H8" i="58" s="1"/>
  <c r="G13" i="58"/>
  <c r="H13" i="58" s="1"/>
  <c r="F13" i="58"/>
  <c r="G22" i="58"/>
  <c r="H22" i="58" s="1"/>
  <c r="F22" i="58"/>
  <c r="G31" i="58"/>
  <c r="H31" i="58" s="1"/>
  <c r="F31" i="58"/>
  <c r="G40" i="58"/>
  <c r="H40" i="58" s="1"/>
  <c r="F40" i="58"/>
  <c r="G9" i="58"/>
  <c r="H9" i="58" s="1"/>
  <c r="F9" i="58"/>
  <c r="G5" i="58"/>
  <c r="H5" i="58" s="1"/>
  <c r="F5" i="58"/>
  <c r="G32" i="58"/>
  <c r="H32" i="58" s="1"/>
  <c r="F32" i="58"/>
  <c r="G37" i="58"/>
  <c r="H37" i="58" s="1"/>
  <c r="F37" i="58"/>
  <c r="E2" i="58"/>
  <c r="G2" i="58" l="1"/>
  <c r="F2" i="58"/>
  <c r="F44" i="58" s="1"/>
  <c r="E44" i="58"/>
  <c r="H2" i="58" l="1"/>
  <c r="H44" i="58" s="1"/>
  <c r="G44" i="58"/>
  <c r="B34" i="46" l="1"/>
  <c r="B33" i="46"/>
  <c r="B32" i="46"/>
  <c r="B35" i="46"/>
  <c r="M65" i="21" l="1"/>
  <c r="J115" i="50"/>
  <c r="J117" i="50"/>
  <c r="J113" i="50"/>
  <c r="J104" i="56" l="1"/>
  <c r="J105" i="56"/>
  <c r="J168" i="56"/>
  <c r="J105" i="46"/>
  <c r="J172" i="46" s="1"/>
  <c r="J104" i="46"/>
  <c r="J98" i="46"/>
  <c r="J99" i="46"/>
  <c r="J168" i="46" s="1"/>
  <c r="J172" i="56" l="1"/>
  <c r="M64" i="21"/>
  <c r="J57" i="21"/>
  <c r="H28" i="21"/>
  <c r="J92" i="46" l="1"/>
  <c r="J164" i="46" s="1"/>
  <c r="J91" i="46"/>
  <c r="I32" i="21"/>
  <c r="J8" i="21"/>
  <c r="J10" i="21" s="1"/>
  <c r="C18" i="42" s="1"/>
  <c r="H25" i="21" l="1"/>
  <c r="H26" i="21"/>
  <c r="H27" i="21"/>
  <c r="F48" i="21"/>
  <c r="H48" i="21" s="1"/>
  <c r="I48" i="21" s="1"/>
  <c r="F49" i="21"/>
  <c r="H49" i="21" s="1"/>
  <c r="I49" i="21" s="1"/>
  <c r="F50" i="21"/>
  <c r="H50" i="21" s="1"/>
  <c r="I50" i="21" s="1"/>
  <c r="F51" i="21"/>
  <c r="H51" i="21" s="1"/>
  <c r="I51" i="21" s="1"/>
  <c r="F52" i="21"/>
  <c r="H52" i="21" s="1"/>
  <c r="I52" i="21" s="1"/>
  <c r="F53" i="21"/>
  <c r="H53" i="21" s="1"/>
  <c r="I53" i="21" s="1"/>
  <c r="F54" i="21"/>
  <c r="H54" i="21" s="1"/>
  <c r="I54" i="21" s="1"/>
  <c r="F55" i="21"/>
  <c r="H55" i="21" s="1"/>
  <c r="I55" i="21" s="1"/>
  <c r="F56" i="21"/>
  <c r="H56" i="21" s="1"/>
  <c r="I56" i="21" s="1"/>
  <c r="B1" i="21"/>
  <c r="K55" i="21" l="1"/>
  <c r="N55" i="21"/>
  <c r="N53" i="21"/>
  <c r="K53" i="21"/>
  <c r="K54" i="21"/>
  <c r="N54" i="21"/>
  <c r="N52" i="21"/>
  <c r="K52" i="21"/>
  <c r="N51" i="21"/>
  <c r="K51" i="21"/>
  <c r="N48" i="21"/>
  <c r="K48" i="21"/>
  <c r="N50" i="21"/>
  <c r="K50" i="21"/>
  <c r="N56" i="21"/>
  <c r="K56" i="21"/>
  <c r="N49" i="21"/>
  <c r="K49" i="21"/>
  <c r="J31" i="21"/>
  <c r="J29" i="21"/>
  <c r="J28" i="21"/>
  <c r="J27" i="21"/>
  <c r="J26" i="21"/>
  <c r="J25" i="21"/>
  <c r="I57" i="21"/>
  <c r="K57" i="21" l="1"/>
  <c r="C20" i="42" s="1"/>
  <c r="N57" i="21"/>
  <c r="C19" i="42" s="1"/>
  <c r="J32" i="21"/>
  <c r="J112" i="46" l="1"/>
  <c r="J177" i="56"/>
  <c r="J112" i="56"/>
  <c r="J177" i="46"/>
  <c r="F19" i="50"/>
  <c r="G13" i="50"/>
  <c r="G38" i="50" l="1"/>
  <c r="L44"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B1" i="56"/>
  <c r="B1" i="46"/>
  <c r="B1" i="42"/>
  <c r="B1" i="47"/>
  <c r="C44" i="50" l="1"/>
  <c r="F16" i="50" l="1"/>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43" i="50" l="1"/>
  <c r="G39" i="50"/>
  <c r="C38" i="50" l="1"/>
  <c r="F17" i="50"/>
  <c r="C17" i="50"/>
  <c r="F15" i="50"/>
  <c r="F20" i="50" l="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15" i="32" l="1"/>
  <c r="F16" i="32" s="1"/>
  <c r="F43" i="50" s="1"/>
  <c r="G25" i="50" l="1"/>
  <c r="G27" i="50" s="1"/>
  <c r="G28" i="50" s="1"/>
  <c r="G29" i="50" s="1"/>
  <c r="G30" i="50" s="1"/>
  <c r="G31" i="50" s="1"/>
  <c r="G32" i="50" l="1"/>
  <c r="G33" i="50" l="1"/>
  <c r="G34" i="50" s="1"/>
  <c r="F44" i="50" s="1"/>
  <c r="G61" i="50" s="1"/>
  <c r="G63" i="50" l="1"/>
  <c r="G62" i="50"/>
  <c r="G65" i="50"/>
  <c r="C15" i="47"/>
  <c r="G73" i="50"/>
  <c r="G51" i="50"/>
  <c r="G55" i="50" s="1"/>
  <c r="G56" i="50" s="1"/>
  <c r="D7" i="46"/>
  <c r="D7" i="56"/>
  <c r="C10" i="47"/>
  <c r="D8" i="42"/>
  <c r="G75" i="50" l="1"/>
  <c r="G74" i="50"/>
  <c r="G77" i="50"/>
  <c r="D59" i="46"/>
  <c r="D65" i="46" s="1"/>
  <c r="K65" i="46" s="1"/>
  <c r="D59" i="56"/>
  <c r="D72" i="56"/>
  <c r="D78" i="56" s="1"/>
  <c r="D72" i="46"/>
  <c r="D78" i="46" s="1"/>
  <c r="G64" i="50"/>
  <c r="G52" i="50"/>
  <c r="G53" i="50"/>
  <c r="D124" i="56"/>
  <c r="C17" i="47"/>
  <c r="D14" i="42"/>
  <c r="D20" i="42" s="1"/>
  <c r="C14" i="47"/>
  <c r="D13" i="42"/>
  <c r="D18" i="42" s="1"/>
  <c r="D192" i="56" l="1"/>
  <c r="D193" i="46"/>
  <c r="D192" i="46"/>
  <c r="D194" i="46" s="1"/>
  <c r="D45" i="46" s="1"/>
  <c r="D193" i="56"/>
  <c r="D194" i="56" s="1"/>
  <c r="D187" i="56"/>
  <c r="D187" i="46"/>
  <c r="D186" i="56"/>
  <c r="D188" i="56" s="1"/>
  <c r="D44" i="56" s="1"/>
  <c r="D186" i="46"/>
  <c r="D123" i="56"/>
  <c r="D125" i="56" s="1"/>
  <c r="D30" i="56" s="1"/>
  <c r="D123" i="46"/>
  <c r="D124" i="46"/>
  <c r="D129" i="56"/>
  <c r="D130" i="56"/>
  <c r="D130" i="46"/>
  <c r="D135" i="56"/>
  <c r="D129" i="46"/>
  <c r="D136" i="56"/>
  <c r="G76" i="50"/>
  <c r="G81" i="50" s="1"/>
  <c r="D177" i="56" s="1"/>
  <c r="D140" i="56"/>
  <c r="D140" i="46"/>
  <c r="D150" i="46"/>
  <c r="K150" i="46" s="1"/>
  <c r="K42" i="46" s="1"/>
  <c r="D150" i="56"/>
  <c r="K150" i="56" s="1"/>
  <c r="K42" i="56" s="1"/>
  <c r="D65" i="56"/>
  <c r="K65" i="56" s="1"/>
  <c r="K59" i="56"/>
  <c r="G54" i="50"/>
  <c r="D73" i="56"/>
  <c r="K73" i="56" s="1"/>
  <c r="D73" i="46"/>
  <c r="D79" i="46" s="1"/>
  <c r="K79" i="46" s="1"/>
  <c r="D60" i="56"/>
  <c r="D66" i="56" s="1"/>
  <c r="K66" i="56" s="1"/>
  <c r="D60" i="46"/>
  <c r="D66" i="46" s="1"/>
  <c r="D67" i="46" s="1"/>
  <c r="D27" i="46" s="1"/>
  <c r="K59" i="46"/>
  <c r="G78" i="50"/>
  <c r="G79" i="50" s="1"/>
  <c r="G66" i="50"/>
  <c r="G69" i="50"/>
  <c r="K72" i="46"/>
  <c r="K72" i="56"/>
  <c r="D15" i="42"/>
  <c r="D19" i="42"/>
  <c r="D21" i="42" s="1"/>
  <c r="C22" i="47" s="1"/>
  <c r="C23" i="47" s="1"/>
  <c r="D125" i="46" l="1"/>
  <c r="D30" i="46" s="1"/>
  <c r="D15" i="46" s="1"/>
  <c r="C53" i="47" s="1"/>
  <c r="D188" i="46"/>
  <c r="D44" i="46" s="1"/>
  <c r="D131" i="46"/>
  <c r="D31" i="46" s="1"/>
  <c r="D16" i="46" s="1"/>
  <c r="D131" i="56"/>
  <c r="D31" i="56" s="1"/>
  <c r="D16" i="56" s="1"/>
  <c r="D61" i="56"/>
  <c r="D26" i="56" s="1"/>
  <c r="K67" i="56"/>
  <c r="K27" i="56" s="1"/>
  <c r="D42" i="46"/>
  <c r="K60" i="46"/>
  <c r="K61" i="46" s="1"/>
  <c r="D61" i="46"/>
  <c r="D26" i="46" s="1"/>
  <c r="K66" i="46"/>
  <c r="K67" i="46" s="1"/>
  <c r="G59" i="50"/>
  <c r="D111" i="56" s="1"/>
  <c r="K111" i="56" s="1"/>
  <c r="D67" i="56"/>
  <c r="D27" i="56" s="1"/>
  <c r="D42" i="56"/>
  <c r="D74" i="46"/>
  <c r="D28" i="46" s="1"/>
  <c r="D177" i="46"/>
  <c r="D178" i="46" s="1"/>
  <c r="D51" i="46" s="1"/>
  <c r="K73" i="46"/>
  <c r="K74" i="46" s="1"/>
  <c r="K28" i="46" s="1"/>
  <c r="K13" i="46" s="1"/>
  <c r="D172" i="56"/>
  <c r="D172" i="46"/>
  <c r="K172" i="46" s="1"/>
  <c r="D159" i="46"/>
  <c r="D159" i="56"/>
  <c r="D182" i="56" s="1"/>
  <c r="D50" i="56" s="1"/>
  <c r="D164" i="46"/>
  <c r="H51" i="50"/>
  <c r="D104" i="46"/>
  <c r="K104" i="46" s="1"/>
  <c r="H73" i="50"/>
  <c r="D155" i="56"/>
  <c r="D40" i="56"/>
  <c r="D155" i="46"/>
  <c r="D40" i="46"/>
  <c r="D145" i="46"/>
  <c r="K140" i="46"/>
  <c r="D145" i="56"/>
  <c r="K140" i="56"/>
  <c r="K40" i="56" s="1"/>
  <c r="K60" i="56"/>
  <c r="K61" i="56" s="1"/>
  <c r="K26" i="56" s="1"/>
  <c r="D79" i="56"/>
  <c r="D74" i="56"/>
  <c r="D28" i="56" s="1"/>
  <c r="D104" i="56"/>
  <c r="K104" i="56" s="1"/>
  <c r="G57" i="50"/>
  <c r="D84" i="46" s="1"/>
  <c r="D112" i="46"/>
  <c r="K112" i="46" s="1"/>
  <c r="K37" i="46" s="1"/>
  <c r="D112" i="56"/>
  <c r="G67" i="50"/>
  <c r="H61" i="50"/>
  <c r="D178" i="56"/>
  <c r="D51" i="56" s="1"/>
  <c r="K177" i="56"/>
  <c r="K178" i="56" s="1"/>
  <c r="K51" i="56" s="1"/>
  <c r="D15" i="56"/>
  <c r="D80" i="46"/>
  <c r="K78" i="46"/>
  <c r="K80" i="46" s="1"/>
  <c r="K29" i="46" s="1"/>
  <c r="K74" i="56"/>
  <c r="K28" i="56" s="1"/>
  <c r="K13" i="56" s="1"/>
  <c r="K78" i="56"/>
  <c r="C54" i="47" l="1"/>
  <c r="H62" i="50"/>
  <c r="H63" i="50"/>
  <c r="H65" i="50"/>
  <c r="H66" i="50" s="1"/>
  <c r="H74" i="50"/>
  <c r="H75" i="50"/>
  <c r="E150" i="46" s="1"/>
  <c r="L150" i="46" s="1"/>
  <c r="L42" i="46" s="1"/>
  <c r="H77" i="50"/>
  <c r="H78" i="50" s="1"/>
  <c r="E13" i="42"/>
  <c r="E19" i="42" s="1"/>
  <c r="E124" i="56"/>
  <c r="H55" i="50"/>
  <c r="H56" i="50" s="1"/>
  <c r="D11" i="56"/>
  <c r="D13" i="46"/>
  <c r="D11" i="46"/>
  <c r="C49" i="47" s="1"/>
  <c r="D111" i="46"/>
  <c r="K111" i="46" s="1"/>
  <c r="K113" i="46" s="1"/>
  <c r="K177" i="46"/>
  <c r="K178" i="46" s="1"/>
  <c r="K51" i="46" s="1"/>
  <c r="K22" i="46" s="1"/>
  <c r="D17" i="47"/>
  <c r="H53" i="50"/>
  <c r="E73" i="46" s="1"/>
  <c r="E79" i="46" s="1"/>
  <c r="H52" i="50"/>
  <c r="D14" i="47"/>
  <c r="K11" i="56"/>
  <c r="D13" i="56"/>
  <c r="C51" i="47" s="1"/>
  <c r="E14" i="42"/>
  <c r="E20" i="42" s="1"/>
  <c r="K145" i="46"/>
  <c r="D41" i="46"/>
  <c r="D12" i="46" s="1"/>
  <c r="D105" i="56"/>
  <c r="D105" i="46"/>
  <c r="D85" i="56"/>
  <c r="D92" i="56" s="1"/>
  <c r="D85" i="46"/>
  <c r="D86" i="46" s="1"/>
  <c r="D80" i="56"/>
  <c r="D29" i="56" s="1"/>
  <c r="K79" i="56"/>
  <c r="K80" i="56" s="1"/>
  <c r="K29" i="56" s="1"/>
  <c r="D43" i="46"/>
  <c r="K155" i="46"/>
  <c r="K43" i="46" s="1"/>
  <c r="K14" i="46" s="1"/>
  <c r="D43" i="56"/>
  <c r="K155" i="56"/>
  <c r="K43" i="56" s="1"/>
  <c r="D84" i="56"/>
  <c r="H76" i="50"/>
  <c r="H81" i="50" s="1"/>
  <c r="E140" i="46"/>
  <c r="E140" i="56"/>
  <c r="K145" i="56"/>
  <c r="K41" i="56" s="1"/>
  <c r="K12" i="56" s="1"/>
  <c r="D41" i="56"/>
  <c r="D12" i="56" s="1"/>
  <c r="D15" i="47"/>
  <c r="K112" i="56"/>
  <c r="K113" i="56" s="1"/>
  <c r="K37" i="56" s="1"/>
  <c r="K22" i="56" s="1"/>
  <c r="D113" i="56"/>
  <c r="D37" i="56" s="1"/>
  <c r="D22" i="56" s="1"/>
  <c r="D46" i="46"/>
  <c r="D182" i="46"/>
  <c r="D50" i="46" s="1"/>
  <c r="D49" i="46"/>
  <c r="D47" i="46"/>
  <c r="K159" i="46"/>
  <c r="K46" i="46" s="1"/>
  <c r="D164" i="56"/>
  <c r="D46" i="56"/>
  <c r="K159" i="56"/>
  <c r="K46" i="56" s="1"/>
  <c r="D49" i="56"/>
  <c r="K172" i="56"/>
  <c r="K49" i="56" s="1"/>
  <c r="D29" i="46"/>
  <c r="D117" i="46"/>
  <c r="K49" i="46"/>
  <c r="D117" i="56" l="1"/>
  <c r="D91" i="56"/>
  <c r="C50" i="47"/>
  <c r="E21" i="42"/>
  <c r="D22" i="47" s="1"/>
  <c r="D23" i="47" s="1"/>
  <c r="E150" i="56"/>
  <c r="L150" i="56" s="1"/>
  <c r="L42" i="56" s="1"/>
  <c r="E186" i="56"/>
  <c r="E187" i="56"/>
  <c r="E187" i="46"/>
  <c r="E186" i="46"/>
  <c r="E188" i="46" s="1"/>
  <c r="E44" i="46" s="1"/>
  <c r="E193" i="56"/>
  <c r="E193" i="46"/>
  <c r="E192" i="46"/>
  <c r="E192" i="56"/>
  <c r="E123" i="56"/>
  <c r="E125" i="56" s="1"/>
  <c r="E30" i="56" s="1"/>
  <c r="E123" i="46"/>
  <c r="E124" i="46"/>
  <c r="E73" i="56"/>
  <c r="E79" i="56" s="1"/>
  <c r="L79" i="56" s="1"/>
  <c r="E129" i="56"/>
  <c r="E130" i="56"/>
  <c r="D14" i="46"/>
  <c r="D14" i="56"/>
  <c r="D113" i="46"/>
  <c r="D37" i="46" s="1"/>
  <c r="D22" i="46" s="1"/>
  <c r="C60" i="47" s="1"/>
  <c r="E60" i="56"/>
  <c r="E66" i="56" s="1"/>
  <c r="L66" i="56" s="1"/>
  <c r="E135" i="56"/>
  <c r="E130" i="46"/>
  <c r="E129" i="46"/>
  <c r="E136" i="56"/>
  <c r="K92" i="46"/>
  <c r="K14" i="56"/>
  <c r="H54" i="50"/>
  <c r="H59" i="50" s="1"/>
  <c r="E111" i="46" s="1"/>
  <c r="L111" i="46" s="1"/>
  <c r="E60" i="46"/>
  <c r="E66" i="46" s="1"/>
  <c r="L66" i="46" s="1"/>
  <c r="E40" i="56"/>
  <c r="E15" i="42"/>
  <c r="D86" i="56"/>
  <c r="D32" i="56" s="1"/>
  <c r="D17" i="56" s="1"/>
  <c r="D98" i="56"/>
  <c r="K98" i="56" s="1"/>
  <c r="K84" i="56"/>
  <c r="L73" i="46"/>
  <c r="E42" i="46"/>
  <c r="E177" i="56"/>
  <c r="L177" i="56" s="1"/>
  <c r="L178" i="56" s="1"/>
  <c r="L51" i="56" s="1"/>
  <c r="E177" i="46"/>
  <c r="E178" i="46" s="1"/>
  <c r="E51" i="46" s="1"/>
  <c r="H64" i="50"/>
  <c r="H69" i="50" s="1"/>
  <c r="E59" i="56"/>
  <c r="E59" i="46"/>
  <c r="E145" i="46"/>
  <c r="L140" i="46"/>
  <c r="D118" i="56"/>
  <c r="D119" i="56" s="1"/>
  <c r="D36" i="56" s="1"/>
  <c r="D21" i="56" s="1"/>
  <c r="K85" i="56"/>
  <c r="K105" i="46"/>
  <c r="K106" i="46" s="1"/>
  <c r="K35" i="46" s="1"/>
  <c r="K20" i="46" s="1"/>
  <c r="D106" i="46"/>
  <c r="D35" i="46" s="1"/>
  <c r="D20" i="46" s="1"/>
  <c r="E42" i="56"/>
  <c r="K105" i="56"/>
  <c r="K106" i="56" s="1"/>
  <c r="K35" i="56" s="1"/>
  <c r="K20" i="56" s="1"/>
  <c r="D106" i="56"/>
  <c r="D35" i="56" s="1"/>
  <c r="D20" i="56" s="1"/>
  <c r="E155" i="46"/>
  <c r="E40" i="46"/>
  <c r="H57" i="50"/>
  <c r="E72" i="56"/>
  <c r="E78" i="56" s="1"/>
  <c r="E80" i="56" s="1"/>
  <c r="E72" i="46"/>
  <c r="E145" i="56"/>
  <c r="L140" i="56"/>
  <c r="L40" i="56" s="1"/>
  <c r="D118" i="46"/>
  <c r="D119" i="46" s="1"/>
  <c r="K85" i="46"/>
  <c r="C52" i="47"/>
  <c r="D47" i="56"/>
  <c r="D168" i="56"/>
  <c r="K164" i="56"/>
  <c r="K47" i="56" s="1"/>
  <c r="L79" i="46"/>
  <c r="D168" i="46"/>
  <c r="K168" i="46" s="1"/>
  <c r="K164" i="46"/>
  <c r="K47" i="46" s="1"/>
  <c r="E23" i="42"/>
  <c r="E24" i="42" s="1"/>
  <c r="E155" i="56" l="1"/>
  <c r="C58" i="47"/>
  <c r="L60" i="56"/>
  <c r="E194" i="56"/>
  <c r="D99" i="46"/>
  <c r="E125" i="46"/>
  <c r="E30" i="46" s="1"/>
  <c r="E15" i="46" s="1"/>
  <c r="E194" i="46"/>
  <c r="E45" i="46" s="1"/>
  <c r="E188" i="56"/>
  <c r="E44" i="56" s="1"/>
  <c r="E15" i="56" s="1"/>
  <c r="L73" i="56"/>
  <c r="E131" i="56"/>
  <c r="E31" i="56" s="1"/>
  <c r="E16" i="56" s="1"/>
  <c r="E61" i="46"/>
  <c r="E26" i="46" s="1"/>
  <c r="E11" i="46" s="1"/>
  <c r="D93" i="56"/>
  <c r="D33" i="56" s="1"/>
  <c r="D18" i="56" s="1"/>
  <c r="K91" i="56"/>
  <c r="E131" i="46"/>
  <c r="E31" i="46" s="1"/>
  <c r="L60" i="46"/>
  <c r="E178" i="56"/>
  <c r="E51" i="56" s="1"/>
  <c r="E111" i="56"/>
  <c r="L111" i="56" s="1"/>
  <c r="L177" i="46"/>
  <c r="L178" i="46" s="1"/>
  <c r="L51" i="46" s="1"/>
  <c r="L22" i="46" s="1"/>
  <c r="K86" i="56"/>
  <c r="K32" i="56" s="1"/>
  <c r="K17" i="56" s="1"/>
  <c r="L72" i="56"/>
  <c r="E84" i="56"/>
  <c r="E84" i="46"/>
  <c r="I51" i="50"/>
  <c r="L78" i="56"/>
  <c r="L80" i="56" s="1"/>
  <c r="L29" i="56" s="1"/>
  <c r="E78" i="46"/>
  <c r="L72" i="46"/>
  <c r="L74" i="46" s="1"/>
  <c r="L28" i="46" s="1"/>
  <c r="L13" i="46" s="1"/>
  <c r="E74" i="46"/>
  <c r="L155" i="46"/>
  <c r="L43" i="46" s="1"/>
  <c r="E43" i="46"/>
  <c r="D99" i="56"/>
  <c r="K92" i="56"/>
  <c r="E74" i="56"/>
  <c r="E43" i="56"/>
  <c r="L155" i="56"/>
  <c r="L43" i="56" s="1"/>
  <c r="E65" i="56"/>
  <c r="E61" i="56"/>
  <c r="E26" i="56" s="1"/>
  <c r="E11" i="56" s="1"/>
  <c r="L59" i="56"/>
  <c r="E104" i="56"/>
  <c r="L104" i="56" s="1"/>
  <c r="E104" i="46"/>
  <c r="L104" i="46" s="1"/>
  <c r="I73" i="50"/>
  <c r="H79" i="50"/>
  <c r="L145" i="46"/>
  <c r="E41" i="46"/>
  <c r="L145" i="56"/>
  <c r="L41" i="56" s="1"/>
  <c r="E41" i="56"/>
  <c r="E65" i="46"/>
  <c r="L59" i="46"/>
  <c r="E14" i="47"/>
  <c r="E112" i="46"/>
  <c r="E112" i="56"/>
  <c r="H67" i="50"/>
  <c r="E29" i="56"/>
  <c r="E14" i="56"/>
  <c r="D48" i="56"/>
  <c r="K168" i="56"/>
  <c r="K48" i="56" s="1"/>
  <c r="K48" i="46"/>
  <c r="D48" i="46"/>
  <c r="K99" i="46"/>
  <c r="E117" i="56" l="1"/>
  <c r="E91" i="56"/>
  <c r="D49" i="47"/>
  <c r="D53" i="47"/>
  <c r="L61" i="56"/>
  <c r="L26" i="56" s="1"/>
  <c r="L11" i="56" s="1"/>
  <c r="E16" i="46"/>
  <c r="D54" i="47" s="1"/>
  <c r="I77" i="50"/>
  <c r="I78" i="50" s="1"/>
  <c r="I74" i="50"/>
  <c r="I75" i="50"/>
  <c r="I55" i="50"/>
  <c r="I56" i="50" s="1"/>
  <c r="L74" i="56"/>
  <c r="L28" i="56" s="1"/>
  <c r="L13" i="56" s="1"/>
  <c r="K93" i="56"/>
  <c r="K33" i="56" s="1"/>
  <c r="L91" i="56"/>
  <c r="L61" i="46"/>
  <c r="L84" i="56"/>
  <c r="I53" i="50"/>
  <c r="F73" i="56" s="1"/>
  <c r="F79" i="56" s="1"/>
  <c r="M79" i="56" s="1"/>
  <c r="I52" i="50"/>
  <c r="F13" i="42"/>
  <c r="F19" i="42" s="1"/>
  <c r="I61" i="50"/>
  <c r="L14" i="56"/>
  <c r="E105" i="56"/>
  <c r="L105" i="56" s="1"/>
  <c r="L106" i="56" s="1"/>
  <c r="L35" i="56" s="1"/>
  <c r="E85" i="56"/>
  <c r="E92" i="56" s="1"/>
  <c r="E105" i="46"/>
  <c r="E106" i="46" s="1"/>
  <c r="E35" i="46" s="1"/>
  <c r="E85" i="46"/>
  <c r="L65" i="56"/>
  <c r="L67" i="56" s="1"/>
  <c r="L27" i="56" s="1"/>
  <c r="L12" i="56" s="1"/>
  <c r="E67" i="56"/>
  <c r="E27" i="56" s="1"/>
  <c r="E12" i="56" s="1"/>
  <c r="E17" i="47"/>
  <c r="F14" i="42"/>
  <c r="F20" i="42" s="1"/>
  <c r="E159" i="56"/>
  <c r="E172" i="46"/>
  <c r="E159" i="46"/>
  <c r="E172" i="56"/>
  <c r="E13" i="46"/>
  <c r="E28" i="46"/>
  <c r="E28" i="56"/>
  <c r="E13" i="56"/>
  <c r="L78" i="46"/>
  <c r="L80" i="46" s="1"/>
  <c r="L29" i="46" s="1"/>
  <c r="L14" i="46" s="1"/>
  <c r="E80" i="46"/>
  <c r="L65" i="46"/>
  <c r="L67" i="46" s="1"/>
  <c r="E67" i="46"/>
  <c r="E27" i="46" s="1"/>
  <c r="E12" i="46" s="1"/>
  <c r="D50" i="47" s="1"/>
  <c r="K99" i="56"/>
  <c r="K100" i="56" s="1"/>
  <c r="K34" i="56" s="1"/>
  <c r="K19" i="56" s="1"/>
  <c r="D100" i="56"/>
  <c r="D34" i="56" s="1"/>
  <c r="D19" i="56" s="1"/>
  <c r="L112" i="56"/>
  <c r="L113" i="56" s="1"/>
  <c r="L37" i="56" s="1"/>
  <c r="L22" i="56" s="1"/>
  <c r="E113" i="56"/>
  <c r="E37" i="56" s="1"/>
  <c r="E22" i="56" s="1"/>
  <c r="L112" i="46"/>
  <c r="E113" i="46"/>
  <c r="E37" i="46" s="1"/>
  <c r="E22" i="46" s="1"/>
  <c r="D51" i="47" l="1"/>
  <c r="K18" i="56"/>
  <c r="K23" i="56" s="1"/>
  <c r="D60" i="47"/>
  <c r="I62" i="50"/>
  <c r="F130" i="46" s="1"/>
  <c r="I63" i="50"/>
  <c r="F123" i="46" s="1"/>
  <c r="F124" i="56"/>
  <c r="E98" i="56"/>
  <c r="L98" i="56" s="1"/>
  <c r="F186" i="56"/>
  <c r="F187" i="46"/>
  <c r="F187" i="56"/>
  <c r="F186" i="46"/>
  <c r="F193" i="46"/>
  <c r="F192" i="46"/>
  <c r="F194" i="46" s="1"/>
  <c r="F45" i="46" s="1"/>
  <c r="F193" i="56"/>
  <c r="F192" i="56"/>
  <c r="F194" i="56" s="1"/>
  <c r="F73" i="46"/>
  <c r="F79" i="46" s="1"/>
  <c r="M79" i="46" s="1"/>
  <c r="F123" i="56"/>
  <c r="L105" i="46"/>
  <c r="L106" i="46" s="1"/>
  <c r="L35" i="46" s="1"/>
  <c r="E106" i="56"/>
  <c r="E35" i="56" s="1"/>
  <c r="F60" i="46"/>
  <c r="F66" i="46" s="1"/>
  <c r="M66" i="46" s="1"/>
  <c r="F136" i="56"/>
  <c r="F135" i="56"/>
  <c r="F129" i="46"/>
  <c r="F60" i="56"/>
  <c r="F66" i="56" s="1"/>
  <c r="M66" i="56" s="1"/>
  <c r="I65" i="50"/>
  <c r="I66" i="50" s="1"/>
  <c r="I54" i="50"/>
  <c r="I59" i="50" s="1"/>
  <c r="M73" i="56"/>
  <c r="F15" i="42"/>
  <c r="F21" i="42"/>
  <c r="E22" i="47" s="1"/>
  <c r="E23" i="47" s="1"/>
  <c r="E15" i="47"/>
  <c r="F59" i="56"/>
  <c r="F65" i="56" s="1"/>
  <c r="M65" i="56" s="1"/>
  <c r="F59" i="46"/>
  <c r="F65" i="46" s="1"/>
  <c r="E49" i="56"/>
  <c r="L172" i="56"/>
  <c r="L49" i="56" s="1"/>
  <c r="L20" i="56" s="1"/>
  <c r="L172" i="46"/>
  <c r="L49" i="46" s="1"/>
  <c r="E49" i="46"/>
  <c r="E20" i="46" s="1"/>
  <c r="E182" i="56"/>
  <c r="E50" i="56" s="1"/>
  <c r="L159" i="56"/>
  <c r="L46" i="56" s="1"/>
  <c r="E46" i="56"/>
  <c r="E164" i="56"/>
  <c r="F150" i="46"/>
  <c r="F150" i="56"/>
  <c r="L85" i="46"/>
  <c r="E118" i="46"/>
  <c r="E86" i="46"/>
  <c r="E32" i="46" s="1"/>
  <c r="F140" i="46"/>
  <c r="F140" i="56"/>
  <c r="I76" i="50"/>
  <c r="E118" i="56"/>
  <c r="E119" i="56" s="1"/>
  <c r="E36" i="56" s="1"/>
  <c r="L85" i="56"/>
  <c r="L86" i="56" s="1"/>
  <c r="L32" i="56" s="1"/>
  <c r="E86" i="56"/>
  <c r="E32" i="56" s="1"/>
  <c r="E164" i="46"/>
  <c r="E182" i="46"/>
  <c r="E50" i="46" s="1"/>
  <c r="E46" i="46"/>
  <c r="L159" i="46"/>
  <c r="L46" i="46" s="1"/>
  <c r="F72" i="46"/>
  <c r="F78" i="46" s="1"/>
  <c r="M78" i="46" s="1"/>
  <c r="E29" i="46"/>
  <c r="E14" i="46"/>
  <c r="D52" i="47" s="1"/>
  <c r="L37" i="46"/>
  <c r="L113" i="46"/>
  <c r="F188" i="56" l="1"/>
  <c r="F44" i="56" s="1"/>
  <c r="F130" i="56"/>
  <c r="L20" i="46"/>
  <c r="F72" i="56"/>
  <c r="F78" i="56" s="1"/>
  <c r="M78" i="56" s="1"/>
  <c r="M80" i="56" s="1"/>
  <c r="M29" i="56" s="1"/>
  <c r="I64" i="50"/>
  <c r="I69" i="50" s="1"/>
  <c r="F129" i="56"/>
  <c r="F131" i="56" s="1"/>
  <c r="F31" i="56" s="1"/>
  <c r="F16" i="56" s="1"/>
  <c r="F124" i="46"/>
  <c r="F125" i="46" s="1"/>
  <c r="F30" i="46" s="1"/>
  <c r="F188" i="46"/>
  <c r="F44" i="46" s="1"/>
  <c r="M73" i="46"/>
  <c r="E20" i="56"/>
  <c r="D58" i="47" s="1"/>
  <c r="M59" i="56"/>
  <c r="F131" i="46"/>
  <c r="F31" i="46" s="1"/>
  <c r="F16" i="46" s="1"/>
  <c r="M60" i="46"/>
  <c r="F61" i="56"/>
  <c r="F26" i="56" s="1"/>
  <c r="M60" i="56"/>
  <c r="L17" i="56"/>
  <c r="M80" i="46"/>
  <c r="M29" i="46" s="1"/>
  <c r="F67" i="56"/>
  <c r="F27" i="56" s="1"/>
  <c r="M67" i="56"/>
  <c r="M27" i="56" s="1"/>
  <c r="F23" i="42"/>
  <c r="F24" i="42" s="1"/>
  <c r="F74" i="56"/>
  <c r="F28" i="56" s="1"/>
  <c r="M72" i="56"/>
  <c r="M74" i="56" s="1"/>
  <c r="M28" i="56" s="1"/>
  <c r="F125" i="56"/>
  <c r="F30" i="56" s="1"/>
  <c r="F15" i="56" s="1"/>
  <c r="F80" i="56"/>
  <c r="F14" i="56" s="1"/>
  <c r="E17" i="56"/>
  <c r="M72" i="46"/>
  <c r="F67" i="46"/>
  <c r="F27" i="46" s="1"/>
  <c r="M65" i="46"/>
  <c r="M67" i="46" s="1"/>
  <c r="F61" i="46"/>
  <c r="F26" i="46" s="1"/>
  <c r="M59" i="46"/>
  <c r="E99" i="46"/>
  <c r="L99" i="46" s="1"/>
  <c r="L92" i="46"/>
  <c r="E47" i="46"/>
  <c r="E168" i="46"/>
  <c r="L164" i="46"/>
  <c r="L47" i="46" s="1"/>
  <c r="F111" i="56"/>
  <c r="M111" i="56" s="1"/>
  <c r="F111" i="46"/>
  <c r="M111" i="46" s="1"/>
  <c r="I81" i="50"/>
  <c r="F155" i="56"/>
  <c r="F42" i="56"/>
  <c r="F40" i="56"/>
  <c r="M150" i="56"/>
  <c r="M42" i="56" s="1"/>
  <c r="I57" i="50"/>
  <c r="J51" i="50"/>
  <c r="F104" i="56"/>
  <c r="M104" i="56" s="1"/>
  <c r="F104" i="46"/>
  <c r="M104" i="46" s="1"/>
  <c r="F74" i="46"/>
  <c r="F13" i="46" s="1"/>
  <c r="F145" i="56"/>
  <c r="M140" i="56"/>
  <c r="M40" i="56" s="1"/>
  <c r="F155" i="46"/>
  <c r="F42" i="46"/>
  <c r="F40" i="46"/>
  <c r="M150" i="46"/>
  <c r="M42" i="46" s="1"/>
  <c r="F145" i="46"/>
  <c r="M140" i="46"/>
  <c r="E47" i="56"/>
  <c r="L164" i="56"/>
  <c r="L47" i="56" s="1"/>
  <c r="E168" i="56"/>
  <c r="F80" i="46"/>
  <c r="F14" i="46" s="1"/>
  <c r="E99" i="56"/>
  <c r="L92" i="56"/>
  <c r="L93" i="56" s="1"/>
  <c r="L33" i="56" s="1"/>
  <c r="E93" i="56"/>
  <c r="E33" i="56" s="1"/>
  <c r="E21" i="56"/>
  <c r="E17" i="46"/>
  <c r="D32" i="46"/>
  <c r="D17" i="46" s="1"/>
  <c r="D93" i="46"/>
  <c r="K84" i="46"/>
  <c r="K86" i="46" s="1"/>
  <c r="K32" i="46" s="1"/>
  <c r="K17" i="46" s="1"/>
  <c r="E117" i="46"/>
  <c r="E119" i="46" s="1"/>
  <c r="E36" i="46" s="1"/>
  <c r="E21" i="46" s="1"/>
  <c r="E93" i="46"/>
  <c r="E33" i="46" s="1"/>
  <c r="L84" i="46"/>
  <c r="L86" i="46" s="1"/>
  <c r="L32" i="46" s="1"/>
  <c r="L17" i="46" s="1"/>
  <c r="D59" i="47" l="1"/>
  <c r="E54" i="47"/>
  <c r="E52" i="47"/>
  <c r="F15" i="46"/>
  <c r="E53" i="47" s="1"/>
  <c r="J55" i="50"/>
  <c r="J56" i="50" s="1"/>
  <c r="M74" i="46"/>
  <c r="M28" i="46" s="1"/>
  <c r="M13" i="46" s="1"/>
  <c r="M61" i="46"/>
  <c r="F11" i="56"/>
  <c r="M61" i="56"/>
  <c r="M26" i="56" s="1"/>
  <c r="M11" i="56" s="1"/>
  <c r="F13" i="56"/>
  <c r="E51" i="47" s="1"/>
  <c r="M13" i="56"/>
  <c r="F29" i="56"/>
  <c r="F29" i="46"/>
  <c r="E18" i="46"/>
  <c r="F28" i="46"/>
  <c r="E18" i="56"/>
  <c r="F11" i="46"/>
  <c r="F84" i="46"/>
  <c r="F84" i="56"/>
  <c r="F91" i="56" s="1"/>
  <c r="D55" i="47"/>
  <c r="D43" i="47"/>
  <c r="D44" i="47" s="1"/>
  <c r="D46" i="47" s="1"/>
  <c r="M155" i="56"/>
  <c r="M43" i="56" s="1"/>
  <c r="M14" i="56" s="1"/>
  <c r="F43" i="56"/>
  <c r="L168" i="46"/>
  <c r="L48" i="46" s="1"/>
  <c r="E48" i="46"/>
  <c r="E48" i="56"/>
  <c r="L168" i="56"/>
  <c r="L48" i="56" s="1"/>
  <c r="F177" i="46"/>
  <c r="F177" i="56"/>
  <c r="M155" i="46"/>
  <c r="M43" i="46" s="1"/>
  <c r="M14" i="46" s="1"/>
  <c r="F43" i="46"/>
  <c r="J52" i="50"/>
  <c r="G13" i="42"/>
  <c r="J53" i="50"/>
  <c r="F14" i="47"/>
  <c r="I79" i="50"/>
  <c r="J73" i="50"/>
  <c r="L18" i="56"/>
  <c r="L99" i="56"/>
  <c r="L100" i="56" s="1"/>
  <c r="L34" i="56" s="1"/>
  <c r="E100" i="56"/>
  <c r="E34" i="56" s="1"/>
  <c r="M145" i="56"/>
  <c r="M41" i="56" s="1"/>
  <c r="M12" i="56" s="1"/>
  <c r="F41" i="56"/>
  <c r="F12" i="56" s="1"/>
  <c r="M145" i="46"/>
  <c r="F41" i="46"/>
  <c r="F12" i="46" s="1"/>
  <c r="I67" i="50"/>
  <c r="J61" i="50"/>
  <c r="F112" i="56"/>
  <c r="F112" i="46"/>
  <c r="C55" i="47"/>
  <c r="C43" i="47"/>
  <c r="C44" i="47" s="1"/>
  <c r="L91" i="46"/>
  <c r="L93" i="46" s="1"/>
  <c r="L33" i="46" s="1"/>
  <c r="L18" i="46" s="1"/>
  <c r="E98" i="46"/>
  <c r="E100" i="46" s="1"/>
  <c r="E34" i="46" s="1"/>
  <c r="D98" i="46"/>
  <c r="D100" i="46" s="1"/>
  <c r="K91" i="46"/>
  <c r="K93" i="46" s="1"/>
  <c r="K33" i="46" s="1"/>
  <c r="K18" i="46" s="1"/>
  <c r="D36" i="46"/>
  <c r="D21" i="46" s="1"/>
  <c r="C59" i="47" s="1"/>
  <c r="D56" i="47" l="1"/>
  <c r="E49" i="47"/>
  <c r="E50" i="47"/>
  <c r="J65" i="50"/>
  <c r="J66" i="50" s="1"/>
  <c r="J63" i="50"/>
  <c r="G123" i="46" s="1"/>
  <c r="J62" i="50"/>
  <c r="G130" i="46" s="1"/>
  <c r="J77" i="50"/>
  <c r="J78" i="50" s="1"/>
  <c r="J74" i="50"/>
  <c r="J75" i="50"/>
  <c r="G124" i="56"/>
  <c r="E19" i="46"/>
  <c r="E19" i="56"/>
  <c r="G136" i="56"/>
  <c r="G135" i="56"/>
  <c r="L19" i="56"/>
  <c r="L23" i="56" s="1"/>
  <c r="G19" i="42"/>
  <c r="F105" i="56"/>
  <c r="M105" i="56" s="1"/>
  <c r="M106" i="56" s="1"/>
  <c r="M35" i="56" s="1"/>
  <c r="F85" i="56"/>
  <c r="F105" i="46"/>
  <c r="M105" i="46" s="1"/>
  <c r="M106" i="46" s="1"/>
  <c r="M35" i="46" s="1"/>
  <c r="F85" i="46"/>
  <c r="F86" i="46" s="1"/>
  <c r="F32" i="46" s="1"/>
  <c r="G14" i="42"/>
  <c r="G20" i="42" s="1"/>
  <c r="F17" i="47"/>
  <c r="M177" i="56"/>
  <c r="M178" i="56" s="1"/>
  <c r="M51" i="56" s="1"/>
  <c r="F178" i="56"/>
  <c r="F51" i="56" s="1"/>
  <c r="F159" i="56"/>
  <c r="F159" i="46"/>
  <c r="F172" i="56"/>
  <c r="F172" i="46"/>
  <c r="F178" i="46"/>
  <c r="F51" i="46" s="1"/>
  <c r="M177" i="46"/>
  <c r="M178" i="46" s="1"/>
  <c r="M51" i="46" s="1"/>
  <c r="M22" i="46" s="1"/>
  <c r="F117" i="56"/>
  <c r="M84" i="56"/>
  <c r="G60" i="56"/>
  <c r="G60" i="46"/>
  <c r="J54" i="50"/>
  <c r="G73" i="56"/>
  <c r="G79" i="56" s="1"/>
  <c r="N79" i="56" s="1"/>
  <c r="G73" i="46"/>
  <c r="F117" i="46"/>
  <c r="M84" i="46"/>
  <c r="M112" i="46"/>
  <c r="F113" i="46"/>
  <c r="F37" i="46" s="1"/>
  <c r="M112" i="56"/>
  <c r="M113" i="56" s="1"/>
  <c r="M37" i="56" s="1"/>
  <c r="F113" i="56"/>
  <c r="F37" i="56" s="1"/>
  <c r="F15" i="47"/>
  <c r="C46" i="47"/>
  <c r="D33" i="46"/>
  <c r="D18" i="46" s="1"/>
  <c r="C56" i="47" s="1"/>
  <c r="K98" i="46"/>
  <c r="K100" i="46" s="1"/>
  <c r="K34" i="46" s="1"/>
  <c r="K19" i="46" s="1"/>
  <c r="K23" i="46" s="1"/>
  <c r="C30" i="47" s="1"/>
  <c r="L98" i="46"/>
  <c r="L100" i="46" s="1"/>
  <c r="L34" i="46" s="1"/>
  <c r="L19" i="46" s="1"/>
  <c r="L23" i="46" s="1"/>
  <c r="F86" i="56" l="1"/>
  <c r="F32" i="56" s="1"/>
  <c r="F92" i="56"/>
  <c r="G129" i="46"/>
  <c r="D30" i="47"/>
  <c r="G129" i="56"/>
  <c r="G123" i="56"/>
  <c r="G125" i="56" s="1"/>
  <c r="G30" i="56" s="1"/>
  <c r="D57" i="47"/>
  <c r="G124" i="46"/>
  <c r="G125" i="46" s="1"/>
  <c r="G30" i="46" s="1"/>
  <c r="G130" i="56"/>
  <c r="G187" i="46"/>
  <c r="G186" i="56"/>
  <c r="G186" i="46"/>
  <c r="G187" i="56"/>
  <c r="G193" i="56"/>
  <c r="G193" i="46"/>
  <c r="G192" i="46"/>
  <c r="G192" i="56"/>
  <c r="G131" i="46"/>
  <c r="G31" i="46" s="1"/>
  <c r="F106" i="56"/>
  <c r="F35" i="56" s="1"/>
  <c r="F106" i="46"/>
  <c r="F35" i="46" s="1"/>
  <c r="N73" i="56"/>
  <c r="F22" i="56"/>
  <c r="G79" i="46"/>
  <c r="N79" i="46" s="1"/>
  <c r="N73" i="46"/>
  <c r="G140" i="46"/>
  <c r="G140" i="56"/>
  <c r="J76" i="50"/>
  <c r="F118" i="46"/>
  <c r="F119" i="46" s="1"/>
  <c r="F36" i="46" s="1"/>
  <c r="F93" i="46"/>
  <c r="F33" i="46" s="1"/>
  <c r="M85" i="46"/>
  <c r="M86" i="46" s="1"/>
  <c r="M32" i="46" s="1"/>
  <c r="J59" i="50"/>
  <c r="G150" i="56"/>
  <c r="G150" i="46"/>
  <c r="G72" i="56"/>
  <c r="G78" i="56" s="1"/>
  <c r="N78" i="56" s="1"/>
  <c r="N80" i="56" s="1"/>
  <c r="N29" i="56" s="1"/>
  <c r="G72" i="46"/>
  <c r="G78" i="46" s="1"/>
  <c r="M22" i="56"/>
  <c r="G66" i="46"/>
  <c r="N66" i="46" s="1"/>
  <c r="N60" i="46"/>
  <c r="M172" i="46"/>
  <c r="M49" i="46" s="1"/>
  <c r="M20" i="46" s="1"/>
  <c r="F49" i="46"/>
  <c r="F118" i="56"/>
  <c r="F119" i="56" s="1"/>
  <c r="F36" i="56" s="1"/>
  <c r="M85" i="56"/>
  <c r="M86" i="56" s="1"/>
  <c r="M32" i="56" s="1"/>
  <c r="F93" i="56"/>
  <c r="F33" i="56" s="1"/>
  <c r="G59" i="56"/>
  <c r="G65" i="56" s="1"/>
  <c r="N65" i="56" s="1"/>
  <c r="G59" i="46"/>
  <c r="G65" i="46" s="1"/>
  <c r="N65" i="46" s="1"/>
  <c r="F22" i="46"/>
  <c r="E60" i="47" s="1"/>
  <c r="G66" i="56"/>
  <c r="N66" i="56" s="1"/>
  <c r="N60" i="56"/>
  <c r="F49" i="56"/>
  <c r="M172" i="56"/>
  <c r="M49" i="56" s="1"/>
  <c r="M20" i="56" s="1"/>
  <c r="F98" i="46"/>
  <c r="M91" i="46"/>
  <c r="F164" i="46"/>
  <c r="F46" i="46"/>
  <c r="F17" i="46" s="1"/>
  <c r="M159" i="46"/>
  <c r="M46" i="46" s="1"/>
  <c r="F182" i="46"/>
  <c r="F50" i="46" s="1"/>
  <c r="G15" i="42"/>
  <c r="M91" i="56"/>
  <c r="F98" i="56"/>
  <c r="F182" i="56"/>
  <c r="F50" i="56" s="1"/>
  <c r="M159" i="56"/>
  <c r="M46" i="56" s="1"/>
  <c r="F46" i="56"/>
  <c r="F17" i="56" s="1"/>
  <c r="F164" i="56"/>
  <c r="G21" i="42"/>
  <c r="M37" i="46"/>
  <c r="M113" i="46"/>
  <c r="N78" i="46"/>
  <c r="J64" i="50"/>
  <c r="D34" i="46"/>
  <c r="D19" i="46" s="1"/>
  <c r="C57" i="47" s="1"/>
  <c r="G131" i="56" l="1"/>
  <c r="G31" i="56" s="1"/>
  <c r="G16" i="56" s="1"/>
  <c r="G74" i="46"/>
  <c r="G194" i="56"/>
  <c r="G188" i="46"/>
  <c r="G44" i="46" s="1"/>
  <c r="G15" i="46" s="1"/>
  <c r="G188" i="56"/>
  <c r="G44" i="56" s="1"/>
  <c r="G194" i="46"/>
  <c r="G45" i="46" s="1"/>
  <c r="G16" i="46"/>
  <c r="F54" i="47" s="1"/>
  <c r="F20" i="46"/>
  <c r="E58" i="47" s="1"/>
  <c r="N72" i="46"/>
  <c r="N74" i="46" s="1"/>
  <c r="N28" i="46" s="1"/>
  <c r="F20" i="56"/>
  <c r="N72" i="56"/>
  <c r="N74" i="56" s="1"/>
  <c r="N28" i="56" s="1"/>
  <c r="G80" i="56"/>
  <c r="G14" i="56" s="1"/>
  <c r="N59" i="46"/>
  <c r="N61" i="46" s="1"/>
  <c r="N67" i="46"/>
  <c r="G61" i="56"/>
  <c r="G26" i="56" s="1"/>
  <c r="N59" i="56"/>
  <c r="N61" i="56" s="1"/>
  <c r="N26" i="56" s="1"/>
  <c r="G67" i="46"/>
  <c r="G27" i="46" s="1"/>
  <c r="F21" i="56"/>
  <c r="N67" i="56"/>
  <c r="N27" i="56" s="1"/>
  <c r="G67" i="56"/>
  <c r="G27" i="56" s="1"/>
  <c r="G80" i="46"/>
  <c r="G14" i="46" s="1"/>
  <c r="N80" i="46"/>
  <c r="N29" i="46" s="1"/>
  <c r="M17" i="46"/>
  <c r="F21" i="46"/>
  <c r="E59" i="47" s="1"/>
  <c r="G74" i="56"/>
  <c r="G28" i="56" s="1"/>
  <c r="G61" i="46"/>
  <c r="G26" i="46" s="1"/>
  <c r="E43" i="47"/>
  <c r="E44" i="47" s="1"/>
  <c r="E46" i="47" s="1"/>
  <c r="E55" i="47"/>
  <c r="G23" i="42"/>
  <c r="G24" i="42" s="1"/>
  <c r="F22" i="47"/>
  <c r="F23" i="47" s="1"/>
  <c r="F47" i="46"/>
  <c r="F18" i="46" s="1"/>
  <c r="E56" i="47" s="1"/>
  <c r="F168" i="46"/>
  <c r="M164" i="46"/>
  <c r="M47" i="46" s="1"/>
  <c r="G155" i="46"/>
  <c r="G42" i="46"/>
  <c r="G40" i="46"/>
  <c r="N150" i="46"/>
  <c r="N42" i="46" s="1"/>
  <c r="G145" i="56"/>
  <c r="N140" i="56"/>
  <c r="N40" i="56" s="1"/>
  <c r="G145" i="46"/>
  <c r="N140" i="46"/>
  <c r="J57" i="50"/>
  <c r="G104" i="56"/>
  <c r="N104" i="56" s="1"/>
  <c r="K51" i="50"/>
  <c r="G104" i="46"/>
  <c r="N104" i="46" s="1"/>
  <c r="G15" i="56"/>
  <c r="G111" i="56"/>
  <c r="N111" i="56" s="1"/>
  <c r="G111" i="46"/>
  <c r="N111" i="46" s="1"/>
  <c r="M98" i="46"/>
  <c r="G155" i="56"/>
  <c r="G42" i="56"/>
  <c r="N150" i="56"/>
  <c r="N42" i="56" s="1"/>
  <c r="G40" i="56"/>
  <c r="F99" i="46"/>
  <c r="M99" i="46" s="1"/>
  <c r="M92" i="46"/>
  <c r="M93" i="46" s="1"/>
  <c r="M33" i="46" s="1"/>
  <c r="M17" i="56"/>
  <c r="M164" i="56"/>
  <c r="M47" i="56" s="1"/>
  <c r="F47" i="56"/>
  <c r="F18" i="56" s="1"/>
  <c r="F168" i="56"/>
  <c r="M92" i="56"/>
  <c r="M93" i="56" s="1"/>
  <c r="M33" i="56" s="1"/>
  <c r="F99" i="56"/>
  <c r="M99" i="56" s="1"/>
  <c r="M98" i="56"/>
  <c r="J81" i="50"/>
  <c r="J69" i="50"/>
  <c r="G28" i="46"/>
  <c r="G13" i="46"/>
  <c r="D35" i="47"/>
  <c r="C31" i="47"/>
  <c r="F52" i="47" l="1"/>
  <c r="F53" i="47"/>
  <c r="G13" i="56"/>
  <c r="F51" i="47" s="1"/>
  <c r="N13" i="56"/>
  <c r="K55" i="50"/>
  <c r="K56" i="50" s="1"/>
  <c r="G29" i="56"/>
  <c r="N13" i="46"/>
  <c r="G29" i="46"/>
  <c r="G11" i="56"/>
  <c r="N11" i="56"/>
  <c r="M18" i="46"/>
  <c r="G11" i="46"/>
  <c r="F49" i="47" s="1"/>
  <c r="F100" i="56"/>
  <c r="F34" i="56" s="1"/>
  <c r="M100" i="56"/>
  <c r="M34" i="56" s="1"/>
  <c r="G84" i="56"/>
  <c r="G91" i="56" s="1"/>
  <c r="G84" i="46"/>
  <c r="G177" i="56"/>
  <c r="G177" i="46"/>
  <c r="F100" i="46"/>
  <c r="F34" i="46" s="1"/>
  <c r="N145" i="56"/>
  <c r="N41" i="56" s="1"/>
  <c r="N12" i="56" s="1"/>
  <c r="G41" i="56"/>
  <c r="G12" i="56" s="1"/>
  <c r="M18" i="56"/>
  <c r="F48" i="56"/>
  <c r="M168" i="56"/>
  <c r="M48" i="56" s="1"/>
  <c r="J79" i="50"/>
  <c r="K73" i="50"/>
  <c r="N155" i="46"/>
  <c r="N43" i="46" s="1"/>
  <c r="N14" i="46" s="1"/>
  <c r="G43" i="46"/>
  <c r="N155" i="56"/>
  <c r="N43" i="56" s="1"/>
  <c r="N14" i="56" s="1"/>
  <c r="G43" i="56"/>
  <c r="N145" i="46"/>
  <c r="G41" i="46"/>
  <c r="G12" i="46" s="1"/>
  <c r="M168" i="46"/>
  <c r="M48" i="46" s="1"/>
  <c r="F48" i="46"/>
  <c r="M100" i="46"/>
  <c r="M34" i="46" s="1"/>
  <c r="H13" i="42"/>
  <c r="K52" i="50"/>
  <c r="K53" i="50"/>
  <c r="G14" i="47"/>
  <c r="J67" i="50"/>
  <c r="K61" i="50"/>
  <c r="G112" i="56"/>
  <c r="G112" i="46"/>
  <c r="C36" i="47"/>
  <c r="D31" i="47"/>
  <c r="F50" i="47" l="1"/>
  <c r="K77" i="50"/>
  <c r="K78" i="50" s="1"/>
  <c r="K74" i="50"/>
  <c r="K75" i="50"/>
  <c r="K65" i="50"/>
  <c r="K66" i="50" s="1"/>
  <c r="K63" i="50"/>
  <c r="H123" i="46" s="1"/>
  <c r="K62" i="50"/>
  <c r="H130" i="46" s="1"/>
  <c r="H124" i="56"/>
  <c r="F19" i="56"/>
  <c r="F19" i="46"/>
  <c r="M19" i="56"/>
  <c r="M23" i="56" s="1"/>
  <c r="G172" i="46"/>
  <c r="G159" i="56"/>
  <c r="G159" i="46"/>
  <c r="G172" i="56"/>
  <c r="N177" i="46"/>
  <c r="N178" i="46" s="1"/>
  <c r="N51" i="46" s="1"/>
  <c r="N22" i="46" s="1"/>
  <c r="G178" i="46"/>
  <c r="G51" i="46" s="1"/>
  <c r="K54" i="50"/>
  <c r="H60" i="56"/>
  <c r="H60" i="46"/>
  <c r="N177" i="56"/>
  <c r="N178" i="56" s="1"/>
  <c r="N51" i="56" s="1"/>
  <c r="G178" i="56"/>
  <c r="G51" i="56" s="1"/>
  <c r="H14" i="42"/>
  <c r="H20" i="42" s="1"/>
  <c r="G17" i="47"/>
  <c r="H73" i="56"/>
  <c r="H79" i="56" s="1"/>
  <c r="O79" i="56" s="1"/>
  <c r="H73" i="46"/>
  <c r="H19" i="42"/>
  <c r="G85" i="46"/>
  <c r="G86" i="46" s="1"/>
  <c r="G32" i="46" s="1"/>
  <c r="G105" i="56"/>
  <c r="N105" i="56" s="1"/>
  <c r="N106" i="56" s="1"/>
  <c r="N35" i="56" s="1"/>
  <c r="G85" i="56"/>
  <c r="G105" i="46"/>
  <c r="G106" i="46" s="1"/>
  <c r="G35" i="46" s="1"/>
  <c r="N84" i="46"/>
  <c r="G117" i="46"/>
  <c r="M19" i="46"/>
  <c r="M23" i="46" s="1"/>
  <c r="N84" i="56"/>
  <c r="G117" i="56"/>
  <c r="N112" i="46"/>
  <c r="G113" i="46"/>
  <c r="G37" i="46" s="1"/>
  <c r="G15" i="47"/>
  <c r="N112" i="56"/>
  <c r="N113" i="56" s="1"/>
  <c r="N37" i="56" s="1"/>
  <c r="G113" i="56"/>
  <c r="G37" i="56" s="1"/>
  <c r="D36" i="47"/>
  <c r="E30" i="47" l="1"/>
  <c r="G86" i="56"/>
  <c r="G32" i="56" s="1"/>
  <c r="G92" i="56"/>
  <c r="E57" i="47"/>
  <c r="E35" i="47"/>
  <c r="H123" i="56"/>
  <c r="H125" i="56" s="1"/>
  <c r="H30" i="56" s="1"/>
  <c r="H135" i="56"/>
  <c r="H136" i="56"/>
  <c r="H129" i="46"/>
  <c r="H131" i="46" s="1"/>
  <c r="H31" i="46" s="1"/>
  <c r="H129" i="56"/>
  <c r="H21" i="42"/>
  <c r="H130" i="56"/>
  <c r="H131" i="56" s="1"/>
  <c r="H31" i="56" s="1"/>
  <c r="H16" i="56" s="1"/>
  <c r="H186" i="56"/>
  <c r="H187" i="46"/>
  <c r="H187" i="56"/>
  <c r="H186" i="46"/>
  <c r="H124" i="46"/>
  <c r="H125" i="46" s="1"/>
  <c r="H30" i="46" s="1"/>
  <c r="H193" i="56"/>
  <c r="H192" i="46"/>
  <c r="H193" i="46"/>
  <c r="H192" i="56"/>
  <c r="H15" i="42"/>
  <c r="E31" i="47"/>
  <c r="E36" i="47" s="1"/>
  <c r="G106" i="56"/>
  <c r="G35" i="56" s="1"/>
  <c r="N22" i="56"/>
  <c r="N105" i="46"/>
  <c r="N106" i="46" s="1"/>
  <c r="N35" i="46" s="1"/>
  <c r="G22" i="56"/>
  <c r="O73" i="56"/>
  <c r="N85" i="46"/>
  <c r="N86" i="46" s="1"/>
  <c r="N32" i="46" s="1"/>
  <c r="G93" i="46"/>
  <c r="G33" i="46" s="1"/>
  <c r="G118" i="46"/>
  <c r="G119" i="46" s="1"/>
  <c r="G36" i="46" s="1"/>
  <c r="H66" i="56"/>
  <c r="O66" i="56" s="1"/>
  <c r="O60" i="56"/>
  <c r="H59" i="56"/>
  <c r="H65" i="56" s="1"/>
  <c r="O65" i="56" s="1"/>
  <c r="H59" i="46"/>
  <c r="H65" i="46" s="1"/>
  <c r="O65" i="46" s="1"/>
  <c r="G22" i="47"/>
  <c r="G23" i="47" s="1"/>
  <c r="H23" i="42"/>
  <c r="H24" i="42" s="1"/>
  <c r="H79" i="46"/>
  <c r="O79" i="46" s="1"/>
  <c r="O73" i="46"/>
  <c r="N91" i="56"/>
  <c r="G98" i="56"/>
  <c r="G98" i="46"/>
  <c r="N91" i="46"/>
  <c r="H150" i="46"/>
  <c r="H150" i="56"/>
  <c r="G49" i="56"/>
  <c r="N172" i="56"/>
  <c r="N49" i="56" s="1"/>
  <c r="N20" i="56" s="1"/>
  <c r="H72" i="56"/>
  <c r="H78" i="56" s="1"/>
  <c r="H80" i="56" s="1"/>
  <c r="H72" i="46"/>
  <c r="H78" i="46" s="1"/>
  <c r="O78" i="46" s="1"/>
  <c r="G164" i="46"/>
  <c r="G182" i="46"/>
  <c r="G50" i="46" s="1"/>
  <c r="G46" i="46"/>
  <c r="G17" i="46" s="1"/>
  <c r="N159" i="46"/>
  <c r="N46" i="46" s="1"/>
  <c r="G182" i="56"/>
  <c r="G50" i="56" s="1"/>
  <c r="G46" i="56"/>
  <c r="G17" i="56" s="1"/>
  <c r="G164" i="56"/>
  <c r="N159" i="56"/>
  <c r="N46" i="56" s="1"/>
  <c r="K59" i="50"/>
  <c r="G22" i="46"/>
  <c r="F60" i="47" s="1"/>
  <c r="G118" i="56"/>
  <c r="G119" i="56" s="1"/>
  <c r="G36" i="56" s="1"/>
  <c r="N85" i="56"/>
  <c r="N86" i="56" s="1"/>
  <c r="N32" i="56" s="1"/>
  <c r="H140" i="46"/>
  <c r="H140" i="56"/>
  <c r="K76" i="50"/>
  <c r="H66" i="46"/>
  <c r="O66" i="46" s="1"/>
  <c r="O60" i="46"/>
  <c r="N172" i="46"/>
  <c r="N49" i="46" s="1"/>
  <c r="G49" i="46"/>
  <c r="G20" i="46" s="1"/>
  <c r="K64" i="50"/>
  <c r="K69" i="50" s="1"/>
  <c r="N37" i="46"/>
  <c r="N113" i="46"/>
  <c r="H188" i="56" l="1"/>
  <c r="H44" i="56" s="1"/>
  <c r="H188" i="46"/>
  <c r="H44" i="46" s="1"/>
  <c r="H194" i="56"/>
  <c r="H194" i="46"/>
  <c r="H45" i="46" s="1"/>
  <c r="H16" i="46" s="1"/>
  <c r="G54" i="47" s="1"/>
  <c r="H54" i="47" s="1"/>
  <c r="H80" i="46"/>
  <c r="H29" i="46" s="1"/>
  <c r="H74" i="46"/>
  <c r="H28" i="46" s="1"/>
  <c r="O72" i="46"/>
  <c r="O74" i="46" s="1"/>
  <c r="O28" i="46" s="1"/>
  <c r="G21" i="56"/>
  <c r="O72" i="56"/>
  <c r="O74" i="56" s="1"/>
  <c r="O28" i="56" s="1"/>
  <c r="O59" i="46"/>
  <c r="O61" i="46" s="1"/>
  <c r="O78" i="56"/>
  <c r="O80" i="56" s="1"/>
  <c r="O29" i="56" s="1"/>
  <c r="H61" i="46"/>
  <c r="H26" i="46" s="1"/>
  <c r="G20" i="56"/>
  <c r="F58" i="47" s="1"/>
  <c r="N20" i="46"/>
  <c r="G21" i="46"/>
  <c r="O80" i="46"/>
  <c r="O29" i="46" s="1"/>
  <c r="H15" i="56"/>
  <c r="O67" i="56"/>
  <c r="O27" i="56" s="1"/>
  <c r="N17" i="56"/>
  <c r="O67" i="46"/>
  <c r="F43" i="47"/>
  <c r="F44" i="47" s="1"/>
  <c r="F46" i="47" s="1"/>
  <c r="F55" i="47"/>
  <c r="K57" i="50"/>
  <c r="H104" i="56"/>
  <c r="O104" i="56" s="1"/>
  <c r="H104" i="46"/>
  <c r="O104" i="46" s="1"/>
  <c r="G47" i="46"/>
  <c r="G18" i="46" s="1"/>
  <c r="G168" i="46"/>
  <c r="N164" i="46"/>
  <c r="N47" i="46" s="1"/>
  <c r="H155" i="56"/>
  <c r="H40" i="56"/>
  <c r="O150" i="56"/>
  <c r="O42" i="56" s="1"/>
  <c r="H42" i="56"/>
  <c r="N164" i="56"/>
  <c r="N47" i="56" s="1"/>
  <c r="G168" i="56"/>
  <c r="G47" i="56"/>
  <c r="N92" i="56"/>
  <c r="N93" i="56" s="1"/>
  <c r="N33" i="56" s="1"/>
  <c r="G99" i="56"/>
  <c r="N99" i="56" s="1"/>
  <c r="K79" i="50"/>
  <c r="K81" i="50"/>
  <c r="N98" i="46"/>
  <c r="N17" i="46"/>
  <c r="N98" i="56"/>
  <c r="H67" i="56"/>
  <c r="H27" i="56" s="1"/>
  <c r="H15" i="46"/>
  <c r="G53" i="47" s="1"/>
  <c r="H53" i="47" s="1"/>
  <c r="H145" i="46"/>
  <c r="O140" i="46"/>
  <c r="N92" i="46"/>
  <c r="N93" i="46" s="1"/>
  <c r="N33" i="46" s="1"/>
  <c r="G99" i="46"/>
  <c r="N99" i="46" s="1"/>
  <c r="H155" i="46"/>
  <c r="H42" i="46"/>
  <c r="H40" i="46"/>
  <c r="O150" i="46"/>
  <c r="O42" i="46" s="1"/>
  <c r="H145" i="56"/>
  <c r="O140" i="56"/>
  <c r="O40" i="56" s="1"/>
  <c r="H61" i="56"/>
  <c r="H26" i="56" s="1"/>
  <c r="H67" i="46"/>
  <c r="H27" i="46" s="1"/>
  <c r="H74" i="56"/>
  <c r="H13" i="56" s="1"/>
  <c r="O59" i="56"/>
  <c r="O61" i="56" s="1"/>
  <c r="O26" i="56" s="1"/>
  <c r="H111" i="56"/>
  <c r="O111" i="56" s="1"/>
  <c r="H111" i="46"/>
  <c r="O111" i="46" s="1"/>
  <c r="G93" i="56"/>
  <c r="G33" i="56" s="1"/>
  <c r="H112" i="56"/>
  <c r="H112" i="46"/>
  <c r="H29" i="56"/>
  <c r="H14" i="56"/>
  <c r="F59" i="47" l="1"/>
  <c r="H13" i="46"/>
  <c r="G51" i="47" s="1"/>
  <c r="H14" i="46"/>
  <c r="G52" i="47" s="1"/>
  <c r="H52" i="47" s="1"/>
  <c r="H11" i="46"/>
  <c r="O13" i="56"/>
  <c r="N18" i="46"/>
  <c r="O13" i="46"/>
  <c r="K67" i="50"/>
  <c r="H105" i="46" s="1"/>
  <c r="O105" i="46" s="1"/>
  <c r="O106" i="46" s="1"/>
  <c r="O35" i="46" s="1"/>
  <c r="G18" i="56"/>
  <c r="F56" i="47" s="1"/>
  <c r="G100" i="46"/>
  <c r="G34" i="46" s="1"/>
  <c r="N100" i="46"/>
  <c r="N34" i="46" s="1"/>
  <c r="H28" i="56"/>
  <c r="O11" i="56"/>
  <c r="G100" i="56"/>
  <c r="G34" i="56" s="1"/>
  <c r="N18" i="56"/>
  <c r="H84" i="56"/>
  <c r="H91" i="56" s="1"/>
  <c r="H84" i="46"/>
  <c r="O145" i="56"/>
  <c r="O41" i="56" s="1"/>
  <c r="O12" i="56" s="1"/>
  <c r="H41" i="56"/>
  <c r="H12" i="56" s="1"/>
  <c r="O145" i="46"/>
  <c r="H41" i="46"/>
  <c r="H12" i="46" s="1"/>
  <c r="G50" i="47" s="1"/>
  <c r="H50" i="47" s="1"/>
  <c r="H43" i="56"/>
  <c r="O155" i="56"/>
  <c r="O43" i="56" s="1"/>
  <c r="O14" i="56" s="1"/>
  <c r="N168" i="56"/>
  <c r="N48" i="56" s="1"/>
  <c r="G48" i="56"/>
  <c r="O155" i="46"/>
  <c r="O43" i="46" s="1"/>
  <c r="O14" i="46" s="1"/>
  <c r="H43" i="46"/>
  <c r="H177" i="56"/>
  <c r="H177" i="46"/>
  <c r="N168" i="46"/>
  <c r="N48" i="46" s="1"/>
  <c r="G48" i="46"/>
  <c r="H159" i="46"/>
  <c r="H172" i="46"/>
  <c r="H159" i="56"/>
  <c r="H172" i="56"/>
  <c r="H11" i="56"/>
  <c r="N100" i="56"/>
  <c r="N34" i="56" s="1"/>
  <c r="O112" i="46"/>
  <c r="H113" i="46"/>
  <c r="H37" i="46" s="1"/>
  <c r="O112" i="56"/>
  <c r="O113" i="56" s="1"/>
  <c r="O37" i="56" s="1"/>
  <c r="H113" i="56"/>
  <c r="H37" i="56" s="1"/>
  <c r="G49" i="47" l="1"/>
  <c r="H49" i="47" s="1"/>
  <c r="H85" i="56"/>
  <c r="H92" i="56" s="1"/>
  <c r="H105" i="56"/>
  <c r="O105" i="56" s="1"/>
  <c r="O106" i="56" s="1"/>
  <c r="O35" i="56" s="1"/>
  <c r="H85" i="46"/>
  <c r="H118" i="46" s="1"/>
  <c r="G19" i="46"/>
  <c r="N19" i="46"/>
  <c r="N23" i="46" s="1"/>
  <c r="G19" i="56"/>
  <c r="H106" i="46"/>
  <c r="H35" i="46" s="1"/>
  <c r="O177" i="46"/>
  <c r="O178" i="46" s="1"/>
  <c r="O51" i="46" s="1"/>
  <c r="O22" i="46" s="1"/>
  <c r="H178" i="46"/>
  <c r="H51" i="46" s="1"/>
  <c r="H22" i="46" s="1"/>
  <c r="H178" i="56"/>
  <c r="H51" i="56" s="1"/>
  <c r="H22" i="56" s="1"/>
  <c r="O177" i="56"/>
  <c r="O178" i="56" s="1"/>
  <c r="O51" i="56" s="1"/>
  <c r="O22" i="56" s="1"/>
  <c r="H46" i="56"/>
  <c r="H182" i="56"/>
  <c r="H50" i="56" s="1"/>
  <c r="H164" i="56"/>
  <c r="O159" i="56"/>
  <c r="O46" i="56" s="1"/>
  <c r="O172" i="56"/>
  <c r="O49" i="56" s="1"/>
  <c r="H49" i="56"/>
  <c r="H49" i="46"/>
  <c r="O172" i="46"/>
  <c r="O49" i="46" s="1"/>
  <c r="O20" i="46" s="1"/>
  <c r="H164" i="46"/>
  <c r="H182" i="46"/>
  <c r="H50" i="46" s="1"/>
  <c r="H46" i="46"/>
  <c r="O159" i="46"/>
  <c r="O46" i="46" s="1"/>
  <c r="O84" i="46"/>
  <c r="H117" i="46"/>
  <c r="H117" i="56"/>
  <c r="H86" i="56"/>
  <c r="H32" i="56" s="1"/>
  <c r="O84" i="56"/>
  <c r="N19" i="56"/>
  <c r="N23" i="56" s="1"/>
  <c r="H118" i="56"/>
  <c r="O85" i="56"/>
  <c r="O37" i="46"/>
  <c r="O113" i="46"/>
  <c r="F30" i="47" l="1"/>
  <c r="F31" i="47" s="1"/>
  <c r="F36" i="47" s="1"/>
  <c r="H86" i="46"/>
  <c r="H32" i="46" s="1"/>
  <c r="O85" i="46"/>
  <c r="F57" i="47"/>
  <c r="G60" i="47"/>
  <c r="H60" i="47" s="1"/>
  <c r="H93" i="46"/>
  <c r="H33" i="46" s="1"/>
  <c r="H106" i="56"/>
  <c r="H35" i="56" s="1"/>
  <c r="H20" i="56" s="1"/>
  <c r="O20" i="56"/>
  <c r="H119" i="56"/>
  <c r="H36" i="56" s="1"/>
  <c r="H21" i="56" s="1"/>
  <c r="H20" i="46"/>
  <c r="O86" i="46"/>
  <c r="O32" i="46" s="1"/>
  <c r="O17" i="46" s="1"/>
  <c r="H17" i="46"/>
  <c r="H93" i="56"/>
  <c r="H33" i="56" s="1"/>
  <c r="O91" i="56"/>
  <c r="H98" i="56"/>
  <c r="H99" i="56"/>
  <c r="O99" i="56" s="1"/>
  <c r="O92" i="56"/>
  <c r="H47" i="56"/>
  <c r="H168" i="56"/>
  <c r="O164" i="56"/>
  <c r="O47" i="56" s="1"/>
  <c r="H47" i="46"/>
  <c r="H168" i="46"/>
  <c r="O164" i="46"/>
  <c r="O47" i="46" s="1"/>
  <c r="H119" i="46"/>
  <c r="H36" i="46" s="1"/>
  <c r="H21" i="46" s="1"/>
  <c r="H98" i="46"/>
  <c r="O91" i="46"/>
  <c r="O86" i="56"/>
  <c r="O32" i="56" s="1"/>
  <c r="O17" i="56" s="1"/>
  <c r="H17" i="56"/>
  <c r="O92" i="46" l="1"/>
  <c r="F35" i="47"/>
  <c r="H99" i="46"/>
  <c r="O99" i="46" s="1"/>
  <c r="G59" i="47"/>
  <c r="H59" i="47" s="1"/>
  <c r="G58" i="47"/>
  <c r="H58" i="47" s="1"/>
  <c r="G43" i="47"/>
  <c r="H43" i="47" s="1"/>
  <c r="G55" i="47"/>
  <c r="H55" i="47" s="1"/>
  <c r="H100" i="56"/>
  <c r="H34" i="56" s="1"/>
  <c r="O98" i="56"/>
  <c r="O100" i="56" s="1"/>
  <c r="O34" i="56" s="1"/>
  <c r="O93" i="56"/>
  <c r="O33" i="56" s="1"/>
  <c r="O168" i="46"/>
  <c r="O48" i="46" s="1"/>
  <c r="H48" i="46"/>
  <c r="H18" i="56"/>
  <c r="O98" i="46"/>
  <c r="G44" i="47"/>
  <c r="O93" i="46"/>
  <c r="O33" i="46" s="1"/>
  <c r="O18" i="46" s="1"/>
  <c r="H18" i="46"/>
  <c r="O168" i="56"/>
  <c r="O48" i="56" s="1"/>
  <c r="H48" i="56"/>
  <c r="O100" i="46" l="1"/>
  <c r="O34" i="46" s="1"/>
  <c r="H100" i="46"/>
  <c r="H34" i="46" s="1"/>
  <c r="O18" i="56"/>
  <c r="G56" i="47"/>
  <c r="H56" i="47" s="1"/>
  <c r="H19" i="46"/>
  <c r="O19" i="56"/>
  <c r="O23" i="56" s="1"/>
  <c r="H19" i="56"/>
  <c r="H51" i="47" s="1"/>
  <c r="H44" i="47"/>
  <c r="H46" i="47" s="1"/>
  <c r="G46" i="47"/>
  <c r="O19" i="46"/>
  <c r="O23" i="46" s="1"/>
  <c r="G30" i="47" l="1"/>
  <c r="G57" i="47"/>
  <c r="H57" i="47" s="1"/>
  <c r="G35" i="47"/>
  <c r="G31" i="47"/>
  <c r="G36"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D6097076-5041-4903-88C4-9D4B2CC7DBD9}">
      <text>
        <r>
          <rPr>
            <b/>
            <sz val="9"/>
            <color indexed="81"/>
            <rFont val="Tahoma"/>
            <family val="2"/>
          </rPr>
          <t>Author:</t>
        </r>
        <r>
          <rPr>
            <sz val="9"/>
            <color indexed="81"/>
            <rFont val="Tahoma"/>
            <family val="2"/>
          </rPr>
          <t xml:space="preserve">
0,1 and 2 years completed as a consultant
</t>
        </r>
      </text>
    </comment>
    <comment ref="B46" authorId="0" shapeId="0" xr:uid="{DED72051-A0A6-4AD6-A92C-1957E05116BD}">
      <text>
        <r>
          <rPr>
            <b/>
            <sz val="9"/>
            <color indexed="81"/>
            <rFont val="Tahoma"/>
            <family val="2"/>
          </rPr>
          <t>Author:</t>
        </r>
        <r>
          <rPr>
            <sz val="9"/>
            <color indexed="81"/>
            <rFont val="Tahoma"/>
            <family val="2"/>
          </rPr>
          <t xml:space="preserve">
4 to 13 years completed as a consultant (average pay)
</t>
        </r>
      </text>
    </comment>
    <comment ref="B47" authorId="0" shapeId="0" xr:uid="{C803B6C5-BE3F-4F2D-B039-8305F2AE0F93}">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<sst xmlns="http://schemas.openxmlformats.org/spreadsheetml/2006/main" count="2764" uniqueCount="1160">
  <si>
    <t>Putting NICE guidance into practice</t>
  </si>
  <si>
    <t>Resource impact template:</t>
  </si>
  <si>
    <t>AposHealth for osteoarthritis of the knee (MTG76)</t>
  </si>
  <si>
    <t>Blue cells throughout the template allow users to amend the cells</t>
  </si>
  <si>
    <t>Published: April 2023</t>
  </si>
  <si>
    <t>Specialty area</t>
  </si>
  <si>
    <t>Trauma &amp; Orthopaedics</t>
  </si>
  <si>
    <t>Disease area</t>
  </si>
  <si>
    <t>Osteoarthritis of the knee</t>
  </si>
  <si>
    <t>Pathway position</t>
  </si>
  <si>
    <t>Provider</t>
  </si>
  <si>
    <t>Secondary care</t>
  </si>
  <si>
    <t>Commissioner</t>
  </si>
  <si>
    <t>ICB</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</si>
  <si>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</si>
  <si>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</si>
  <si>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</si>
  <si>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</si>
  <si>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</si>
  <si>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</si>
  <si>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</si>
  <si>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</si>
  <si>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</si>
  <si>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</si>
  <si>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</si>
  <si>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</si>
  <si>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</si>
  <si>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</si>
  <si>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</si>
  <si>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</si>
  <si>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</si>
  <si>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</si>
  <si>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</si>
  <si>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</si>
  <si>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</si>
  <si>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</si>
  <si>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</si>
  <si>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</si>
  <si>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</si>
  <si>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</si>
  <si>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</si>
  <si>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</si>
  <si>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</si>
  <si>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</si>
  <si>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</si>
  <si>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</si>
  <si>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</si>
  <si>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</si>
  <si>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</si>
  <si>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</si>
  <si>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</si>
  <si>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</si>
  <si>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</si>
  <si>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</si>
  <si>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</si>
  <si>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</si>
  <si>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</si>
  <si>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</si>
  <si>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</si>
  <si>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</si>
  <si>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</si>
  <si>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</si>
  <si>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</si>
  <si>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</si>
  <si>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</si>
  <si>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</si>
  <si>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</si>
  <si>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</si>
  <si>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</si>
  <si>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</si>
  <si>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</si>
  <si>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</si>
  <si>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</si>
  <si>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</si>
  <si>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</si>
  <si>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</si>
  <si>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</si>
  <si>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</si>
  <si>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</si>
  <si>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</si>
  <si>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</si>
  <si>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</si>
  <si>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</si>
  <si>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</si>
  <si>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</si>
  <si>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</si>
  <si>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</si>
  <si>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</si>
  <si>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</si>
  <si>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</si>
  <si>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</si>
  <si>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</si>
  <si>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</si>
  <si>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</si>
  <si>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</si>
  <si>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</si>
  <si>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</si>
  <si>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</si>
  <si>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</si>
  <si>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</si>
  <si>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</si>
  <si>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</si>
  <si>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</si>
  <si>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</si>
  <si>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</si>
  <si>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</si>
  <si>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</si>
  <si>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</si>
  <si>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</si>
  <si>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</si>
  <si>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</si>
  <si>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</si>
  <si>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</si>
  <si>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</si>
  <si>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</si>
  <si>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</si>
  <si>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</si>
  <si>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</si>
  <si>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</si>
  <si>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</si>
  <si>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</si>
  <si>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</si>
  <si>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</si>
  <si>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</si>
  <si>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</si>
  <si>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</si>
  <si>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</si>
  <si>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</si>
  <si>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</si>
  <si>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</si>
  <si>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</si>
  <si>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</si>
  <si>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</si>
  <si>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</si>
  <si>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</si>
  <si>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</si>
  <si>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</si>
  <si>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</si>
  <si>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</si>
  <si>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</si>
  <si>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</si>
  <si>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</si>
  <si>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</si>
  <si>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</si>
  <si>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</si>
  <si>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</si>
  <si>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</si>
  <si>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</si>
  <si>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</si>
  <si>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</si>
  <si>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</si>
  <si>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</si>
  <si>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</si>
  <si>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</si>
  <si>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</si>
  <si>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</si>
  <si>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</si>
  <si>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</si>
  <si>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</si>
  <si>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</si>
  <si>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</si>
  <si>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</si>
  <si>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</si>
  <si>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</si>
  <si>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</si>
  <si>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</si>
  <si>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</si>
  <si>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</si>
  <si>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</si>
  <si>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</si>
  <si>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</si>
  <si>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</si>
  <si>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</si>
  <si>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</si>
  <si>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</si>
  <si>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</si>
  <si>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</si>
  <si>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</si>
  <si>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</si>
  <si>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</si>
  <si>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</si>
  <si>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</si>
  <si>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</si>
  <si>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</si>
  <si>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</si>
  <si>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</si>
  <si>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</si>
  <si>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</si>
  <si>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</si>
  <si>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</si>
  <si>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</si>
  <si>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</si>
  <si>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</si>
  <si>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</si>
  <si>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</si>
  <si>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</si>
  <si>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</si>
  <si>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</si>
  <si>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</si>
  <si>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</si>
  <si>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</si>
  <si>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</si>
  <si>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</si>
  <si>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</si>
  <si>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</si>
  <si>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</si>
  <si>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</si>
  <si>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</si>
  <si>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</si>
  <si>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</si>
  <si>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</si>
  <si>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</si>
  <si>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</si>
  <si>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</si>
  <si>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</si>
  <si>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</si>
  <si>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</si>
  <si>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</si>
  <si>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</si>
  <si>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</si>
  <si>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</si>
  <si>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</si>
  <si>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</si>
  <si>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</si>
  <si>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</si>
  <si>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</si>
  <si>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</si>
  <si>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</si>
  <si>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</si>
  <si>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</si>
  <si>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</si>
  <si>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</si>
  <si>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</si>
  <si>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</si>
  <si>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</si>
  <si>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</si>
  <si>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</si>
  <si>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</si>
  <si>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</si>
  <si>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</si>
  <si>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</si>
  <si>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</si>
  <si>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</si>
  <si>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</si>
  <si>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</si>
  <si>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</si>
  <si>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</si>
  <si>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</si>
  <si>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</si>
  <si>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</si>
  <si>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</si>
  <si>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</si>
  <si>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</si>
  <si>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</si>
  <si>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</si>
  <si>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</si>
  <si>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</si>
  <si>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</si>
  <si>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</si>
  <si>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</si>
  <si>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</si>
  <si>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</si>
  <si>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</si>
  <si>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</si>
  <si>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</si>
  <si>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</si>
  <si>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</si>
  <si>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</si>
  <si>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</si>
  <si>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</si>
  <si>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</si>
  <si>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</si>
  <si>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</si>
  <si>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</si>
  <si>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</si>
  <si>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</si>
  <si>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</si>
  <si>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</si>
  <si>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</si>
  <si>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</si>
  <si>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</si>
  <si>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</si>
  <si>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</si>
  <si>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</si>
  <si>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</si>
  <si>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</si>
  <si>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</si>
  <si>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</si>
  <si>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</si>
  <si>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</si>
  <si>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</si>
  <si>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</si>
  <si>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</si>
  <si>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</si>
  <si>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</si>
  <si>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</si>
  <si>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</si>
  <si>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</si>
  <si>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</si>
  <si>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</si>
  <si>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</si>
  <si>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</si>
  <si>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</si>
  <si>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</si>
  <si>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</si>
  <si>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</si>
  <si>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</si>
  <si>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</si>
  <si>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</si>
  <si>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</si>
  <si>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</si>
  <si>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</si>
  <si>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</si>
  <si>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</si>
  <si>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</si>
  <si>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</si>
  <si>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</si>
  <si>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</si>
  <si>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</si>
  <si>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</si>
  <si>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</si>
  <si>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</si>
  <si>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</si>
  <si>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</si>
  <si>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</si>
  <si>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</si>
  <si>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</si>
  <si>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</si>
  <si>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</si>
  <si>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</si>
  <si>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</si>
  <si>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</si>
  <si>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</si>
  <si>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</si>
  <si>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</si>
  <si>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</si>
  <si>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</si>
  <si>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</si>
  <si>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</si>
  <si>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</si>
  <si>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</si>
  <si>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</si>
  <si>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</si>
  <si>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</si>
  <si>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</si>
  <si>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</si>
  <si>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</si>
  <si>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</si>
  <si>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</si>
  <si>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</si>
  <si>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</si>
  <si>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</si>
  <si>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</si>
  <si>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</si>
  <si>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</si>
  <si>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</si>
  <si>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</si>
  <si>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</si>
  <si>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</si>
  <si>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</si>
  <si>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</si>
  <si>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</si>
  <si>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</si>
  <si>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</si>
  <si>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</si>
  <si>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</si>
  <si>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</si>
  <si>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</si>
  <si>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</si>
  <si>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</si>
  <si>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</si>
  <si>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</si>
  <si>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</si>
  <si>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</si>
  <si>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</si>
  <si>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</si>
  <si>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</si>
  <si>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</si>
  <si>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</si>
  <si>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</si>
  <si>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</si>
  <si>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</si>
  <si>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</si>
  <si>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</si>
  <si>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</si>
  <si>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</si>
  <si>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</si>
  <si>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</si>
  <si>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</si>
  <si>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</si>
  <si>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</si>
  <si>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</si>
  <si>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</si>
  <si>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</si>
  <si>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</si>
  <si>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</si>
  <si>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</si>
  <si>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</si>
  <si>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</si>
  <si>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</si>
  <si>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</si>
  <si>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</si>
  <si>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</si>
  <si>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</si>
  <si>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</si>
  <si>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</si>
  <si>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</si>
  <si>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</si>
  <si>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</si>
  <si>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</si>
  <si>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</si>
  <si>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</si>
  <si>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</si>
  <si>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</si>
  <si>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</si>
  <si>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</si>
  <si>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</si>
  <si>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</si>
  <si>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</si>
  <si>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</si>
  <si>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</si>
  <si>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</si>
  <si>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</si>
  <si>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</si>
  <si>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</si>
  <si>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</si>
  <si>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</si>
  <si>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</si>
  <si>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</si>
  <si>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</si>
  <si>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</si>
  <si>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</si>
  <si>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</si>
  <si>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</si>
  <si>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</si>
  <si>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</si>
  <si>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</si>
  <si>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</si>
  <si>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</si>
  <si>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</si>
  <si>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</si>
  <si>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</si>
  <si>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</si>
  <si>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</si>
  <si>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</si>
  <si>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</si>
  <si>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</si>
  <si>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</si>
  <si>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</si>
  <si>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</si>
  <si>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</si>
  <si>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</si>
  <si>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</si>
  <si>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</si>
  <si>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</si>
  <si>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</si>
  <si>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</si>
  <si>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</si>
  <si>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</si>
  <si>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</si>
  <si>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</si>
  <si>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</si>
  <si>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</si>
  <si>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</si>
  <si>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</si>
  <si>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</si>
  <si>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</si>
  <si>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</si>
  <si>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</si>
  <si>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</si>
  <si>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</si>
  <si>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</si>
  <si>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</si>
  <si>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</si>
  <si>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</si>
  <si>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</si>
  <si>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</si>
  <si>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</si>
  <si>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</si>
  <si>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</si>
  <si>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</si>
  <si>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</si>
  <si>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</si>
  <si>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</si>
  <si>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</si>
  <si>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</si>
  <si>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</si>
  <si>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</si>
  <si>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</si>
  <si>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</si>
  <si>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</si>
  <si>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</si>
  <si>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</si>
  <si>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</si>
  <si>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</si>
  <si>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</si>
  <si>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</si>
  <si>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</si>
  <si>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</si>
  <si>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</si>
  <si>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</si>
  <si>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</si>
  <si>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</si>
  <si>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</si>
  <si>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</si>
  <si>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</si>
  <si>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</si>
  <si>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</si>
  <si>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</si>
  <si>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</si>
  <si>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</si>
  <si>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</si>
  <si>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</si>
  <si>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</si>
  <si>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</si>
  <si>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</si>
  <si>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</si>
  <si>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</si>
  <si>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</si>
  <si>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</si>
  <si>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</si>
  <si>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</si>
  <si>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</si>
  <si>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</si>
  <si>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</si>
  <si>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</si>
  <si>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</si>
  <si>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</si>
  <si>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</si>
  <si>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</si>
  <si>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</si>
  <si>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</si>
  <si>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</si>
  <si>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</si>
  <si>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</si>
  <si>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</si>
  <si>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</si>
  <si>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</si>
  <si>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</si>
  <si>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</si>
  <si>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</si>
  <si>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</si>
  <si>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</si>
  <si>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</si>
  <si>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</si>
  <si>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</si>
  <si>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</si>
  <si>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</si>
  <si>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</si>
  <si>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</si>
  <si>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</si>
  <si>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</si>
  <si>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</si>
  <si>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</si>
  <si>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</si>
  <si>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</si>
  <si>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</si>
  <si>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</si>
  <si>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</si>
  <si>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</si>
  <si>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</si>
  <si>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</si>
  <si>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</si>
  <si>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</si>
  <si>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</si>
  <si>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</si>
  <si>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</si>
  <si>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</si>
  <si>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</si>
  <si>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</si>
  <si>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</si>
  <si>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</si>
  <si>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</si>
  <si>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</si>
  <si>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</si>
  <si>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</si>
  <si>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</si>
  <si>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</si>
  <si>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</si>
  <si>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</si>
  <si>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</si>
  <si>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</si>
  <si>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</si>
  <si>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</si>
  <si>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</si>
  <si>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</si>
  <si>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</si>
  <si>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</si>
  <si>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</si>
  <si>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</si>
  <si>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</si>
  <si>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</si>
  <si>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</si>
  <si>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</si>
  <si>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</si>
  <si>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</si>
  <si>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</si>
  <si>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</si>
  <si>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</si>
  <si>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</si>
  <si>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</si>
  <si>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</si>
  <si>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</si>
  <si>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</si>
  <si>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</si>
  <si>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</si>
  <si>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</si>
  <si>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</si>
  <si>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</si>
  <si>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</si>
  <si>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</si>
  <si>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</si>
  <si>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</si>
  <si>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</si>
  <si>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</si>
  <si>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</si>
  <si>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</si>
  <si>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</si>
  <si>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</si>
  <si>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</si>
  <si>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</si>
  <si>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</si>
  <si>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</si>
  <si>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</si>
  <si>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</si>
  <si>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</si>
  <si>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</si>
  <si>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</si>
  <si>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</si>
  <si>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</si>
  <si>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</si>
  <si>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</si>
  <si>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</si>
  <si>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</si>
  <si>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</si>
  <si>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</si>
  <si>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</si>
  <si>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</si>
  <si>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</si>
  <si>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</si>
  <si>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</si>
  <si>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</si>
  <si>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</si>
  <si>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</si>
  <si>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</si>
  <si>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</si>
  <si>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</si>
  <si>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</si>
  <si>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</si>
  <si>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</si>
  <si>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</si>
  <si>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</si>
  <si>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</si>
  <si>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</si>
  <si>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</si>
  <si>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</si>
  <si>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</si>
  <si>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</si>
  <si>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</si>
  <si>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</si>
  <si>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</si>
  <si>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</si>
  <si>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AposHealth for osteoarthritis of the knee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</si>
  <si>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</si>
  <si>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</si>
  <si>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</si>
  <si>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</si>
  <si>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</si>
  <si>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</si>
  <si>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</si>
  <si>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</si>
  <si>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</si>
  <si>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</si>
  <si>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</si>
  <si>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</si>
  <si>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</si>
  <si>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</si>
  <si>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References and data sources</t>
  </si>
  <si>
    <t>Adult population (16 years and above)</t>
  </si>
  <si>
    <t>See notes below</t>
  </si>
  <si>
    <r>
      <rPr>
        <b/>
        <sz val="11"/>
        <rFont val="Calibri"/>
        <family val="2"/>
        <scheme val="minor"/>
      </rPr>
      <t>Adult population</t>
    </r>
    <r>
      <rPr>
        <sz val="11"/>
        <rFont val="Calibri"/>
        <family val="2"/>
        <scheme val="minor"/>
      </rPr>
      <t xml:space="preserve"> forecast at year 5</t>
    </r>
  </si>
  <si>
    <t>Prevalence of symptomatic clinically diagnosed osteoarthritis (OA) in England</t>
  </si>
  <si>
    <t>S. Swain et al. (2020) Trends in incidence and prevalence of osteoarthritis in the United Kingdom: findings from the Clinical Practice Research Datalink (CPRD). Osteoarthritis and Cartilage 28 (2020) 792e801</t>
  </si>
  <si>
    <t>Proportion with symptomatic clinically diagnosed knee OA</t>
  </si>
  <si>
    <t xml:space="preserve">Vos et al. 2012. Years lived with disability (YLDs) for 1160 sequelae of 289 diseases and injuries 1990-2010: a systematic analysis for the Global Burden of Disease Study 2010 </t>
  </si>
  <si>
    <t>Proportion of people receiving non-surgical standard care treatment options</t>
  </si>
  <si>
    <t>Local input</t>
  </si>
  <si>
    <t xml:space="preserve">Proportion of people who do not sufficiently benefit from non-surgical standard care and who meet criteria for surgery but do not want or are not actively engaged in secondary care  </t>
  </si>
  <si>
    <t xml:space="preserve">Proportion of people who do not sufficiently benefit from non-surgical standard care and who meet criteria for surgery and are actively engaged with the health system  </t>
  </si>
  <si>
    <t>Proportion of people receiving surgery</t>
  </si>
  <si>
    <t>As per McHugh et al., 2011 demonstrated 33% of the patients with a confirmed diagnosis of OA that are referred to an orthopaedic consultant and considered potentially suitable for TKR will undergo surgery within 12 months.</t>
  </si>
  <si>
    <t xml:space="preserve"> Remaining proportion of patients that could potentially have Apos offered</t>
  </si>
  <si>
    <t>Eligible population</t>
  </si>
  <si>
    <t>Do you want to use the NICE estimate of your eligible population?</t>
  </si>
  <si>
    <t>Population growth (100% represents no growth)</t>
  </si>
  <si>
    <t>Disease change in incidence/prevalence (100% represents no growth)</t>
  </si>
  <si>
    <t>Comparison of interventions</t>
  </si>
  <si>
    <t>In a world with the new options</t>
  </si>
  <si>
    <t>year 1</t>
  </si>
  <si>
    <t>year 2</t>
  </si>
  <si>
    <t>year 3</t>
  </si>
  <si>
    <t>year 4</t>
  </si>
  <si>
    <t>year 5</t>
  </si>
  <si>
    <t>People receiving AposHealth at the beginning of the year</t>
  </si>
  <si>
    <t>% who have surgery on first knee in year</t>
  </si>
  <si>
    <t>% who have surgery on the second knee in year</t>
  </si>
  <si>
    <t>Total number of surgeries</t>
  </si>
  <si>
    <t>People receiving standard of care at the beginning of year</t>
  </si>
  <si>
    <t>Direct comparison of people on Apos with standard care</t>
  </si>
  <si>
    <t>In a world without the new options</t>
  </si>
  <si>
    <t>Input market share estimates locally</t>
  </si>
  <si>
    <t>Number of people treated each year decreases by the number who have had surgery in previous year</t>
  </si>
  <si>
    <t>Rates of knee surgery based on the AposHealth economic mode demonstrating 2- and 5-year net savings versus standard OA care</t>
  </si>
  <si>
    <t>Capacity requirements</t>
  </si>
  <si>
    <t>This section considers different types of capacity impact, grouped by colour.  Enter data in blue cells for each data type.</t>
  </si>
  <si>
    <t>Each type of capacity is assessed in terms of activity (and some by cost) on the Capacity worksheets.</t>
  </si>
  <si>
    <t>Some capacity impacts have not been included in table below, e.g., physiotherapy, occupational therapy or rehabilitation have not been included in table below. Costs in relation to these are estimated in the unit costs worksheet.</t>
  </si>
  <si>
    <t>Capacity area</t>
  </si>
  <si>
    <t>Unit definition</t>
  </si>
  <si>
    <t>Frequency</t>
  </si>
  <si>
    <t>AposHealth</t>
  </si>
  <si>
    <t>Standard of care</t>
  </si>
  <si>
    <t>Grade of staff (dropdown cells)</t>
  </si>
  <si>
    <t>Cost per hour</t>
  </si>
  <si>
    <t>Cost per appointment</t>
  </si>
  <si>
    <t>Orthotic service first appointment</t>
  </si>
  <si>
    <t>per person</t>
  </si>
  <si>
    <t>per year</t>
  </si>
  <si>
    <t>Duration of orthotic service first appointment</t>
  </si>
  <si>
    <t>Time per person</t>
  </si>
  <si>
    <t>Band 8a Mid</t>
  </si>
  <si>
    <t>Orthotic service (biomechanical assessment)  follow-up appointment</t>
  </si>
  <si>
    <t>Duration of orthotic service follow-up appointment</t>
  </si>
  <si>
    <t>Orthopaedic outpatient appointment - first attendance</t>
  </si>
  <si>
    <t>Consultant mid</t>
  </si>
  <si>
    <t>Orthopaedic outpatient appointment - follow up</t>
  </si>
  <si>
    <t>GP visits</t>
  </si>
  <si>
    <t>Per person</t>
  </si>
  <si>
    <t>Per year</t>
  </si>
  <si>
    <t>Bed days for organisation selected (automatically populated once you select your organisation (ICB) above).  For non ICB organisation manually enter your own local data.</t>
  </si>
  <si>
    <t>Notes</t>
  </si>
  <si>
    <t>Orthopaedic outpatient appointments include first and follow up attendances</t>
  </si>
  <si>
    <t>Revision/complications orthopaedic outpatient appointment are all follow up post surgery</t>
  </si>
  <si>
    <t>Model assumed 1 first and 1 follow-up orthopaedic appointment</t>
  </si>
  <si>
    <t>Model assumed 2 follow-up orthopaedic appointments for revision/complications of knee surgery</t>
  </si>
  <si>
    <t>Model assumed 1 GP appointment associated with knee surgery</t>
  </si>
  <si>
    <t>Other GP visits are estimated as part of the standard care package (see unit costs worksheet)</t>
  </si>
  <si>
    <t>Staff time is for AposHealth evaluation and follow-up appointments</t>
  </si>
  <si>
    <t>Template assumes same capacity impacts for standard care. Users can amend to reflect local practice.</t>
  </si>
  <si>
    <t>Population data notes</t>
  </si>
  <si>
    <t>The population data are based on:</t>
  </si>
  <si>
    <t>-Population Estimates, England and Wales: mid-2022</t>
  </si>
  <si>
    <t>https://www.ons.gov.uk/peoplepopulationandcommunity/populationandmigration/populationestimates</t>
  </si>
  <si>
    <t>-2022 Mid-Year Population Estimates for Northern Ireland</t>
  </si>
  <si>
    <t>https://www.nisra.gov.uk/statistics/population/mid-year-population-estimates</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</si>
  <si>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</si>
  <si>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</si>
  <si>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</si>
  <si>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-National population projections: 2021-based interim for England and Wales.  Northern Ireland assumes the same data.</t>
  </si>
  <si>
    <t>https://www.ons.gov.uk/peoplepopulationandcommunity/populationandmigration/populationprojections/bulletins/nationalpopulationprojections/2021basedinterim</t>
  </si>
  <si>
    <t xml:space="preserve">These data use mid-year population estimate for mid-2021 as the start point of the projection.  </t>
  </si>
  <si>
    <t>The projected 2022-23 figure is adjusted by NICE to reconcile to Mid-Year Population Estimates, England and Wales, June 2022.  Thereafter projection rates are used</t>
  </si>
  <si>
    <t>so that mid 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</si>
  <si>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</si>
  <si>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</si>
  <si>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AposHealth cost workings</t>
  </si>
  <si>
    <t>Details</t>
  </si>
  <si>
    <t xml:space="preserve">Cost </t>
  </si>
  <si>
    <t>VAT rate</t>
  </si>
  <si>
    <t>Annual cost</t>
  </si>
  <si>
    <t>Device/technology</t>
  </si>
  <si>
    <t>Other costs (Staff backfill for training)</t>
  </si>
  <si>
    <t>All components - cost per person</t>
  </si>
  <si>
    <t>https://my.supplychain.nhs.uk/catalogue/search?LastCartId=&amp;LastFavouriteId=&amp;Query=AposHealth&amp;HideInactiveProducts=false</t>
  </si>
  <si>
    <t>Accessed on 19.06.2024</t>
  </si>
  <si>
    <t>The unit cost includes the cost of the device/technology, access to standardised outcome measures on the Apos Health clinical tracking system and training of relevant healthcare</t>
  </si>
  <si>
    <t xml:space="preserve">professionals (typically consisting of 6 hours theory training and 5 to 10 observed calibrations that are delivered as part of routine service provision). </t>
  </si>
  <si>
    <t>Other costs may be incurred such as backfilling of staff attending training. Organisations can amend to reflect local pricing agreements.</t>
  </si>
  <si>
    <t>The main standard care treatments for the symptoms of osteoarthritis include lifestyle measures, medication and supportive therapies such as transcutaneous electrical nerve stimulation (TENS), hot or cold packs, assistive devices</t>
  </si>
  <si>
    <t xml:space="preserve">(where a physiotherapist or an occupational therapist for specialist help and advice on special footwear or insoles for shoes, leg braces and supports and walking aid, such as a stick or cane). Also, manual therapy, a technique where a physiotherapist uses </t>
  </si>
  <si>
    <t>their hands to stretch, mobilise and massage the body tissues to keep your joints supple and flexible. The table below will help to identify the main cost elements of standard of OA care that may be saved by using the AposHealth technology.</t>
  </si>
  <si>
    <t>It excludes pharmacological interventions which are estimated in a separate table below..</t>
  </si>
  <si>
    <t>The list in table below is not exhaustive. Users can add other interventions not listed to estimate the full costs based on their local practice.</t>
  </si>
  <si>
    <t>Currency code</t>
  </si>
  <si>
    <t>Units required per patient</t>
  </si>
  <si>
    <t>Average unit cost per patient</t>
  </si>
  <si>
    <t>Total cost per patient</t>
  </si>
  <si>
    <t>% of people receiving each of the standard of care</t>
  </si>
  <si>
    <t>Standard care costs</t>
  </si>
  <si>
    <t>% of people receiving each of the  AposHealth standard of care</t>
  </si>
  <si>
    <t>AposHealth standard care cost</t>
  </si>
  <si>
    <t>Transcutaneous electrical nerve (sessions)</t>
  </si>
  <si>
    <t>Leg braces</t>
  </si>
  <si>
    <t>Walking aids</t>
  </si>
  <si>
    <t>Cold packs</t>
  </si>
  <si>
    <t>Hot packs</t>
  </si>
  <si>
    <t>All components</t>
  </si>
  <si>
    <t>Knee replacement surgery</t>
  </si>
  <si>
    <t>Unit costs based on NHS National Cost Collection Data 2022/23. Available from:</t>
  </si>
  <si>
    <t>https://www.england.nhs.uk/publication/2022-23-national-cost-collection-data-publication/</t>
  </si>
  <si>
    <t xml:space="preserve">For more details on the unit costs see ICB costing worksheet </t>
  </si>
  <si>
    <t>Table 5: Medication: standard care</t>
  </si>
  <si>
    <t>Treatment</t>
  </si>
  <si>
    <t>Pack size (mg/ tablets)</t>
  </si>
  <si>
    <t>Strength (mg)</t>
  </si>
  <si>
    <t>Cost per pack</t>
  </si>
  <si>
    <t>Cost per mg</t>
  </si>
  <si>
    <t>Dose (mg)</t>
  </si>
  <si>
    <t>Total dosage cost</t>
  </si>
  <si>
    <t>% of people receiving standard of care</t>
  </si>
  <si>
    <t>Standard  care cost</t>
  </si>
  <si>
    <t>% of people receiving AposHealth</t>
  </si>
  <si>
    <t>Dexamethasone (3.3mg/1ml) - intra-articular</t>
  </si>
  <si>
    <t>Methylprednisolone (powder and solvent for injection vials - intra-articular</t>
  </si>
  <si>
    <t>Prednisolone (daily tablets)</t>
  </si>
  <si>
    <t>Triamcinolone - intra-articular (20mg/1ml)</t>
  </si>
  <si>
    <t xml:space="preserve">Pharmacological interventions for pain relief include topical/oral NSAIDS, capsaicin, opioids, and intra-articular corticosteroid injections. </t>
  </si>
  <si>
    <t>Outpatient appointments - Orthopaedic Service</t>
  </si>
  <si>
    <t>Description</t>
  </si>
  <si>
    <t>Service code</t>
  </si>
  <si>
    <t>Consultant led</t>
  </si>
  <si>
    <t>National tariff</t>
  </si>
  <si>
    <t>Local prices</t>
  </si>
  <si>
    <t>Trauma and Orthopaedic Service</t>
  </si>
  <si>
    <t>WF01B 
First Attendance - 
Single Professional</t>
  </si>
  <si>
    <t>WF01A 
Follow up Attendance - 
Single Professional</t>
  </si>
  <si>
    <t>Activity and unit cost data were based on the 2020/21 National Schedule of NHS Costs. Available from:</t>
  </si>
  <si>
    <t>https://www.england.nhs.uk/publication/2020-21-national-cost-collection-data-publication/</t>
  </si>
  <si>
    <t>Organisations can amend the blue highlighted cells to reflect local prices. Available from:</t>
  </si>
  <si>
    <t>AposHealth may delay knee surgery, but the length of the delay is uncertain</t>
  </si>
  <si>
    <t>Potential cost savings from AposHealth mainly come from a reduction in non-surgical standard care resource use and a reduction in knee replacement surgery</t>
  </si>
  <si>
    <t>In addition to the savings from reduced surgery, the use of AposHealth may also save costs associated with surgery complications, and revision of knee surgery and rehabilitation</t>
  </si>
  <si>
    <t>Also, available evidence further suggests a 15% reduction in healthcare resource use such as GP appointments</t>
  </si>
  <si>
    <t>All figures below are based on a comparison of a world with Aposhealth and standard care vs standard care only</t>
  </si>
  <si>
    <t>Eligible population and uptake</t>
  </si>
  <si>
    <t>People receiving the treatment options</t>
  </si>
  <si>
    <t>World with Aposhealth</t>
  </si>
  <si>
    <t>Number of people on AposHealth</t>
  </si>
  <si>
    <t>Number of people on standard care</t>
  </si>
  <si>
    <t>World without AposHealth</t>
  </si>
  <si>
    <t>Financial resource impact</t>
  </si>
  <si>
    <t>Cash items</t>
  </si>
  <si>
    <t>£'000</t>
  </si>
  <si>
    <t>Device cost in year</t>
  </si>
  <si>
    <t>Cumulative device cost</t>
  </si>
  <si>
    <t>Basis upon which the resource impact of capacity items are calculated is</t>
  </si>
  <si>
    <t>Capacity impact, financial</t>
  </si>
  <si>
    <t>Non-cash</t>
  </si>
  <si>
    <t>In year change in capacity items</t>
  </si>
  <si>
    <t>Cumulative cost</t>
  </si>
  <si>
    <t>Total resource impact</t>
  </si>
  <si>
    <t>Cash items and financial impact of capacity items</t>
  </si>
  <si>
    <t>Cumulative impact</t>
  </si>
  <si>
    <t>Capacity impact, activity</t>
  </si>
  <si>
    <t xml:space="preserve">5-year cumulative total </t>
  </si>
  <si>
    <t>Capacity saving per year</t>
  </si>
  <si>
    <t>GIRFT theatre productivity standards HVLC cases per four-hour theatre list</t>
  </si>
  <si>
    <t>Equivalent lists (based on 4 hour theatre list)</t>
  </si>
  <si>
    <t>Financial Impact (Cash)</t>
  </si>
  <si>
    <t>Financial impact (cash) shows actual costs that are real spend of actual money, such as on drugs.</t>
  </si>
  <si>
    <t>Progression towards implementation will vary according to baseline position and degree of change that takes place.</t>
  </si>
  <si>
    <t>Future practice -
year 1</t>
  </si>
  <si>
    <t>People receiving treatment options</t>
  </si>
  <si>
    <t>People receiving AposHealth care</t>
  </si>
  <si>
    <t>People receiving standard care</t>
  </si>
  <si>
    <t>Device and drugs - resource impact</t>
  </si>
  <si>
    <t>Unit Cost</t>
  </si>
  <si>
    <t>People receiving AposHealth - device cost</t>
  </si>
  <si>
    <t>People receiving AposHealth care - drug cost</t>
  </si>
  <si>
    <t>People receiving standard care - drug cost</t>
  </si>
  <si>
    <t>Drug resource impact (cash)</t>
  </si>
  <si>
    <t>Change in cost to current practice</t>
  </si>
  <si>
    <t>Drug/device resource impact (cash) year on year</t>
  </si>
  <si>
    <t>Capacity impact (local prices)</t>
  </si>
  <si>
    <t>This sheet shows the capacity impact of the guidance.</t>
  </si>
  <si>
    <t>Summary table</t>
  </si>
  <si>
    <t>World with AposHealth &amp; standard care vs world without AposHealth (standard care only)</t>
  </si>
  <si>
    <t>Change in number of people receiving orthotic service first appointments</t>
  </si>
  <si>
    <t>Change in number of people receiving orthotic service follow-up appointments</t>
  </si>
  <si>
    <t>Change in appointment time of orthotic service assessments (hours)</t>
  </si>
  <si>
    <t>Change in number of people receiving knee surgery</t>
  </si>
  <si>
    <t>Change in number of orthopaedic first appointments</t>
  </si>
  <si>
    <t>Change in number of orthopaedic follow-up appointments</t>
  </si>
  <si>
    <t>Change in number of GP visits</t>
  </si>
  <si>
    <t>Change in number of bed days avoided (costs already included in cost of surgery)</t>
  </si>
  <si>
    <t>Total change in capacity impacts</t>
  </si>
  <si>
    <t>In a world with new options</t>
  </si>
  <si>
    <t>Number of people receiving orthotic service first appointments</t>
  </si>
  <si>
    <t>Number of people receiving orthotic service follow-up appointments</t>
  </si>
  <si>
    <t>Number of hours of orthotic service assessments</t>
  </si>
  <si>
    <t>Bed days avoided</t>
  </si>
  <si>
    <t>In a world without new options</t>
  </si>
  <si>
    <t>Each item of capacity is modelled in an individual table below to give an overall estimate of resource impact</t>
  </si>
  <si>
    <t>Tariff</t>
  </si>
  <si>
    <t>Total AposHealth &amp; standard care</t>
  </si>
  <si>
    <t>Treatment option</t>
  </si>
  <si>
    <t>Total AposHealth &amp; standard of care</t>
  </si>
  <si>
    <t>Number of people receiving knee  surgery</t>
  </si>
  <si>
    <t>Standard care</t>
  </si>
  <si>
    <t>Number of appointments</t>
  </si>
  <si>
    <t>Orthopaedic first attendance</t>
  </si>
  <si>
    <t>Orthopaedic follow-up attendance</t>
  </si>
  <si>
    <t>Total AposHealth and standard of care</t>
  </si>
  <si>
    <t>Per appointment</t>
  </si>
  <si>
    <t>AposHealth vs standard of care</t>
  </si>
  <si>
    <t>Orthotic service appointment time (hours)</t>
  </si>
  <si>
    <t>First appointment</t>
  </si>
  <si>
    <t>Follow-up appointment</t>
  </si>
  <si>
    <t>Total</t>
  </si>
  <si>
    <t>Orthotic appointments</t>
  </si>
  <si>
    <t>People receiving surgery after Standard of care</t>
  </si>
  <si>
    <t>Capacity impact (national prices)</t>
  </si>
  <si>
    <t>Band</t>
  </si>
  <si>
    <t>Hourly rate</t>
  </si>
  <si>
    <t>Enhancements Mon-Fri</t>
  </si>
  <si>
    <t>Enhancements Sun</t>
  </si>
  <si>
    <t>Band 2 Bottom</t>
  </si>
  <si>
    <t>Band 2 Top</t>
  </si>
  <si>
    <t>Band 3 Bottom</t>
  </si>
  <si>
    <t>Band 3 Top</t>
  </si>
  <si>
    <t>Band 4 Bottom</t>
  </si>
  <si>
    <t>Band 4 Top</t>
  </si>
  <si>
    <t>Band 5 Bottom</t>
  </si>
  <si>
    <t>Band 5 Mid</t>
  </si>
  <si>
    <t>Band 5 Top</t>
  </si>
  <si>
    <t>Band 6 Bottom</t>
  </si>
  <si>
    <t>Band 6 Mid</t>
  </si>
  <si>
    <t>Band 6 Top</t>
  </si>
  <si>
    <t>Band 7 Bottom</t>
  </si>
  <si>
    <t>Band 7 Mid</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</si>
  <si>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</si>
  <si>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</si>
  <si>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</si>
  <si>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</si>
  <si>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</si>
  <si>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</si>
  <si>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</si>
  <si>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</si>
  <si>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</si>
  <si>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</si>
  <si>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</si>
  <si>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</si>
  <si>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</si>
  <si>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</si>
  <si>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</si>
  <si>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</si>
  <si>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</si>
  <si>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</si>
  <si>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</si>
  <si>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</si>
  <si>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</si>
  <si>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</si>
  <si>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</si>
  <si>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</si>
  <si>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</si>
  <si>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</si>
  <si>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</si>
  <si>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</si>
  <si>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</si>
  <si>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</si>
  <si>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</si>
  <si>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</si>
  <si>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</si>
  <si>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</si>
  <si>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</si>
  <si>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</si>
  <si>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</si>
  <si>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</si>
  <si>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 xml:space="preserve">ICS </t>
  </si>
  <si>
    <t>Population (15yrs+)</t>
  </si>
  <si>
    <t>Number of patients in primary or community care with diagnosis of osteoarthritis (10%)</t>
  </si>
  <si>
    <t>Proportion with symptomatic clinically diagnosed OA that is knee OA (83%)</t>
  </si>
  <si>
    <t>Proportion of patients that receive non-surgical standard care treatment (90%)</t>
  </si>
  <si>
    <t>Proportion of patients who do not sufficiently benefit from non-surgical standard care and who meet criteria for surgery but do not want or are not actively engaged in secondary care  (62%)</t>
  </si>
  <si>
    <t>Proportion of patients who do not sufficiently benefit from non-surgical standard care and who meet criteria for surgery and are actively engaged with the health system  (6%)</t>
  </si>
  <si>
    <t>Proportion of patients receiving surgery (33%)</t>
  </si>
  <si>
    <t>Actual TKR Data Average for (2019,2021,2022)</t>
  </si>
  <si>
    <t>Value of Operation at ICS</t>
  </si>
  <si>
    <t>Emergency readmission in 30 days following primary total knee replacement q2 2023/24</t>
  </si>
  <si>
    <t>Length of stay for primary total knee replacement Q2 2023/24</t>
  </si>
  <si>
    <t>ICB Code</t>
  </si>
  <si>
    <t>Length of stay for primary total knee replacement Q2 2023/24 BENCHMARK</t>
  </si>
  <si>
    <t>Emergency readmission in 30 days following primary total knee replacement q2 BENCHMARK</t>
  </si>
  <si>
    <t>£11,613</t>
  </si>
  <si>
    <t>11.3%</t>
  </si>
  <si>
    <t>QOX</t>
  </si>
  <si>
    <t>£7,911</t>
  </si>
  <si>
    <t>6.5%</t>
  </si>
  <si>
    <t>QHG</t>
  </si>
  <si>
    <t>£11,430</t>
  </si>
  <si>
    <t>7.0%</t>
  </si>
  <si>
    <t>QHL</t>
  </si>
  <si>
    <t>£11,597</t>
  </si>
  <si>
    <t>8.3%</t>
  </si>
  <si>
    <t>QUA</t>
  </si>
  <si>
    <t>£12,063</t>
  </si>
  <si>
    <t>8.6%</t>
  </si>
  <si>
    <t>QUY</t>
  </si>
  <si>
    <t>£8,499</t>
  </si>
  <si>
    <t>6.6%</t>
  </si>
  <si>
    <t>QU9</t>
  </si>
  <si>
    <t>£6,162</t>
  </si>
  <si>
    <t>QUE</t>
  </si>
  <si>
    <t>£10,565</t>
  </si>
  <si>
    <t>4.9%</t>
  </si>
  <si>
    <t>QYG</t>
  </si>
  <si>
    <t>£10,065</t>
  </si>
  <si>
    <t>5.7%</t>
  </si>
  <si>
    <t>QT6</t>
  </si>
  <si>
    <t>£11,604</t>
  </si>
  <si>
    <t>6.4%</t>
  </si>
  <si>
    <t>QWU</t>
  </si>
  <si>
    <t>£10,955</t>
  </si>
  <si>
    <t>7.6%</t>
  </si>
  <si>
    <t>QJ2</t>
  </si>
  <si>
    <t>£11,681</t>
  </si>
  <si>
    <t>5.1%</t>
  </si>
  <si>
    <t>QJK</t>
  </si>
  <si>
    <t>£8,339</t>
  </si>
  <si>
    <t>4.2%</t>
  </si>
  <si>
    <t>QVV</t>
  </si>
  <si>
    <t>6.1%</t>
  </si>
  <si>
    <t>QNQ</t>
  </si>
  <si>
    <t>£9,093</t>
  </si>
  <si>
    <t>7.5%</t>
  </si>
  <si>
    <t>QR1</t>
  </si>
  <si>
    <t>£9,353</t>
  </si>
  <si>
    <t>6.9%</t>
  </si>
  <si>
    <t>QOP</t>
  </si>
  <si>
    <t>£8,608</t>
  </si>
  <si>
    <t>QRL</t>
  </si>
  <si>
    <t>£9,905</t>
  </si>
  <si>
    <t>4.1%</t>
  </si>
  <si>
    <t>QGH</t>
  </si>
  <si>
    <t>£8,649</t>
  </si>
  <si>
    <t>9.4%</t>
  </si>
  <si>
    <t>QM7</t>
  </si>
  <si>
    <t>£12,028</t>
  </si>
  <si>
    <t>QOQ</t>
  </si>
  <si>
    <t>£13,938</t>
  </si>
  <si>
    <t>QKS</t>
  </si>
  <si>
    <t>£11,682</t>
  </si>
  <si>
    <t>6.0%</t>
  </si>
  <si>
    <t>QE1</t>
  </si>
  <si>
    <t>£11,698</t>
  </si>
  <si>
    <t>2.9%</t>
  </si>
  <si>
    <t>QK1</t>
  </si>
  <si>
    <t>£9,878</t>
  </si>
  <si>
    <t>9.2%</t>
  </si>
  <si>
    <t>QJM</t>
  </si>
  <si>
    <t>£11,398</t>
  </si>
  <si>
    <t>QH8</t>
  </si>
  <si>
    <t>£8,057</t>
  </si>
  <si>
    <t>5.9%</t>
  </si>
  <si>
    <t>QMM</t>
  </si>
  <si>
    <t>£6,132</t>
  </si>
  <si>
    <t>5.0%</t>
  </si>
  <si>
    <t>QMJ</t>
  </si>
  <si>
    <t>£12,653</t>
  </si>
  <si>
    <t>7.3%</t>
  </si>
  <si>
    <t>QHM</t>
  </si>
  <si>
    <t>£9,181</t>
  </si>
  <si>
    <t>4.0%</t>
  </si>
  <si>
    <t>QMF</t>
  </si>
  <si>
    <t>£6,332</t>
  </si>
  <si>
    <t>6.7%</t>
  </si>
  <si>
    <t>QRV</t>
  </si>
  <si>
    <t>4.8%</t>
  </si>
  <si>
    <t>QPM</t>
  </si>
  <si>
    <t>£11,339</t>
  </si>
  <si>
    <t>4.7%</t>
  </si>
  <si>
    <t>QT1</t>
  </si>
  <si>
    <t>£8,868</t>
  </si>
  <si>
    <t>QOC</t>
  </si>
  <si>
    <t>£11,568</t>
  </si>
  <si>
    <t>9.8%</t>
  </si>
  <si>
    <t>QSL</t>
  </si>
  <si>
    <t>£7,259</t>
  </si>
  <si>
    <t>8.1%</t>
  </si>
  <si>
    <t>QKK</t>
  </si>
  <si>
    <t>£6,715</t>
  </si>
  <si>
    <t>3.3%</t>
  </si>
  <si>
    <t>QWE</t>
  </si>
  <si>
    <t>£12,173</t>
  </si>
  <si>
    <t>QF7</t>
  </si>
  <si>
    <t>£14,048</t>
  </si>
  <si>
    <t>10.9%</t>
  </si>
  <si>
    <t>QNC</t>
  </si>
  <si>
    <t>£7,792</t>
  </si>
  <si>
    <t>QJG</t>
  </si>
  <si>
    <t>£7,315</t>
  </si>
  <si>
    <t>QXU</t>
  </si>
  <si>
    <t>£9,067</t>
  </si>
  <si>
    <t>QNX</t>
  </si>
  <si>
    <t>£12,273</t>
  </si>
  <si>
    <t>5.8%</t>
  </si>
  <si>
    <t>QWO</t>
  </si>
  <si>
    <t>per appointment</t>
  </si>
  <si>
    <t>Orthotic service  follow-up appointment</t>
  </si>
  <si>
    <t>N/A</t>
  </si>
  <si>
    <t>PBC15 Problems of the Musculo skeletal system</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</si>
  <si>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</si>
  <si>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</si>
  <si>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</si>
  <si>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</si>
  <si>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</si>
  <si>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</si>
  <si>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</si>
  <si>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</si>
  <si>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</si>
  <si>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</si>
  <si>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</si>
  <si>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</si>
  <si>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</si>
  <si>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</si>
  <si>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</si>
  <si>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</si>
  <si>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</si>
  <si>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</si>
  <si>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</si>
  <si>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</si>
  <si>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</si>
  <si>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</si>
  <si>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</si>
  <si>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</si>
  <si>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GP Bottom</t>
  </si>
  <si>
    <t>GP Mid</t>
  </si>
  <si>
    <t>Pysiotherapy first appointment</t>
  </si>
  <si>
    <t>Physiotherapy follow-up appointment</t>
  </si>
  <si>
    <t>Other support services</t>
  </si>
  <si>
    <t>Duration of physiotherapy first appointment</t>
  </si>
  <si>
    <t>Pysiotherapy follow-up appointment</t>
  </si>
  <si>
    <t>Duration of physiotherapy follow-up appointment</t>
  </si>
  <si>
    <t>Physiotherapy first appointment</t>
  </si>
  <si>
    <t>Physiotherapy appointments</t>
  </si>
  <si>
    <t>Number of people receiving physiotherapy first appointments</t>
  </si>
  <si>
    <t>Number of people receiving physiotherapy follow-up appointments</t>
  </si>
  <si>
    <t>Change in number of people receiving physiotherapy first appointments</t>
  </si>
  <si>
    <t>Change in number of people receiving physiotherapy follow-up appointments</t>
  </si>
  <si>
    <t>Change in other support services</t>
  </si>
  <si>
    <t>The unit cost of AposHealth was obtained from the NHS Supply Chain. Available at:</t>
  </si>
  <si>
    <t>Elements of cost (other support)</t>
  </si>
  <si>
    <t>Users to amend the blue cells to reflect local practice</t>
  </si>
  <si>
    <t xml:space="preserve"> Users can amend the blue cells in table to reflect local practice. Also, can add other treatments not listed in table.</t>
  </si>
  <si>
    <t>See unit costs worksheet</t>
  </si>
  <si>
    <t>Standard care support services</t>
  </si>
  <si>
    <t>% Standard care support services (e.g., knee braces)</t>
  </si>
  <si>
    <t>% assessed by physiotherapy services</t>
  </si>
  <si>
    <t>% assessed by orthotics services</t>
  </si>
  <si>
    <t>Total referred</t>
  </si>
  <si>
    <t>Orthotics first appointment</t>
  </si>
  <si>
    <t>Orthotics follow-up appointment</t>
  </si>
  <si>
    <t>Orthotic  follow-up appointment</t>
  </si>
  <si>
    <t>Physiotherapy services appointment time (hours)</t>
  </si>
  <si>
    <t>Physiotherapy service appointment time (hours)</t>
  </si>
  <si>
    <t>Number of hours of physiotherapy service assessments</t>
  </si>
  <si>
    <t>Change in appointment time of physiotherapy service assessments (hours)</t>
  </si>
  <si>
    <t>Orthotic services appointment time (hours)</t>
  </si>
  <si>
    <t>Assumes not all the eligible population receives Apos - adjust locally</t>
  </si>
  <si>
    <t>Updated: 29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</si>
</sst>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000000%"/>
    <numFmt numFmtId="173" formatCode="0.0%"/>
    <numFmt numFmtId="174" formatCode="_-* #,##0.0_-;\-* #,##0.0_-;_-* &quot;-&quot;??_-;_-@_-"/>
    <numFmt numFmtId="175" formatCode="#,##0.0"/>
    <numFmt numFmtId="176" formatCode="0.0"/>
  </numFmts>
  <fonts count="8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11"/>
      <color rgb="FF000000"/>
      <name val="Calibri"/>
      <family val="2"/>
      <scheme val="minor"/>
    </font>
    <font>
      <sz val="7"/>
      <color theme="1"/>
      <name val="Segoe UI"/>
      <family val="2"/>
    </font>
    <font>
      <sz val="11"/>
      <color indexed="81"/>
      <name val="Calibri"/>
      <family val="2"/>
    </font>
    <font>
      <b/>
      <sz val="20"/>
      <color rgb="FF000000"/>
      <name val="Calibri"/>
      <family val="2"/>
      <scheme val="minor"/>
    </font>
    <font>
      <sz val="20"/>
      <color theme="1"/>
      <name val="Calibri"/>
      <family val="2"/>
      <scheme val="minor"/>
    </font>
    <font>
      <b/>
      <sz val="10"/>
      <name val="Arial"/>
      <family val="2"/>
    </font>
    <font>
      <sz val="10"/>
      <color rgb="FF212B32"/>
      <name val="Arial"/>
      <family val="2"/>
    </font>
    <font>
      <u/>
      <sz val="10"/>
      <color theme="10"/>
      <name val="Arial"/>
      <family val="2"/>
    </font>
    <font>
      <b/>
      <u/>
      <sz val="10"/>
      <name val="Arial"/>
      <family val="2"/>
    </font>
    <font>
      <b/>
      <u/>
      <sz val="11"/>
      <color theme="1"/>
      <name val="Calibri"/>
      <family val="2"/>
      <scheme val="minor"/>
    </font>
    <font>
      <u/>
      <sz val="11"/>
      <color theme="10"/>
      <name val="Arial"/>
      <family val="2"/>
    </font>
    <font>
      <b/>
      <sz val="12"/>
      <name val="Calibri"/>
      <family val="2"/>
      <scheme val="minor"/>
    </font>
    <font>
      <b/>
      <sz val="16"/>
      <color theme="0"/>
      <name val="Calibri"/>
      <family val="2"/>
      <scheme val="minor"/>
    </font>
    <font>
      <sz val="10"/>
      <color theme="1"/>
      <name val="Calibri"/>
      <family val="2"/>
      <scheme val="minor"/>
    </font>
    <font>
      <sz val="10"/>
      <color rgb="FF000000"/>
      <name val="Arial"/>
      <family val="2"/>
    </font>
    <font>
      <sz val="12"/>
      <color theme="1"/>
      <name val="Calibri"/>
      <family val="2"/>
      <scheme val="minor"/>
    </font>
    <font>
      <b/>
      <sz val="11"/>
      <color theme="1"/>
      <name val="Aptos Narrow"/>
      <family val="2"/>
    </font>
    <font>
      <b/>
      <sz val="11"/>
      <name val="Aptos Narrow"/>
      <family val="2"/>
    </font>
    <font>
      <b/>
      <sz val="9"/>
      <color indexed="81"/>
      <name val="Tahoma"/>
      <family val="2"/>
    </font>
    <font>
      <sz val="9"/>
      <color indexed="81"/>
      <name val="Tahoma"/>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FF99"/>
        <bgColor indexed="64"/>
      </patternFill>
    </fill>
    <fill>
      <patternFill patternType="solid">
        <fgColor theme="6" tint="0.59999389629810485"/>
        <bgColor indexed="64"/>
      </patternFill>
    </fill>
    <fill>
      <patternFill patternType="solid">
        <fgColor theme="5"/>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14">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xf numFmtId="0" fontId="64" fillId="0" borderId="0"/>
    <xf numFmtId="0" fontId="79" fillId="0" borderId="0"/>
    <xf numFmtId="43" fontId="79" fillId="0" borderId="0" applyFont="0" applyFill="0" applyBorder="0" applyAlignment="0" applyProtection="0"/>
  </cellStyleXfs>
  <cellXfs count="1050">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2" fillId="25" borderId="0" xfId="82" applyFill="1"/>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24" borderId="11" xfId="0"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0" fillId="0" borderId="13" xfId="0" applyBorder="1"/>
    <xf numFmtId="0" fontId="39" fillId="37" borderId="0" xfId="0" applyFont="1" applyFill="1"/>
    <xf numFmtId="0" fontId="50" fillId="37" borderId="0" xfId="0" applyFont="1" applyFill="1"/>
    <xf numFmtId="0" fontId="51" fillId="0" borderId="0" xfId="0" applyFont="1"/>
    <xf numFmtId="0" fontId="52" fillId="0" borderId="0" xfId="0" applyFont="1"/>
    <xf numFmtId="0" fontId="53"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165" fontId="44" fillId="0" borderId="11" xfId="56" applyNumberFormat="1" applyFont="1" applyBorder="1"/>
    <xf numFmtId="0" fontId="0" fillId="0" borderId="20" xfId="0"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40" fillId="37" borderId="0" xfId="0" applyFont="1" applyFill="1" applyAlignment="1">
      <alignment vertical="center" wrapText="1"/>
    </xf>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9" fillId="37" borderId="11" xfId="0" applyFont="1"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0" fontId="57" fillId="0" borderId="20" xfId="0" applyFont="1"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165" fontId="0" fillId="0" borderId="11" xfId="56" applyNumberFormat="1" applyFont="1" applyBorder="1"/>
    <xf numFmtId="0" fontId="0" fillId="24" borderId="20" xfId="0" applyFill="1" applyBorder="1" applyAlignment="1">
      <alignment horizontal="center" wrapText="1"/>
    </xf>
    <xf numFmtId="0" fontId="44" fillId="24" borderId="12" xfId="0" applyFont="1" applyFill="1" applyBorder="1"/>
    <xf numFmtId="0" fontId="0" fillId="0" borderId="12" xfId="0" applyBorder="1" applyAlignment="1">
      <alignment vertical="center" wrapText="1"/>
    </xf>
    <xf numFmtId="0" fontId="44" fillId="24" borderId="12" xfId="82" applyFont="1" applyFill="1" applyBorder="1"/>
    <xf numFmtId="0" fontId="44" fillId="24" borderId="11" xfId="82" applyFont="1" applyFill="1" applyBorder="1"/>
    <xf numFmtId="0" fontId="0" fillId="0" borderId="12" xfId="82" applyFont="1" applyBorder="1"/>
    <xf numFmtId="0" fontId="0" fillId="0" borderId="0" xfId="82" applyFont="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0" fontId="27" fillId="24" borderId="11" xfId="0" quotePrefix="1" applyFont="1" applyFill="1" applyBorder="1" applyAlignment="1">
      <alignment horizontal="center"/>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7" fillId="0" borderId="0" xfId="0" applyFont="1" applyAlignment="1">
      <alignment vertical="center" wrapText="1"/>
    </xf>
    <xf numFmtId="0" fontId="44" fillId="24" borderId="11" xfId="0" applyFont="1" applyFill="1" applyBorder="1" applyAlignment="1">
      <alignment horizontal="left"/>
    </xf>
    <xf numFmtId="0" fontId="48" fillId="24" borderId="24" xfId="0" applyFont="1" applyFill="1" applyBorder="1" applyAlignment="1">
      <alignment horizontal="right" vertical="center"/>
    </xf>
    <xf numFmtId="3" fontId="0" fillId="0" borderId="0" xfId="0" applyNumberFormat="1"/>
    <xf numFmtId="165" fontId="0" fillId="0" borderId="11" xfId="0" applyNumberFormat="1" applyBorder="1"/>
    <xf numFmtId="165" fontId="44" fillId="0" borderId="11" xfId="0" applyNumberFormat="1" applyFont="1" applyBorder="1"/>
    <xf numFmtId="0" fontId="44" fillId="0" borderId="12" xfId="82" applyFont="1" applyBorder="1"/>
    <xf numFmtId="0" fontId="46" fillId="0" borderId="0" xfId="0" applyFont="1" applyAlignment="1">
      <alignment horizontal="left" vertical="center"/>
    </xf>
    <xf numFmtId="0" fontId="0" fillId="0" borderId="32" xfId="0"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6"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58" fillId="0" borderId="0" xfId="0" applyFont="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1" fillId="39" borderId="11" xfId="0" applyFont="1" applyFill="1" applyBorder="1" applyAlignment="1">
      <alignment horizontal="center" vertical="center" wrapText="1"/>
    </xf>
    <xf numFmtId="0" fontId="61" fillId="0" borderId="0" xfId="0" applyFont="1" applyAlignment="1">
      <alignment horizontal="center" vertical="center"/>
    </xf>
    <xf numFmtId="0" fontId="62" fillId="41"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0" fontId="40" fillId="37" borderId="11" xfId="0" applyFont="1" applyFill="1" applyBorder="1" applyAlignment="1">
      <alignment vertical="center" wrapText="1"/>
    </xf>
    <xf numFmtId="0" fontId="27" fillId="24" borderId="12" xfId="0" applyFont="1" applyFill="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3" fillId="37" borderId="20" xfId="0" applyFont="1" applyFill="1" applyBorder="1" applyAlignment="1">
      <alignment horizontal="left"/>
    </xf>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2"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0" fontId="44" fillId="24" borderId="20" xfId="0" applyFont="1" applyFill="1" applyBorder="1"/>
    <xf numFmtId="0" fontId="48" fillId="25" borderId="0" xfId="82" applyFont="1" applyFill="1" applyAlignment="1">
      <alignment horizontal="left"/>
    </xf>
    <xf numFmtId="0" fontId="48" fillId="24" borderId="20" xfId="82" applyFont="1" applyFill="1" applyBorder="1" applyAlignment="1">
      <alignment horizontal="center"/>
    </xf>
    <xf numFmtId="0" fontId="61" fillId="39" borderId="11" xfId="0" applyFont="1" applyFill="1" applyBorder="1" applyAlignment="1">
      <alignment horizontal="center" vertical="center"/>
    </xf>
    <xf numFmtId="0" fontId="0" fillId="0" borderId="33"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1" fillId="24" borderId="0" xfId="0" applyFont="1" applyFill="1" applyAlignment="1">
      <alignment horizontal="center" vertical="center"/>
    </xf>
    <xf numFmtId="0" fontId="61"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1" fillId="24" borderId="14" xfId="0" applyFont="1" applyFill="1" applyBorder="1" applyAlignment="1">
      <alignment horizontal="center" vertical="center"/>
    </xf>
    <xf numFmtId="0" fontId="27" fillId="24" borderId="14" xfId="0" applyFont="1" applyFill="1" applyBorder="1"/>
    <xf numFmtId="0" fontId="0" fillId="24" borderId="33"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8"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8"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8" fontId="46" fillId="0" borderId="29" xfId="82" applyNumberFormat="1" applyFont="1" applyBorder="1"/>
    <xf numFmtId="168" fontId="46" fillId="0" borderId="27" xfId="82" applyNumberFormat="1" applyFont="1" applyBorder="1"/>
    <xf numFmtId="0" fontId="0" fillId="0" borderId="24" xfId="0" applyBorder="1" applyAlignment="1">
      <alignment horizontal="center"/>
    </xf>
    <xf numFmtId="0" fontId="0" fillId="0" borderId="28" xfId="0" applyBorder="1" applyAlignment="1">
      <alignment horizontal="center"/>
    </xf>
    <xf numFmtId="0" fontId="65" fillId="0" borderId="0" xfId="0" applyFont="1" applyAlignment="1">
      <alignment vertical="center"/>
    </xf>
    <xf numFmtId="0" fontId="44" fillId="0" borderId="11" xfId="82" applyFont="1" applyBorder="1"/>
    <xf numFmtId="0" fontId="0" fillId="0" borderId="30" xfId="82" applyFont="1" applyBorder="1"/>
    <xf numFmtId="165" fontId="44" fillId="0" borderId="30" xfId="56" applyNumberFormat="1" applyFont="1" applyBorder="1"/>
    <xf numFmtId="0" fontId="39" fillId="0" borderId="30" xfId="0" applyFont="1" applyBorder="1"/>
    <xf numFmtId="0" fontId="29" fillId="42" borderId="11" xfId="0" applyFont="1" applyFill="1" applyBorder="1" applyAlignment="1">
      <alignment horizontal="left"/>
    </xf>
    <xf numFmtId="10" fontId="29" fillId="42"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69"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0" fillId="0" borderId="17" xfId="0" applyBorder="1" applyAlignment="1">
      <alignment horizontal="center" vertical="center"/>
    </xf>
    <xf numFmtId="0" fontId="0" fillId="0" borderId="20" xfId="0" applyBorder="1" applyAlignment="1">
      <alignment horizontal="center" vertical="center"/>
    </xf>
    <xf numFmtId="10" fontId="29" fillId="42" borderId="11" xfId="0" applyNumberFormat="1" applyFont="1" applyFill="1" applyBorder="1"/>
    <xf numFmtId="169" fontId="29" fillId="42" borderId="11" xfId="0" applyNumberFormat="1" applyFont="1" applyFill="1" applyBorder="1" applyAlignment="1">
      <alignment horizontal="center"/>
    </xf>
    <xf numFmtId="0" fontId="29" fillId="42" borderId="0" xfId="0" applyFont="1" applyFill="1" applyAlignment="1">
      <alignment horizontal="left"/>
    </xf>
    <xf numFmtId="0" fontId="29" fillId="26" borderId="32" xfId="0" applyFont="1" applyFill="1" applyBorder="1" applyAlignment="1">
      <alignment horizontal="left"/>
    </xf>
    <xf numFmtId="0" fontId="29" fillId="26" borderId="32" xfId="0" applyFont="1" applyFill="1" applyBorder="1"/>
    <xf numFmtId="0" fontId="32" fillId="30" borderId="32" xfId="0" applyFont="1" applyFill="1" applyBorder="1" applyAlignment="1">
      <alignment vertical="center" wrapText="1"/>
    </xf>
    <xf numFmtId="0" fontId="32" fillId="27" borderId="32" xfId="0" applyFont="1" applyFill="1" applyBorder="1"/>
    <xf numFmtId="0" fontId="29" fillId="0" borderId="32" xfId="0" applyFont="1" applyBorder="1"/>
    <xf numFmtId="3" fontId="32" fillId="0" borderId="32" xfId="0" applyNumberFormat="1" applyFont="1" applyBorder="1"/>
    <xf numFmtId="3" fontId="7" fillId="0" borderId="32" xfId="0" applyNumberFormat="1" applyFont="1" applyBorder="1"/>
    <xf numFmtId="3" fontId="29" fillId="0" borderId="32" xfId="0" applyNumberFormat="1" applyFont="1" applyBorder="1"/>
    <xf numFmtId="3" fontId="6" fillId="0" borderId="32" xfId="0" applyNumberFormat="1" applyFont="1" applyBorder="1"/>
    <xf numFmtId="0" fontId="6" fillId="0" borderId="32" xfId="0" applyFont="1" applyBorder="1"/>
    <xf numFmtId="0" fontId="44" fillId="0" borderId="32" xfId="0" applyFont="1" applyBorder="1" applyAlignment="1">
      <alignment horizontal="right"/>
    </xf>
    <xf numFmtId="168" fontId="48" fillId="0" borderId="14" xfId="82" applyNumberFormat="1" applyFont="1" applyBorder="1"/>
    <xf numFmtId="168" fontId="46" fillId="0" borderId="14" xfId="82" applyNumberFormat="1" applyFont="1" applyBorder="1"/>
    <xf numFmtId="9" fontId="0" fillId="0" borderId="0" xfId="0" applyNumberFormat="1"/>
    <xf numFmtId="0" fontId="4" fillId="25" borderId="0" xfId="0" applyFont="1" applyFill="1" applyAlignment="1">
      <alignment vertical="center"/>
    </xf>
    <xf numFmtId="0" fontId="4" fillId="0" borderId="10" xfId="0" applyFont="1" applyBorder="1" applyAlignment="1">
      <alignment vertical="center"/>
    </xf>
    <xf numFmtId="168" fontId="46" fillId="0" borderId="15" xfId="82" applyNumberFormat="1" applyFont="1" applyBorder="1"/>
    <xf numFmtId="0" fontId="46" fillId="24" borderId="11" xfId="0" applyFont="1" applyFill="1" applyBorder="1" applyAlignment="1">
      <alignment horizontal="center" wrapText="1"/>
    </xf>
    <xf numFmtId="10" fontId="0" fillId="0" borderId="0" xfId="92" applyNumberFormat="1" applyFont="1" applyFill="1" applyBorder="1"/>
    <xf numFmtId="0" fontId="0" fillId="0" borderId="0" xfId="0" applyAlignment="1">
      <alignment horizontal="center"/>
    </xf>
    <xf numFmtId="165" fontId="46" fillId="0" borderId="11" xfId="0" applyNumberFormat="1" applyFont="1" applyBorder="1"/>
    <xf numFmtId="0" fontId="49" fillId="0" borderId="14" xfId="0" applyFont="1" applyBorder="1"/>
    <xf numFmtId="166" fontId="49" fillId="0" borderId="0" xfId="56" applyNumberFormat="1" applyFont="1" applyFill="1" applyBorder="1" applyAlignment="1">
      <alignment horizontal="left"/>
    </xf>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42"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169" fontId="44" fillId="0" borderId="11" xfId="93" applyNumberFormat="1" applyFont="1" applyFill="1" applyBorder="1"/>
    <xf numFmtId="172" fontId="6" fillId="42"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69" fontId="29" fillId="40" borderId="11" xfId="0" applyNumberFormat="1" applyFont="1" applyFill="1" applyBorder="1" applyAlignment="1">
      <alignment horizontal="center"/>
    </xf>
    <xf numFmtId="0" fontId="29" fillId="40" borderId="0" xfId="0" applyFont="1" applyFill="1" applyAlignment="1">
      <alignment horizontal="center"/>
    </xf>
    <xf numFmtId="0" fontId="29" fillId="24" borderId="11" xfId="0" applyFont="1" applyFill="1" applyBorder="1" applyAlignment="1">
      <alignment horizontal="center" wrapText="1"/>
    </xf>
    <xf numFmtId="0" fontId="29" fillId="40" borderId="11" xfId="0" applyFont="1" applyFill="1" applyBorder="1" applyAlignment="1">
      <alignment horizontal="center" wrapText="1"/>
    </xf>
    <xf numFmtId="0" fontId="46" fillId="0" borderId="12" xfId="0" applyFont="1" applyBorder="1" applyAlignment="1">
      <alignmen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166" fontId="0" fillId="39" borderId="11" xfId="56" applyNumberFormat="1" applyFont="1" applyFill="1" applyBorder="1" applyAlignment="1" applyProtection="1">
      <alignment horizontal="right"/>
      <protection locked="0"/>
    </xf>
    <xf numFmtId="0" fontId="44" fillId="24" borderId="17" xfId="0" applyFont="1" applyFill="1" applyBorder="1"/>
    <xf numFmtId="0" fontId="67" fillId="36" borderId="0" xfId="0" applyFont="1" applyFill="1" applyAlignment="1">
      <alignment vertical="center"/>
    </xf>
    <xf numFmtId="0" fontId="68" fillId="36" borderId="0" xfId="0" applyFont="1" applyFill="1"/>
    <xf numFmtId="0" fontId="68" fillId="36" borderId="18" xfId="0" applyFont="1" applyFill="1" applyBorder="1"/>
    <xf numFmtId="0" fontId="46" fillId="39" borderId="10" xfId="82" applyFont="1" applyFill="1" applyBorder="1" applyAlignment="1" applyProtection="1">
      <alignment horizontal="center"/>
      <protection locked="0"/>
    </xf>
    <xf numFmtId="166" fontId="46" fillId="39" borderId="10" xfId="56" applyNumberFormat="1" applyFont="1" applyFill="1" applyBorder="1" applyProtection="1">
      <protection locked="0"/>
    </xf>
    <xf numFmtId="0" fontId="46" fillId="39" borderId="23" xfId="82" applyFont="1" applyFill="1" applyBorder="1" applyProtection="1">
      <protection locked="0"/>
    </xf>
    <xf numFmtId="9" fontId="46" fillId="39" borderId="19" xfId="82" applyNumberFormat="1" applyFont="1" applyFill="1" applyBorder="1" applyProtection="1">
      <protection locked="0"/>
    </xf>
    <xf numFmtId="165" fontId="46" fillId="39" borderId="19" xfId="82" applyNumberFormat="1" applyFont="1" applyFill="1" applyBorder="1" applyProtection="1">
      <protection locked="0"/>
    </xf>
    <xf numFmtId="0" fontId="48" fillId="24" borderId="20" xfId="82" applyFont="1" applyFill="1" applyBorder="1" applyAlignment="1">
      <alignment horizontal="center" wrapText="1"/>
    </xf>
    <xf numFmtId="164" fontId="46" fillId="39" borderId="19" xfId="82" applyNumberFormat="1" applyFont="1" applyFill="1" applyBorder="1" applyProtection="1">
      <protection locked="0"/>
    </xf>
    <xf numFmtId="0" fontId="46" fillId="39" borderId="10" xfId="82" applyFont="1" applyFill="1" applyBorder="1" applyProtection="1">
      <protection locked="0"/>
    </xf>
    <xf numFmtId="166" fontId="6" fillId="0" borderId="20" xfId="56" applyNumberFormat="1" applyFont="1" applyFill="1" applyBorder="1" applyAlignment="1">
      <alignment horizontal="center"/>
    </xf>
    <xf numFmtId="0" fontId="6" fillId="0" borderId="20" xfId="82" applyFont="1" applyBorder="1" applyAlignment="1">
      <alignment horizontal="left"/>
    </xf>
    <xf numFmtId="0" fontId="6" fillId="0" borderId="20" xfId="82" applyFont="1" applyBorder="1" applyAlignment="1">
      <alignment horizontal="right"/>
    </xf>
    <xf numFmtId="166" fontId="6" fillId="0" borderId="20" xfId="56" applyNumberFormat="1" applyFont="1" applyFill="1" applyBorder="1"/>
    <xf numFmtId="0" fontId="6" fillId="0" borderId="20" xfId="82" applyFont="1" applyBorder="1"/>
    <xf numFmtId="0" fontId="48" fillId="25" borderId="12" xfId="82" applyFont="1" applyFill="1" applyBorder="1" applyAlignment="1">
      <alignment horizontal="left"/>
    </xf>
    <xf numFmtId="0" fontId="2" fillId="25" borderId="0" xfId="82" applyFill="1" applyAlignment="1">
      <alignment horizontal="left"/>
    </xf>
    <xf numFmtId="165" fontId="69" fillId="0" borderId="0" xfId="82" applyNumberFormat="1" applyFont="1" applyAlignment="1">
      <alignment horizontal="right"/>
    </xf>
    <xf numFmtId="165" fontId="69" fillId="0" borderId="0" xfId="82" applyNumberFormat="1" applyFont="1"/>
    <xf numFmtId="0" fontId="2" fillId="0" borderId="0" xfId="72" applyFont="1" applyFill="1" applyBorder="1" applyAlignment="1" applyProtection="1">
      <alignment horizontal="left"/>
    </xf>
    <xf numFmtId="5" fontId="7" fillId="0" borderId="11" xfId="56" applyNumberFormat="1" applyFont="1" applyFill="1" applyBorder="1"/>
    <xf numFmtId="0" fontId="69" fillId="0" borderId="14" xfId="82" applyFont="1" applyBorder="1"/>
    <xf numFmtId="0" fontId="69" fillId="0" borderId="0" xfId="82" applyFont="1"/>
    <xf numFmtId="164" fontId="69" fillId="0" borderId="0" xfId="82" applyNumberFormat="1" applyFont="1" applyAlignment="1">
      <alignment horizontal="right" wrapText="1"/>
    </xf>
    <xf numFmtId="0" fontId="2" fillId="0" borderId="14" xfId="82" applyBorder="1"/>
    <xf numFmtId="0" fontId="70" fillId="0" borderId="0" xfId="0" applyFont="1"/>
    <xf numFmtId="0" fontId="69" fillId="0" borderId="11" xfId="82" applyFont="1" applyBorder="1" applyAlignment="1">
      <alignment horizontal="center" wrapText="1"/>
    </xf>
    <xf numFmtId="0" fontId="2" fillId="0" borderId="20" xfId="72" applyFont="1" applyFill="1" applyBorder="1" applyAlignment="1" applyProtection="1"/>
    <xf numFmtId="0" fontId="69" fillId="24" borderId="11" xfId="82" applyFont="1" applyFill="1" applyBorder="1" applyProtection="1">
      <protection locked="0"/>
    </xf>
    <xf numFmtId="3" fontId="2" fillId="39" borderId="11" xfId="82" applyNumberFormat="1" applyFill="1" applyBorder="1" applyProtection="1">
      <protection locked="0"/>
    </xf>
    <xf numFmtId="9" fontId="2" fillId="39" borderId="11" xfId="92" applyFont="1" applyFill="1" applyBorder="1" applyProtection="1">
      <protection locked="0"/>
    </xf>
    <xf numFmtId="0" fontId="2" fillId="0" borderId="11" xfId="82" applyBorder="1"/>
    <xf numFmtId="0" fontId="2" fillId="0" borderId="0" xfId="72" applyFont="1" applyFill="1" applyBorder="1" applyAlignment="1" applyProtection="1"/>
    <xf numFmtId="0" fontId="2" fillId="39" borderId="11" xfId="82" applyFill="1" applyBorder="1" applyAlignment="1" applyProtection="1">
      <alignment horizontal="center"/>
      <protection locked="0"/>
    </xf>
    <xf numFmtId="0" fontId="2" fillId="24" borderId="11" xfId="82" applyFill="1" applyBorder="1" applyAlignment="1" applyProtection="1">
      <alignment horizontal="center"/>
      <protection locked="0"/>
    </xf>
    <xf numFmtId="0" fontId="2" fillId="39" borderId="12" xfId="72" applyFont="1" applyFill="1" applyBorder="1" applyAlignment="1" applyProtection="1">
      <protection locked="0"/>
    </xf>
    <xf numFmtId="0" fontId="2" fillId="39" borderId="20" xfId="72" applyFont="1" applyFill="1" applyBorder="1" applyAlignment="1" applyProtection="1">
      <protection locked="0"/>
    </xf>
    <xf numFmtId="3" fontId="2" fillId="39" borderId="11" xfId="92" applyNumberFormat="1" applyFont="1" applyFill="1" applyBorder="1" applyProtection="1">
      <protection locked="0"/>
    </xf>
    <xf numFmtId="0" fontId="69" fillId="24" borderId="0" xfId="82" applyFont="1" applyFill="1"/>
    <xf numFmtId="0" fontId="69" fillId="0" borderId="20" xfId="82" applyFont="1" applyBorder="1"/>
    <xf numFmtId="3" fontId="69" fillId="0" borderId="20" xfId="92" applyNumberFormat="1" applyFont="1" applyFill="1" applyBorder="1"/>
    <xf numFmtId="165" fontId="69" fillId="0" borderId="20" xfId="82" applyNumberFormat="1" applyFont="1" applyBorder="1"/>
    <xf numFmtId="3" fontId="69" fillId="0" borderId="0" xfId="92" applyNumberFormat="1" applyFont="1" applyFill="1" applyBorder="1"/>
    <xf numFmtId="9" fontId="2" fillId="25" borderId="0" xfId="92" applyFont="1" applyFill="1" applyBorder="1"/>
    <xf numFmtId="0" fontId="2" fillId="0" borderId="10" xfId="82" applyBorder="1"/>
    <xf numFmtId="165" fontId="2" fillId="0" borderId="0" xfId="82" applyNumberFormat="1"/>
    <xf numFmtId="9" fontId="2" fillId="0" borderId="0" xfId="92" applyFont="1" applyFill="1" applyBorder="1"/>
    <xf numFmtId="0" fontId="2" fillId="0" borderId="20" xfId="82" applyBorder="1"/>
    <xf numFmtId="0" fontId="46" fillId="0" borderId="0" xfId="82" applyFont="1" applyProtection="1">
      <protection locked="0"/>
    </xf>
    <xf numFmtId="166" fontId="46" fillId="0" borderId="0" xfId="56" applyNumberFormat="1" applyFont="1" applyFill="1" applyBorder="1" applyAlignment="1" applyProtection="1">
      <alignment horizontal="center"/>
      <protection locked="0"/>
    </xf>
    <xf numFmtId="0" fontId="55" fillId="0" borderId="0" xfId="82" applyFont="1" applyProtection="1">
      <protection locked="0"/>
    </xf>
    <xf numFmtId="0" fontId="4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0" fontId="6" fillId="0" borderId="0" xfId="82" applyFont="1" applyProtection="1">
      <protection locked="0"/>
    </xf>
    <xf numFmtId="0" fontId="2" fillId="0" borderId="12" xfId="82" applyBorder="1"/>
    <xf numFmtId="0" fontId="71" fillId="0" borderId="0" xfId="72" applyFont="1" applyFill="1" applyAlignment="1" applyProtection="1"/>
    <xf numFmtId="0" fontId="2" fillId="0" borderId="0" xfId="72" applyFont="1" applyFill="1" applyAlignment="1" applyProtection="1"/>
    <xf numFmtId="164" fontId="2" fillId="0" borderId="0" xfId="82" applyNumberFormat="1"/>
    <xf numFmtId="0" fontId="69" fillId="0" borderId="11" xfId="82" applyFont="1" applyBorder="1" applyAlignment="1">
      <alignment horizontal="left"/>
    </xf>
    <xf numFmtId="0" fontId="2" fillId="39" borderId="11" xfId="82" applyFill="1" applyBorder="1" applyProtection="1">
      <protection locked="0"/>
    </xf>
    <xf numFmtId="174" fontId="2" fillId="39" borderId="11" xfId="56" applyNumberFormat="1" applyFont="1" applyFill="1" applyBorder="1" applyProtection="1">
      <protection locked="0"/>
    </xf>
    <xf numFmtId="164" fontId="2" fillId="39" borderId="11" xfId="82" applyNumberFormat="1" applyFill="1" applyBorder="1" applyProtection="1">
      <protection locked="0"/>
    </xf>
    <xf numFmtId="164" fontId="2" fillId="0" borderId="11" xfId="82" applyNumberFormat="1" applyBorder="1"/>
    <xf numFmtId="174" fontId="2" fillId="39" borderId="11" xfId="56" applyNumberFormat="1" applyFont="1" applyFill="1" applyBorder="1" applyAlignment="1" applyProtection="1">
      <alignment horizontal="right"/>
      <protection locked="0"/>
    </xf>
    <xf numFmtId="175" fontId="2" fillId="39" borderId="11" xfId="56" applyNumberFormat="1" applyFont="1" applyFill="1" applyBorder="1" applyAlignment="1" applyProtection="1">
      <alignment horizontal="right"/>
      <protection locked="0"/>
    </xf>
    <xf numFmtId="0" fontId="2" fillId="39" borderId="11" xfId="82" applyFill="1" applyBorder="1" applyAlignment="1" applyProtection="1">
      <alignment horizontal="right"/>
      <protection locked="0"/>
    </xf>
    <xf numFmtId="175" fontId="2" fillId="39" borderId="11" xfId="82" applyNumberFormat="1" applyFill="1" applyBorder="1" applyProtection="1">
      <protection locked="0"/>
    </xf>
    <xf numFmtId="175" fontId="2" fillId="39" borderId="15" xfId="82" applyNumberFormat="1" applyFill="1" applyBorder="1" applyProtection="1">
      <protection locked="0"/>
    </xf>
    <xf numFmtId="0" fontId="2" fillId="39" borderId="15" xfId="82" applyFill="1" applyBorder="1" applyAlignment="1" applyProtection="1">
      <alignment horizontal="right"/>
      <protection locked="0"/>
    </xf>
    <xf numFmtId="0" fontId="69" fillId="0" borderId="12" xfId="82" applyFont="1" applyBorder="1"/>
    <xf numFmtId="164" fontId="69" fillId="0" borderId="20" xfId="82" applyNumberFormat="1" applyFont="1" applyBorder="1" applyAlignment="1">
      <alignment horizontal="right"/>
    </xf>
    <xf numFmtId="0" fontId="69" fillId="0" borderId="20" xfId="82" applyFont="1" applyBorder="1" applyAlignment="1" applyProtection="1">
      <alignment horizontal="right"/>
      <protection locked="0"/>
    </xf>
    <xf numFmtId="165" fontId="2" fillId="0" borderId="12" xfId="82" applyNumberFormat="1" applyBorder="1" applyAlignment="1">
      <alignment horizontal="right"/>
    </xf>
    <xf numFmtId="165" fontId="69" fillId="0" borderId="12" xfId="82" applyNumberFormat="1" applyFont="1" applyBorder="1"/>
    <xf numFmtId="0" fontId="69" fillId="0" borderId="0" xfId="72" applyFont="1" applyFill="1" applyBorder="1" applyAlignment="1" applyProtection="1"/>
    <xf numFmtId="0" fontId="69" fillId="25" borderId="0" xfId="72" applyFont="1" applyFill="1" applyBorder="1" applyAlignment="1" applyProtection="1">
      <alignment horizontal="center"/>
    </xf>
    <xf numFmtId="0" fontId="2" fillId="0" borderId="0" xfId="72" applyFont="1" applyFill="1" applyBorder="1" applyAlignment="1" applyProtection="1">
      <protection locked="0"/>
    </xf>
    <xf numFmtId="0" fontId="71" fillId="0" borderId="0" xfId="72" applyFont="1" applyFill="1" applyBorder="1" applyAlignment="1" applyProtection="1"/>
    <xf numFmtId="0" fontId="69" fillId="0" borderId="0" xfId="82" applyFont="1" applyAlignment="1">
      <alignment horizontal="left"/>
    </xf>
    <xf numFmtId="0" fontId="2" fillId="39" borderId="17" xfId="72" applyFont="1" applyFill="1" applyBorder="1" applyAlignment="1" applyProtection="1">
      <protection locked="0"/>
    </xf>
    <xf numFmtId="0" fontId="2" fillId="0" borderId="0" xfId="82" applyProtection="1">
      <protection locked="0"/>
    </xf>
    <xf numFmtId="165" fontId="46" fillId="24" borderId="11" xfId="0" applyNumberFormat="1" applyFont="1" applyFill="1" applyBorder="1" applyAlignment="1">
      <alignment horizontal="center" wrapText="1"/>
    </xf>
    <xf numFmtId="0" fontId="39" fillId="0" borderId="14" xfId="0" applyFont="1" applyBorder="1"/>
    <xf numFmtId="0" fontId="72" fillId="0" borderId="0" xfId="82" applyFont="1"/>
    <xf numFmtId="0" fontId="2" fillId="0" borderId="19" xfId="82" applyBorder="1"/>
    <xf numFmtId="0" fontId="69" fillId="0" borderId="11" xfId="82" applyFont="1" applyBorder="1"/>
    <xf numFmtId="165" fontId="2" fillId="0" borderId="0" xfId="82" applyNumberFormat="1" applyAlignment="1">
      <alignment horizontal="right"/>
    </xf>
    <xf numFmtId="0" fontId="69" fillId="24" borderId="20" xfId="72" applyFont="1" applyFill="1" applyBorder="1" applyAlignment="1" applyProtection="1"/>
    <xf numFmtId="0" fontId="69" fillId="24" borderId="17" xfId="72" applyFont="1" applyFill="1" applyBorder="1" applyAlignment="1" applyProtection="1"/>
    <xf numFmtId="0" fontId="69" fillId="24" borderId="11" xfId="82" applyFont="1" applyFill="1" applyBorder="1" applyAlignment="1">
      <alignment horizontal="center" wrapText="1"/>
    </xf>
    <xf numFmtId="0" fontId="69" fillId="24" borderId="12" xfId="82" applyFont="1" applyFill="1" applyBorder="1" applyAlignment="1">
      <alignment horizontal="center" wrapText="1"/>
    </xf>
    <xf numFmtId="0" fontId="69" fillId="0" borderId="0" xfId="82" applyFont="1" applyAlignment="1">
      <alignment horizontal="center" wrapText="1"/>
    </xf>
    <xf numFmtId="165" fontId="2" fillId="0" borderId="0" xfId="92" applyNumberFormat="1" applyFont="1" applyFill="1" applyBorder="1"/>
    <xf numFmtId="0" fontId="48" fillId="0" borderId="0" xfId="82" applyFont="1" applyAlignment="1">
      <alignment horizontal="center"/>
    </xf>
    <xf numFmtId="0" fontId="46" fillId="0" borderId="0" xfId="82" applyFont="1" applyAlignment="1" applyProtection="1">
      <alignment horizontal="right"/>
      <protection locked="0"/>
    </xf>
    <xf numFmtId="9" fontId="2" fillId="25" borderId="11" xfId="92" applyFont="1" applyFill="1" applyBorder="1"/>
    <xf numFmtId="165" fontId="2" fillId="0" borderId="11" xfId="82" applyNumberFormat="1" applyBorder="1" applyProtection="1">
      <protection locked="0"/>
    </xf>
    <xf numFmtId="0" fontId="7" fillId="0" borderId="0" xfId="82" applyFont="1"/>
    <xf numFmtId="0" fontId="69" fillId="24" borderId="37" xfId="82" applyFont="1" applyFill="1" applyBorder="1" applyAlignment="1">
      <alignment horizontal="center" wrapText="1"/>
    </xf>
    <xf numFmtId="165" fontId="69" fillId="0" borderId="39" xfId="82" applyNumberFormat="1" applyFont="1" applyBorder="1"/>
    <xf numFmtId="165" fontId="2" fillId="0" borderId="38" xfId="82" applyNumberFormat="1" applyBorder="1" applyAlignment="1">
      <alignment horizontal="right"/>
    </xf>
    <xf numFmtId="9" fontId="69" fillId="0" borderId="12" xfId="92" applyFont="1" applyBorder="1"/>
    <xf numFmtId="0" fontId="69" fillId="0" borderId="20" xfId="82" applyFont="1" applyBorder="1" applyAlignment="1">
      <alignment horizontal="center" wrapText="1"/>
    </xf>
    <xf numFmtId="165" fontId="2" fillId="0" borderId="20" xfId="92" applyNumberFormat="1" applyFont="1" applyFill="1" applyBorder="1"/>
    <xf numFmtId="3" fontId="0" fillId="0" borderId="11" xfId="0" applyNumberFormat="1" applyBorder="1" applyAlignment="1">
      <alignment horizontal="right" wrapText="1"/>
    </xf>
    <xf numFmtId="0" fontId="27" fillId="0" borderId="12" xfId="82" applyFont="1" applyBorder="1" applyAlignment="1">
      <alignment wrapText="1"/>
    </xf>
    <xf numFmtId="0" fontId="44" fillId="0" borderId="32" xfId="82" applyFont="1" applyBorder="1"/>
    <xf numFmtId="0" fontId="0" fillId="0" borderId="32" xfId="0" applyBorder="1" applyAlignment="1">
      <alignment horizontal="center" wrapText="1"/>
    </xf>
    <xf numFmtId="0" fontId="27" fillId="0" borderId="23" xfId="82" applyFont="1" applyBorder="1"/>
    <xf numFmtId="10" fontId="0" fillId="0" borderId="0" xfId="92" applyNumberFormat="1" applyFont="1" applyFill="1" applyBorder="1" applyAlignment="1">
      <alignment horizontal="left"/>
    </xf>
    <xf numFmtId="0" fontId="49" fillId="0" borderId="0" xfId="0" applyFont="1"/>
    <xf numFmtId="0" fontId="44" fillId="0" borderId="32" xfId="0" applyFont="1" applyBorder="1" applyAlignment="1">
      <alignment wrapText="1"/>
    </xf>
    <xf numFmtId="3" fontId="44" fillId="0" borderId="32" xfId="0" applyNumberFormat="1" applyFont="1" applyBorder="1"/>
    <xf numFmtId="0" fontId="44" fillId="0" borderId="0" xfId="0" applyFont="1" applyAlignment="1">
      <alignment wrapText="1"/>
    </xf>
    <xf numFmtId="0" fontId="73" fillId="0" borderId="0" xfId="0" applyFont="1"/>
    <xf numFmtId="0" fontId="46" fillId="24" borderId="0" xfId="87" applyFont="1" applyFill="1" applyAlignment="1">
      <alignment horizontal="left"/>
    </xf>
    <xf numFmtId="0" fontId="54" fillId="24" borderId="0" xfId="72" applyFont="1" applyFill="1" applyBorder="1" applyAlignment="1" applyProtection="1"/>
    <xf numFmtId="5" fontId="7" fillId="0" borderId="0" xfId="56" applyNumberFormat="1" applyFont="1" applyFill="1" applyBorder="1"/>
    <xf numFmtId="165" fontId="46" fillId="0" borderId="0" xfId="82" applyNumberFormat="1" applyFont="1" applyAlignment="1" applyProtection="1">
      <alignment horizontal="right"/>
      <protection locked="0"/>
    </xf>
    <xf numFmtId="0" fontId="2" fillId="0" borderId="30" xfId="72" applyFont="1" applyFill="1" applyBorder="1" applyAlignment="1" applyProtection="1"/>
    <xf numFmtId="0" fontId="69" fillId="0" borderId="30" xfId="82" applyFont="1" applyBorder="1"/>
    <xf numFmtId="3" fontId="69" fillId="0" borderId="30" xfId="92" applyNumberFormat="1" applyFont="1" applyFill="1" applyBorder="1"/>
    <xf numFmtId="165" fontId="69" fillId="0" borderId="30" xfId="82" applyNumberFormat="1" applyFont="1" applyBorder="1"/>
    <xf numFmtId="9" fontId="2" fillId="25" borderId="30" xfId="92" applyFont="1" applyFill="1" applyBorder="1"/>
    <xf numFmtId="0" fontId="6" fillId="0" borderId="30" xfId="82" applyFont="1" applyBorder="1"/>
    <xf numFmtId="166" fontId="6" fillId="0" borderId="30" xfId="56" applyNumberFormat="1" applyFont="1" applyFill="1" applyBorder="1" applyAlignment="1">
      <alignment horizontal="center"/>
    </xf>
    <xf numFmtId="0" fontId="6" fillId="0" borderId="30" xfId="82" applyFont="1" applyBorder="1" applyAlignment="1">
      <alignment horizontal="left"/>
    </xf>
    <xf numFmtId="0" fontId="6" fillId="0" borderId="30" xfId="82" applyFont="1" applyBorder="1" applyAlignment="1">
      <alignment horizontal="right"/>
    </xf>
    <xf numFmtId="166" fontId="6" fillId="0" borderId="30" xfId="56" applyNumberFormat="1" applyFont="1" applyFill="1" applyBorder="1"/>
    <xf numFmtId="0" fontId="6" fillId="0" borderId="30" xfId="82" applyFont="1" applyBorder="1" applyAlignment="1">
      <alignment horizontal="center"/>
    </xf>
    <xf numFmtId="0" fontId="74" fillId="0" borderId="0" xfId="72" applyFont="1" applyFill="1" applyAlignment="1" applyProtection="1"/>
    <xf numFmtId="0" fontId="2" fillId="0" borderId="30" xfId="82" applyBorder="1"/>
    <xf numFmtId="0" fontId="48" fillId="0" borderId="0" xfId="0" applyFont="1" applyAlignment="1">
      <alignment horizontal="left" vertical="center" wrapText="1"/>
    </xf>
    <xf numFmtId="165" fontId="27" fillId="24" borderId="11" xfId="0" applyNumberFormat="1" applyFont="1" applyFill="1" applyBorder="1" applyAlignment="1">
      <alignment horizontal="center" wrapText="1"/>
    </xf>
    <xf numFmtId="0" fontId="2" fillId="39" borderId="12" xfId="72" applyFont="1" applyFill="1" applyBorder="1" applyAlignment="1" applyProtection="1"/>
    <xf numFmtId="0" fontId="2" fillId="39" borderId="0" xfId="72" applyFont="1" applyFill="1" applyBorder="1" applyAlignment="1" applyProtection="1"/>
    <xf numFmtId="0" fontId="2" fillId="39" borderId="18" xfId="72" applyFont="1" applyFill="1" applyBorder="1" applyAlignment="1" applyProtection="1"/>
    <xf numFmtId="0" fontId="48" fillId="24" borderId="13" xfId="82" applyFont="1" applyFill="1" applyBorder="1" applyAlignment="1">
      <alignment horizontal="center" wrapText="1"/>
    </xf>
    <xf numFmtId="0" fontId="48" fillId="24" borderId="15" xfId="82" applyFont="1" applyFill="1" applyBorder="1" applyAlignment="1">
      <alignment horizontal="center" wrapText="1"/>
    </xf>
    <xf numFmtId="3" fontId="44" fillId="0" borderId="22" xfId="0" applyNumberFormat="1" applyFont="1" applyBorder="1"/>
    <xf numFmtId="3" fontId="0" fillId="0" borderId="17" xfId="0" applyNumberFormat="1" applyBorder="1"/>
    <xf numFmtId="0" fontId="44" fillId="0" borderId="23" xfId="0" applyFont="1" applyBorder="1" applyAlignment="1">
      <alignment wrapText="1"/>
    </xf>
    <xf numFmtId="0" fontId="39" fillId="24" borderId="17" xfId="0" applyFont="1" applyFill="1" applyBorder="1" applyAlignment="1">
      <alignment horizontal="center" wrapText="1"/>
    </xf>
    <xf numFmtId="3" fontId="44" fillId="24" borderId="17" xfId="0" applyNumberFormat="1" applyFont="1" applyFill="1" applyBorder="1"/>
    <xf numFmtId="0" fontId="39" fillId="24" borderId="21" xfId="0" applyFont="1" applyFill="1" applyBorder="1" applyAlignment="1">
      <alignment horizontal="center" wrapText="1"/>
    </xf>
    <xf numFmtId="3" fontId="0" fillId="0" borderId="18" xfId="0" applyNumberFormat="1" applyBorder="1"/>
    <xf numFmtId="3" fontId="0" fillId="0" borderId="22" xfId="0" applyNumberFormat="1" applyBorder="1"/>
    <xf numFmtId="3" fontId="46" fillId="0" borderId="0" xfId="0" applyNumberFormat="1" applyFont="1"/>
    <xf numFmtId="0" fontId="46" fillId="0" borderId="0" xfId="0" applyFont="1"/>
    <xf numFmtId="1" fontId="46" fillId="0" borderId="0" xfId="0" applyNumberFormat="1" applyFont="1"/>
    <xf numFmtId="3" fontId="44" fillId="0" borderId="11" xfId="0" applyNumberFormat="1" applyFont="1" applyBorder="1" applyAlignment="1">
      <alignment horizontal="right"/>
    </xf>
    <xf numFmtId="3" fontId="0" fillId="0" borderId="19" xfId="0" applyNumberFormat="1" applyBorder="1" applyAlignment="1">
      <alignment horizontal="right" wrapText="1"/>
    </xf>
    <xf numFmtId="0" fontId="27" fillId="29" borderId="41" xfId="82" applyFont="1" applyFill="1" applyBorder="1"/>
    <xf numFmtId="3" fontId="44" fillId="29" borderId="42" xfId="0" applyNumberFormat="1" applyFont="1" applyFill="1" applyBorder="1" applyAlignment="1">
      <alignment horizontal="right" wrapText="1"/>
    </xf>
    <xf numFmtId="0" fontId="27" fillId="29" borderId="36" xfId="82" applyFont="1" applyFill="1" applyBorder="1"/>
    <xf numFmtId="3" fontId="0" fillId="29" borderId="15" xfId="0" applyNumberFormat="1" applyFill="1" applyBorder="1" applyAlignment="1">
      <alignment horizontal="right" wrapText="1"/>
    </xf>
    <xf numFmtId="3" fontId="0" fillId="29" borderId="40" xfId="0" applyNumberFormat="1" applyFill="1" applyBorder="1" applyAlignment="1">
      <alignment horizontal="right" wrapText="1"/>
    </xf>
    <xf numFmtId="0" fontId="44" fillId="29" borderId="49" xfId="82" applyFont="1" applyFill="1" applyBorder="1"/>
    <xf numFmtId="0" fontId="0" fillId="30" borderId="0" xfId="0" applyFill="1"/>
    <xf numFmtId="0" fontId="0" fillId="30" borderId="12" xfId="0" applyFill="1" applyBorder="1"/>
    <xf numFmtId="0" fontId="39" fillId="30" borderId="17" xfId="0" applyFont="1" applyFill="1" applyBorder="1" applyAlignment="1">
      <alignment horizontal="center" wrapText="1"/>
    </xf>
    <xf numFmtId="0" fontId="0" fillId="44" borderId="0" xfId="0" applyFill="1"/>
    <xf numFmtId="0" fontId="0" fillId="44" borderId="12" xfId="0" applyFill="1" applyBorder="1"/>
    <xf numFmtId="0" fontId="39" fillId="44" borderId="17" xfId="0" applyFont="1" applyFill="1" applyBorder="1" applyAlignment="1">
      <alignment horizontal="center" wrapText="1"/>
    </xf>
    <xf numFmtId="0" fontId="44" fillId="44" borderId="20" xfId="0" applyFont="1" applyFill="1" applyBorder="1" applyAlignment="1">
      <alignment horizontal="left"/>
    </xf>
    <xf numFmtId="0" fontId="39" fillId="44" borderId="20" xfId="0" applyFont="1" applyFill="1" applyBorder="1"/>
    <xf numFmtId="0" fontId="39" fillId="44" borderId="14" xfId="0" applyFont="1" applyFill="1" applyBorder="1"/>
    <xf numFmtId="0" fontId="48" fillId="43" borderId="12" xfId="0" applyFont="1" applyFill="1" applyBorder="1" applyAlignment="1">
      <alignment horizontal="left" vertical="center"/>
    </xf>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43" borderId="17" xfId="0" applyFill="1" applyBorder="1"/>
    <xf numFmtId="0" fontId="0" fillId="43" borderId="14" xfId="0" applyFill="1" applyBorder="1"/>
    <xf numFmtId="0" fontId="44" fillId="43" borderId="20" xfId="0" applyFont="1" applyFill="1" applyBorder="1" applyAlignment="1">
      <alignment horizontal="left"/>
    </xf>
    <xf numFmtId="0" fontId="39" fillId="43" borderId="20" xfId="0" applyFont="1" applyFill="1" applyBorder="1"/>
    <xf numFmtId="0" fontId="39" fillId="43" borderId="14" xfId="0" applyFont="1" applyFill="1" applyBorder="1"/>
    <xf numFmtId="0" fontId="44" fillId="41" borderId="20" xfId="0" applyFont="1" applyFill="1" applyBorder="1" applyAlignment="1">
      <alignment horizontal="left"/>
    </xf>
    <xf numFmtId="0" fontId="39" fillId="41" borderId="20" xfId="0" applyFont="1" applyFill="1" applyBorder="1"/>
    <xf numFmtId="0" fontId="39" fillId="41" borderId="14" xfId="0" applyFont="1" applyFill="1" applyBorder="1"/>
    <xf numFmtId="0" fontId="0" fillId="41" borderId="0" xfId="0" applyFill="1"/>
    <xf numFmtId="0" fontId="0" fillId="41" borderId="32" xfId="0" applyFill="1" applyBorder="1"/>
    <xf numFmtId="0" fontId="0" fillId="41" borderId="12" xfId="0" applyFill="1" applyBorder="1" applyAlignment="1">
      <alignment wrapText="1"/>
    </xf>
    <xf numFmtId="3" fontId="0" fillId="41" borderId="17" xfId="0" applyNumberFormat="1" applyFill="1" applyBorder="1"/>
    <xf numFmtId="0" fontId="75" fillId="0" borderId="10" xfId="0" applyFont="1" applyBorder="1" applyAlignment="1">
      <alignment vertical="center"/>
    </xf>
    <xf numFmtId="0" fontId="76" fillId="37" borderId="20" xfId="0" applyFont="1" applyFill="1" applyBorder="1" applyAlignment="1">
      <alignment horizontal="left" vertical="center"/>
    </xf>
    <xf numFmtId="0" fontId="76" fillId="37" borderId="20" xfId="0" applyFont="1" applyFill="1" applyBorder="1" applyAlignment="1">
      <alignment horizontal="center" vertical="center"/>
    </xf>
    <xf numFmtId="0" fontId="0" fillId="37" borderId="0" xfId="0" applyFill="1"/>
    <xf numFmtId="0" fontId="0" fillId="39" borderId="11"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39" borderId="31" xfId="0" applyFill="1" applyBorder="1" applyAlignment="1" applyProtection="1">
      <alignment horizontal="center"/>
      <protection locked="0"/>
    </xf>
    <xf numFmtId="0" fontId="0" fillId="0" borderId="0" xfId="0" applyAlignment="1">
      <alignment horizontal="right"/>
    </xf>
    <xf numFmtId="0" fontId="0" fillId="0" borderId="20" xfId="0" applyBorder="1" applyAlignment="1">
      <alignment wrapText="1"/>
    </xf>
    <xf numFmtId="0" fontId="0" fillId="24" borderId="11" xfId="0" applyFill="1" applyBorder="1"/>
    <xf numFmtId="3" fontId="0" fillId="39" borderId="11" xfId="0" applyNumberFormat="1" applyFill="1" applyBorder="1" applyProtection="1">
      <protection locked="0"/>
    </xf>
    <xf numFmtId="0" fontId="46" fillId="0" borderId="12" xfId="72" applyFont="1" applyFill="1" applyBorder="1" applyAlignment="1" applyProtection="1">
      <protection locked="0"/>
    </xf>
    <xf numFmtId="0" fontId="0" fillId="0" borderId="20" xfId="0" applyBorder="1" applyAlignment="1" applyProtection="1">
      <alignment wrapText="1"/>
      <protection locked="0"/>
    </xf>
    <xf numFmtId="0" fontId="0" fillId="0" borderId="17" xfId="0" applyBorder="1" applyAlignment="1" applyProtection="1">
      <alignment wrapText="1"/>
      <protection locked="0"/>
    </xf>
    <xf numFmtId="0" fontId="0" fillId="0" borderId="12" xfId="0" applyBorder="1" applyAlignment="1">
      <alignment horizontal="left"/>
    </xf>
    <xf numFmtId="10" fontId="0" fillId="0" borderId="32" xfId="92" applyNumberFormat="1" applyFont="1" applyFill="1" applyBorder="1"/>
    <xf numFmtId="0" fontId="0" fillId="0" borderId="32" xfId="0" applyBorder="1" applyAlignment="1">
      <alignment horizontal="left"/>
    </xf>
    <xf numFmtId="0" fontId="0" fillId="24" borderId="12" xfId="0" applyFill="1" applyBorder="1" applyAlignment="1">
      <alignment horizontal="center" wrapText="1"/>
    </xf>
    <xf numFmtId="0" fontId="0" fillId="0" borderId="0" xfId="0" applyAlignment="1">
      <alignment horizontal="center" wrapText="1"/>
    </xf>
    <xf numFmtId="0" fontId="0" fillId="24" borderId="43" xfId="0" applyFill="1" applyBorder="1" applyAlignment="1">
      <alignment horizontal="center"/>
    </xf>
    <xf numFmtId="0" fontId="0" fillId="24" borderId="44" xfId="0" applyFill="1" applyBorder="1" applyAlignment="1">
      <alignment horizontal="center"/>
    </xf>
    <xf numFmtId="0" fontId="0" fillId="24" borderId="45" xfId="0" applyFill="1" applyBorder="1" applyAlignment="1">
      <alignment horizontal="center"/>
    </xf>
    <xf numFmtId="0" fontId="0" fillId="24" borderId="46" xfId="0" applyFill="1" applyBorder="1" applyAlignment="1">
      <alignment horizontal="center"/>
    </xf>
    <xf numFmtId="0" fontId="0" fillId="24" borderId="47" xfId="0" applyFill="1" applyBorder="1" applyAlignment="1">
      <alignment horizontal="center"/>
    </xf>
    <xf numFmtId="0" fontId="0" fillId="24" borderId="48" xfId="0" applyFill="1" applyBorder="1" applyAlignment="1">
      <alignment horizontal="center"/>
    </xf>
    <xf numFmtId="173" fontId="0" fillId="0" borderId="0" xfId="0" applyNumberFormat="1" applyAlignment="1" applyProtection="1">
      <alignment horizontal="right"/>
      <protection locked="0"/>
    </xf>
    <xf numFmtId="9" fontId="0" fillId="0" borderId="0" xfId="0" applyNumberFormat="1" applyAlignment="1">
      <alignment horizontal="right"/>
    </xf>
    <xf numFmtId="0" fontId="0" fillId="0" borderId="0" xfId="0" applyAlignment="1">
      <alignment horizontal="right" vertical="center"/>
    </xf>
    <xf numFmtId="2" fontId="0" fillId="0" borderId="0" xfId="0" applyNumberFormat="1"/>
    <xf numFmtId="0" fontId="0" fillId="43" borderId="11" xfId="0" applyFill="1" applyBorder="1" applyAlignment="1">
      <alignment horizontal="left"/>
    </xf>
    <xf numFmtId="0" fontId="0" fillId="39" borderId="11" xfId="0" applyFill="1" applyBorder="1" applyProtection="1">
      <protection locked="0"/>
    </xf>
    <xf numFmtId="164" fontId="0" fillId="39" borderId="11" xfId="0" applyNumberFormat="1" applyFill="1" applyBorder="1" applyAlignment="1" applyProtection="1">
      <alignment horizontal="right"/>
      <protection locked="0"/>
    </xf>
    <xf numFmtId="0" fontId="0" fillId="44" borderId="11" xfId="0" applyFill="1" applyBorder="1" applyAlignment="1">
      <alignment horizontal="left"/>
    </xf>
    <xf numFmtId="0" fontId="0" fillId="41" borderId="11" xfId="0" applyFill="1" applyBorder="1" applyAlignment="1">
      <alignment horizontal="left"/>
    </xf>
    <xf numFmtId="0" fontId="0" fillId="39" borderId="12" xfId="0" applyFill="1" applyBorder="1" applyProtection="1">
      <protection locked="0"/>
    </xf>
    <xf numFmtId="164" fontId="0" fillId="0" borderId="0" xfId="0" applyNumberFormat="1" applyProtection="1">
      <protection locked="0"/>
    </xf>
    <xf numFmtId="0" fontId="46" fillId="0" borderId="0" xfId="72" applyFont="1" applyBorder="1" applyAlignment="1" applyProtection="1"/>
    <xf numFmtId="0" fontId="0" fillId="0" borderId="10" xfId="0" applyBorder="1" applyAlignment="1">
      <alignment horizontal="right"/>
    </xf>
    <xf numFmtId="0" fontId="0" fillId="24" borderId="0" xfId="0" quotePrefix="1" applyFill="1"/>
    <xf numFmtId="0" fontId="77" fillId="24" borderId="10" xfId="0" applyFont="1" applyFill="1" applyBorder="1"/>
    <xf numFmtId="9" fontId="69" fillId="0" borderId="39" xfId="92" applyFont="1" applyFill="1" applyBorder="1"/>
    <xf numFmtId="173" fontId="0" fillId="39" borderId="11" xfId="0" applyNumberFormat="1" applyFill="1" applyBorder="1" applyAlignment="1" applyProtection="1">
      <alignment horizontal="right"/>
      <protection locked="0"/>
    </xf>
    <xf numFmtId="3" fontId="44" fillId="0" borderId="0" xfId="0" applyNumberFormat="1" applyFont="1" applyAlignment="1">
      <alignment horizontal="right"/>
    </xf>
    <xf numFmtId="3" fontId="44" fillId="0" borderId="44" xfId="0" applyNumberFormat="1" applyFont="1" applyBorder="1" applyAlignment="1">
      <alignment horizontal="right"/>
    </xf>
    <xf numFmtId="3" fontId="44" fillId="0" borderId="50" xfId="0" applyNumberFormat="1" applyFont="1" applyBorder="1" applyAlignment="1">
      <alignment horizontal="right"/>
    </xf>
    <xf numFmtId="3" fontId="44" fillId="0" borderId="48" xfId="0" applyNumberFormat="1" applyFont="1" applyBorder="1" applyAlignment="1">
      <alignment horizontal="right"/>
    </xf>
    <xf numFmtId="3" fontId="0" fillId="0" borderId="15" xfId="0" applyNumberFormat="1" applyBorder="1" applyAlignment="1">
      <alignment horizontal="right"/>
    </xf>
    <xf numFmtId="165" fontId="0" fillId="0" borderId="11" xfId="0" applyNumberFormat="1" applyBorder="1" applyAlignment="1">
      <alignment horizontal="right"/>
    </xf>
    <xf numFmtId="2" fontId="0" fillId="0" borderId="12" xfId="0" applyNumberFormat="1" applyBorder="1" applyAlignment="1">
      <alignment horizontal="left" vertical="center"/>
    </xf>
    <xf numFmtId="2" fontId="0" fillId="0" borderId="17" xfId="0" applyNumberFormat="1" applyBorder="1"/>
    <xf numFmtId="165" fontId="44" fillId="0" borderId="17" xfId="56" applyNumberFormat="1" applyFont="1" applyBorder="1"/>
    <xf numFmtId="165" fontId="0" fillId="0" borderId="15" xfId="56" applyNumberFormat="1" applyFont="1" applyBorder="1"/>
    <xf numFmtId="165" fontId="46" fillId="0" borderId="0" xfId="0" applyNumberFormat="1" applyFont="1"/>
    <xf numFmtId="0" fontId="39" fillId="45" borderId="14" xfId="0" applyFont="1" applyFill="1" applyBorder="1"/>
    <xf numFmtId="0" fontId="27" fillId="0" borderId="0" xfId="0" applyFont="1" applyAlignment="1">
      <alignment horizontal="center" wrapText="1"/>
    </xf>
    <xf numFmtId="0" fontId="27" fillId="24" borderId="11" xfId="0" applyFont="1" applyFill="1" applyBorder="1" applyAlignment="1">
      <alignment horizontal="right" wrapText="1"/>
    </xf>
    <xf numFmtId="0" fontId="27" fillId="24" borderId="17" xfId="0" applyFont="1" applyFill="1" applyBorder="1" applyAlignment="1">
      <alignment horizontal="right" wrapText="1"/>
    </xf>
    <xf numFmtId="0" fontId="27" fillId="0" borderId="0" xfId="0" applyFont="1" applyAlignment="1">
      <alignment horizontal="right" wrapText="1"/>
    </xf>
    <xf numFmtId="0" fontId="39" fillId="41" borderId="12" xfId="0" applyFont="1" applyFill="1" applyBorder="1"/>
    <xf numFmtId="0" fontId="39" fillId="41" borderId="17" xfId="0" applyFont="1" applyFill="1" applyBorder="1"/>
    <xf numFmtId="0" fontId="39" fillId="44" borderId="12" xfId="0" applyFont="1" applyFill="1" applyBorder="1"/>
    <xf numFmtId="0" fontId="39" fillId="44" borderId="17" xfId="0" applyFont="1" applyFill="1" applyBorder="1"/>
    <xf numFmtId="0" fontId="39" fillId="43" borderId="23" xfId="0" applyFont="1" applyFill="1" applyBorder="1"/>
    <xf numFmtId="0" fontId="39" fillId="43" borderId="10" xfId="0" applyFont="1" applyFill="1" applyBorder="1"/>
    <xf numFmtId="0" fontId="39" fillId="43" borderId="22" xfId="0" applyFont="1" applyFill="1" applyBorder="1"/>
    <xf numFmtId="0" fontId="0" fillId="43" borderId="12" xfId="0" applyFill="1" applyBorder="1"/>
    <xf numFmtId="0" fontId="39" fillId="43" borderId="17" xfId="0" applyFont="1" applyFill="1" applyBorder="1"/>
    <xf numFmtId="9" fontId="2" fillId="39" borderId="12" xfId="92" applyFont="1" applyFill="1" applyBorder="1" applyAlignment="1" applyProtection="1">
      <alignment horizontal="right"/>
      <protection locked="0"/>
    </xf>
    <xf numFmtId="9" fontId="2" fillId="39" borderId="38" xfId="92" applyFont="1" applyFill="1" applyBorder="1" applyAlignment="1" applyProtection="1">
      <alignment horizontal="right"/>
      <protection locked="0"/>
    </xf>
    <xf numFmtId="165" fontId="2" fillId="39" borderId="11" xfId="92" applyNumberFormat="1" applyFont="1" applyFill="1" applyBorder="1" applyProtection="1">
      <protection locked="0"/>
    </xf>
    <xf numFmtId="0" fontId="78" fillId="0" borderId="0" xfId="0" applyFont="1"/>
    <xf numFmtId="0" fontId="71" fillId="0" borderId="0" xfId="72" applyFont="1" applyAlignment="1" applyProtection="1"/>
    <xf numFmtId="0" fontId="44" fillId="24" borderId="11" xfId="0" quotePrefix="1" applyFont="1" applyFill="1" applyBorder="1" applyAlignment="1">
      <alignment horizontal="center"/>
    </xf>
    <xf numFmtId="0" fontId="48" fillId="24" borderId="52" xfId="109" applyFont="1" applyFill="1" applyBorder="1" applyAlignment="1">
      <alignment horizontal="center" vertical="center" wrapText="1"/>
    </xf>
    <xf numFmtId="0" fontId="48" fillId="24" borderId="52" xfId="112" applyFont="1" applyFill="1" applyBorder="1" applyAlignment="1">
      <alignment horizontal="center" vertical="center" wrapText="1"/>
    </xf>
    <xf numFmtId="0" fontId="44" fillId="29" borderId="0" xfId="112" applyFont="1" applyFill="1" applyAlignment="1">
      <alignment horizontal="center" vertical="center" wrapText="1"/>
    </xf>
    <xf numFmtId="0" fontId="27" fillId="0" borderId="0" xfId="112" applyFont="1" applyAlignment="1">
      <alignment horizontal="center" vertical="center" wrapText="1"/>
    </xf>
    <xf numFmtId="0" fontId="27" fillId="0" borderId="52" xfId="112" applyFont="1" applyBorder="1"/>
    <xf numFmtId="166" fontId="27" fillId="0" borderId="52" xfId="113" applyNumberFormat="1" applyFont="1" applyBorder="1" applyAlignment="1">
      <alignment wrapText="1"/>
    </xf>
    <xf numFmtId="9" fontId="36" fillId="0" borderId="0" xfId="92" applyFont="1" applyAlignment="1">
      <alignment horizontal="right"/>
    </xf>
    <xf numFmtId="165" fontId="27" fillId="0" borderId="52" xfId="109" applyNumberFormat="1" applyBorder="1"/>
    <xf numFmtId="165" fontId="44" fillId="0" borderId="52" xfId="109" applyNumberFormat="1" applyFont="1" applyBorder="1"/>
    <xf numFmtId="0" fontId="27" fillId="0" borderId="0" xfId="112" applyFont="1"/>
    <xf numFmtId="173" fontId="27" fillId="0" borderId="0" xfId="92" applyNumberFormat="1" applyFont="1"/>
    <xf numFmtId="165" fontId="27" fillId="0" borderId="52" xfId="112" applyNumberFormat="1" applyFont="1" applyBorder="1"/>
    <xf numFmtId="165" fontId="44" fillId="0" borderId="52" xfId="112" applyNumberFormat="1" applyFont="1" applyBorder="1"/>
    <xf numFmtId="0" fontId="27" fillId="0" borderId="0" xfId="109"/>
    <xf numFmtId="166" fontId="27" fillId="0" borderId="53" xfId="113" applyNumberFormat="1" applyFont="1" applyBorder="1" applyAlignment="1">
      <alignment wrapText="1"/>
    </xf>
    <xf numFmtId="165" fontId="27" fillId="0" borderId="53" xfId="109" applyNumberFormat="1" applyBorder="1"/>
    <xf numFmtId="165" fontId="44" fillId="0" borderId="53" xfId="109" applyNumberFormat="1" applyFont="1" applyBorder="1"/>
    <xf numFmtId="166" fontId="27" fillId="0" borderId="54" xfId="113" applyNumberFormat="1" applyFont="1" applyBorder="1" applyAlignment="1">
      <alignment wrapText="1"/>
    </xf>
    <xf numFmtId="165" fontId="27" fillId="0" borderId="54" xfId="112" applyNumberFormat="1" applyFont="1" applyBorder="1"/>
    <xf numFmtId="165" fontId="44" fillId="0" borderId="54" xfId="112" applyNumberFormat="1" applyFont="1" applyBorder="1"/>
    <xf numFmtId="165" fontId="27" fillId="0" borderId="54" xfId="109" applyNumberFormat="1" applyBorder="1"/>
    <xf numFmtId="165" fontId="44" fillId="0" borderId="54" xfId="109" applyNumberFormat="1" applyFont="1" applyBorder="1"/>
    <xf numFmtId="165" fontId="27" fillId="0" borderId="54" xfId="112" applyNumberFormat="1" applyFont="1" applyBorder="1" applyAlignment="1">
      <alignment wrapText="1"/>
    </xf>
    <xf numFmtId="166" fontId="27" fillId="0" borderId="0" xfId="112" applyNumberFormat="1" applyFont="1" applyAlignment="1">
      <alignment wrapText="1"/>
    </xf>
    <xf numFmtId="174" fontId="27" fillId="0" borderId="0" xfId="112" applyNumberFormat="1" applyFont="1" applyAlignment="1">
      <alignment wrapText="1"/>
    </xf>
    <xf numFmtId="0" fontId="27" fillId="0" borderId="0" xfId="112" applyFont="1" applyAlignment="1">
      <alignment wrapText="1"/>
    </xf>
    <xf numFmtId="176" fontId="0" fillId="39" borderId="12" xfId="0" applyNumberFormat="1" applyFill="1" applyBorder="1" applyProtection="1">
      <protection locked="0"/>
    </xf>
    <xf numFmtId="0" fontId="0" fillId="35" borderId="0" xfId="0" applyFill="1"/>
    <xf numFmtId="0" fontId="0" fillId="35" borderId="12" xfId="0" applyFill="1" applyBorder="1" applyAlignment="1">
      <alignment wrapText="1"/>
    </xf>
    <xf numFmtId="3" fontId="0" fillId="35" borderId="17" xfId="0" applyNumberFormat="1" applyFill="1" applyBorder="1"/>
    <xf numFmtId="0" fontId="44" fillId="35" borderId="20" xfId="0" applyFont="1" applyFill="1" applyBorder="1" applyAlignment="1">
      <alignment horizontal="left"/>
    </xf>
    <xf numFmtId="0" fontId="39" fillId="35" borderId="20" xfId="0" applyFont="1" applyFill="1" applyBorder="1"/>
    <xf numFmtId="0" fontId="39" fillId="35" borderId="14" xfId="0" applyFont="1" applyFill="1" applyBorder="1"/>
    <xf numFmtId="0" fontId="0" fillId="35" borderId="32" xfId="0" applyFill="1" applyBorder="1"/>
    <xf numFmtId="0" fontId="0" fillId="0" borderId="12" xfId="0" applyBorder="1" applyAlignment="1">
      <alignment horizontal="left" wrapText="1"/>
    </xf>
    <xf numFmtId="0" fontId="0" fillId="0" borderId="20" xfId="0" applyBorder="1" applyAlignment="1">
      <alignment horizontal="left" wrapText="1"/>
    </xf>
    <xf numFmtId="164" fontId="0" fillId="24" borderId="11" xfId="0" applyNumberFormat="1" applyFill="1" applyBorder="1" applyAlignment="1">
      <alignment horizontal="right"/>
    </xf>
    <xf numFmtId="165" fontId="0" fillId="0" borderId="0" xfId="0" applyNumberFormat="1" applyAlignment="1">
      <alignment horizontal="right"/>
    </xf>
    <xf numFmtId="165" fontId="0" fillId="24" borderId="11" xfId="0" applyNumberFormat="1" applyFill="1" applyBorder="1"/>
    <xf numFmtId="10" fontId="0" fillId="0" borderId="11" xfId="92" applyNumberFormat="1" applyFont="1" applyFill="1" applyBorder="1" applyProtection="1">
      <protection locked="0"/>
    </xf>
    <xf numFmtId="0" fontId="46" fillId="0" borderId="23" xfId="72" applyFont="1" applyFill="1" applyBorder="1" applyAlignment="1" applyProtection="1">
      <protection locked="0"/>
    </xf>
    <xf numFmtId="173" fontId="44" fillId="39" borderId="11" xfId="0" applyNumberFormat="1" applyFont="1" applyFill="1" applyBorder="1" applyAlignment="1" applyProtection="1">
      <alignment horizontal="right"/>
      <protection locked="0"/>
    </xf>
    <xf numFmtId="0" fontId="69" fillId="0" borderId="0" xfId="82" applyFont="1" applyAlignment="1">
      <alignment vertical="center"/>
    </xf>
    <xf numFmtId="0" fontId="69" fillId="0" borderId="12" xfId="82" applyFont="1" applyBorder="1" applyAlignment="1">
      <alignment vertical="center"/>
    </xf>
    <xf numFmtId="0" fontId="69" fillId="0" borderId="20" xfId="82" applyFont="1" applyBorder="1" applyAlignment="1">
      <alignment vertical="center"/>
    </xf>
    <xf numFmtId="0" fontId="69" fillId="0" borderId="20" xfId="82" applyFont="1" applyBorder="1" applyAlignment="1">
      <alignment horizontal="right" vertical="center"/>
    </xf>
    <xf numFmtId="3" fontId="69" fillId="0" borderId="20" xfId="82" applyNumberFormat="1" applyFont="1" applyBorder="1" applyAlignment="1">
      <alignment horizontal="right" vertical="center"/>
    </xf>
    <xf numFmtId="9" fontId="69" fillId="0" borderId="20" xfId="92" applyFont="1" applyFill="1" applyBorder="1" applyAlignment="1">
      <alignment horizontal="right" vertical="center"/>
    </xf>
    <xf numFmtId="166" fontId="69" fillId="0" borderId="20" xfId="56" applyNumberFormat="1" applyFont="1" applyFill="1" applyBorder="1" applyAlignment="1">
      <alignment horizontal="right" vertical="center"/>
    </xf>
    <xf numFmtId="165" fontId="69" fillId="0" borderId="20" xfId="82" applyNumberFormat="1" applyFont="1" applyBorder="1" applyAlignment="1">
      <alignment horizontal="right" vertical="center"/>
    </xf>
    <xf numFmtId="165" fontId="69" fillId="39" borderId="11" xfId="82" applyNumberFormat="1" applyFont="1" applyFill="1" applyBorder="1" applyAlignment="1">
      <alignment horizontal="right" vertical="center"/>
    </xf>
    <xf numFmtId="0" fontId="6" fillId="0" borderId="0" xfId="82" applyFont="1" applyAlignment="1">
      <alignment vertical="center"/>
    </xf>
    <xf numFmtId="0" fontId="6" fillId="24" borderId="0" xfId="82" applyFont="1" applyFill="1" applyAlignment="1">
      <alignment vertical="center"/>
    </xf>
    <xf numFmtId="0" fontId="74" fillId="0" borderId="0" xfId="72" applyFont="1" applyAlignment="1" applyProtection="1"/>
    <xf numFmtId="0" fontId="0" fillId="0" borderId="41" xfId="0" applyBorder="1"/>
    <xf numFmtId="0" fontId="44" fillId="0" borderId="55" xfId="0" applyFont="1" applyBorder="1" applyAlignment="1">
      <alignment horizontal="right"/>
    </xf>
    <xf numFmtId="9" fontId="0" fillId="0" borderId="55" xfId="0" applyNumberFormat="1" applyBorder="1" applyAlignment="1">
      <alignment horizontal="right"/>
    </xf>
    <xf numFmtId="3" fontId="0" fillId="0" borderId="55" xfId="0" applyNumberFormat="1" applyBorder="1" applyAlignment="1">
      <alignment horizontal="right"/>
    </xf>
    <xf numFmtId="3" fontId="44" fillId="0" borderId="55" xfId="0" applyNumberFormat="1" applyFont="1" applyBorder="1" applyAlignment="1">
      <alignment horizontal="right"/>
    </xf>
    <xf numFmtId="0" fontId="0" fillId="0" borderId="55" xfId="0" applyBorder="1"/>
    <xf numFmtId="0" fontId="0" fillId="0" borderId="56" xfId="0" applyBorder="1"/>
    <xf numFmtId="0" fontId="44" fillId="0" borderId="57" xfId="0" applyFont="1" applyBorder="1"/>
    <xf numFmtId="0" fontId="0" fillId="0" borderId="58" xfId="0" applyBorder="1"/>
    <xf numFmtId="0" fontId="0" fillId="0" borderId="57" xfId="0" applyBorder="1"/>
    <xf numFmtId="0" fontId="0" fillId="0" borderId="59" xfId="0" applyBorder="1"/>
    <xf numFmtId="0" fontId="0" fillId="0" borderId="30" xfId="0" applyBorder="1" applyAlignment="1">
      <alignment horizontal="right"/>
    </xf>
    <xf numFmtId="173" fontId="0" fillId="0" borderId="30" xfId="0" applyNumberFormat="1" applyBorder="1" applyAlignment="1" applyProtection="1">
      <alignment horizontal="right"/>
      <protection locked="0"/>
    </xf>
    <xf numFmtId="3" fontId="44" fillId="0" borderId="30" xfId="0" applyNumberFormat="1" applyFont="1" applyBorder="1" applyAlignment="1">
      <alignment horizontal="right"/>
    </xf>
    <xf numFmtId="0" fontId="0" fillId="0" borderId="30" xfId="0" applyBorder="1"/>
    <xf numFmtId="0" fontId="0" fillId="0" borderId="60" xfId="0" applyBorder="1"/>
    <xf numFmtId="0" fontId="0" fillId="0" borderId="55" xfId="0" applyBorder="1" applyAlignment="1">
      <alignment horizontal="center"/>
    </xf>
    <xf numFmtId="0" fontId="0" fillId="35" borderId="11" xfId="0" applyFill="1" applyBorder="1" applyAlignment="1">
      <alignment horizontal="left" wrapText="1"/>
    </xf>
    <xf numFmtId="0" fontId="29" fillId="0" borderId="30" xfId="0" applyFont="1" applyBorder="1"/>
    <xf numFmtId="0" fontId="27" fillId="0" borderId="11" xfId="0" applyFont="1" applyBorder="1" applyAlignment="1">
      <alignment horizontal="right" wrapText="1"/>
    </xf>
    <xf numFmtId="0" fontId="27" fillId="0" borderId="17" xfId="0" applyFont="1" applyBorder="1" applyAlignment="1">
      <alignment horizontal="right" wrapText="1"/>
    </xf>
    <xf numFmtId="0" fontId="44" fillId="0" borderId="0" xfId="82" applyFont="1"/>
    <xf numFmtId="3" fontId="0" fillId="0" borderId="0" xfId="0" applyNumberFormat="1" applyAlignment="1">
      <alignment horizontal="right" wrapText="1"/>
    </xf>
    <xf numFmtId="0" fontId="44" fillId="0" borderId="12" xfId="0" applyFont="1" applyBorder="1" applyAlignment="1">
      <alignment vertical="center" wrapText="1"/>
    </xf>
    <xf numFmtId="165" fontId="2" fillId="0" borderId="20" xfId="92" applyNumberFormat="1" applyFont="1" applyBorder="1"/>
    <xf numFmtId="0" fontId="0" fillId="0" borderId="11" xfId="0" quotePrefix="1" applyBorder="1" applyAlignment="1">
      <alignment horizontal="center"/>
    </xf>
    <xf numFmtId="164" fontId="44" fillId="0" borderId="20" xfId="0" applyNumberFormat="1" applyFont="1" applyBorder="1"/>
    <xf numFmtId="0" fontId="44" fillId="0" borderId="20" xfId="0" applyFont="1" applyBorder="1"/>
    <xf numFmtId="0" fontId="56" fillId="0" borderId="20" xfId="0" applyFont="1" applyBorder="1"/>
    <xf numFmtId="0" fontId="0" fillId="0" borderId="11" xfId="0" applyBorder="1" applyAlignment="1">
      <alignment horizontal="center"/>
    </xf>
    <xf numFmtId="3" fontId="0" fillId="0" borderId="20" xfId="0" applyNumberFormat="1" applyBorder="1"/>
    <xf numFmtId="3" fontId="0" fillId="0" borderId="15" xfId="0" applyNumberFormat="1" applyBorder="1" applyAlignment="1">
      <alignment horizontal="right" wrapText="1"/>
    </xf>
    <xf numFmtId="0" fontId="0" fillId="0" borderId="19" xfId="0" applyBorder="1" applyAlignment="1">
      <alignment horizontal="right" wrapText="1"/>
    </xf>
    <xf numFmtId="0" fontId="0" fillId="0" borderId="22" xfId="0" applyBorder="1" applyAlignment="1">
      <alignment horizontal="right" wrapText="1"/>
    </xf>
    <xf numFmtId="0" fontId="44" fillId="0" borderId="10" xfId="0" applyFont="1" applyBorder="1" applyAlignment="1">
      <alignment horizontal="center"/>
    </xf>
    <xf numFmtId="164" fontId="44" fillId="0" borderId="10" xfId="0" applyNumberFormat="1" applyFont="1" applyBorder="1"/>
    <xf numFmtId="0" fontId="44" fillId="0" borderId="10" xfId="0" applyFont="1" applyBorder="1"/>
    <xf numFmtId="0" fontId="56" fillId="0" borderId="10" xfId="0" applyFont="1" applyBorder="1"/>
    <xf numFmtId="3" fontId="44" fillId="0" borderId="29" xfId="0" applyNumberFormat="1" applyFont="1" applyBorder="1" applyAlignment="1">
      <alignment horizontal="right" wrapText="1"/>
    </xf>
    <xf numFmtId="3" fontId="44" fillId="0" borderId="35" xfId="0" applyNumberFormat="1" applyFont="1" applyBorder="1" applyAlignment="1">
      <alignment horizontal="right" wrapText="1"/>
    </xf>
    <xf numFmtId="165" fontId="44" fillId="0" borderId="29" xfId="0" applyNumberFormat="1" applyFont="1" applyBorder="1" applyAlignment="1">
      <alignment horizontal="right" wrapText="1"/>
    </xf>
    <xf numFmtId="0" fontId="0" fillId="0" borderId="20" xfId="0" applyBorder="1" applyAlignment="1">
      <alignment horizontal="center"/>
    </xf>
    <xf numFmtId="165" fontId="0" fillId="28" borderId="11" xfId="0" applyNumberFormat="1" applyFill="1" applyBorder="1" applyAlignment="1">
      <alignment horizontal="right"/>
    </xf>
    <xf numFmtId="0" fontId="0" fillId="28" borderId="11" xfId="0" applyFill="1" applyBorder="1" applyAlignment="1">
      <alignment horizontal="center"/>
    </xf>
    <xf numFmtId="0" fontId="44" fillId="24" borderId="13" xfId="0" applyFont="1" applyFill="1" applyBorder="1" applyAlignment="1">
      <alignment horizontal="left"/>
    </xf>
    <xf numFmtId="0" fontId="44" fillId="24" borderId="32" xfId="0" applyFont="1" applyFill="1" applyBorder="1" applyAlignment="1">
      <alignment horizontal="center"/>
    </xf>
    <xf numFmtId="0" fontId="0" fillId="24" borderId="15" xfId="0" quotePrefix="1" applyFill="1" applyBorder="1" applyAlignment="1">
      <alignment horizontal="center"/>
    </xf>
    <xf numFmtId="3" fontId="44" fillId="29" borderId="61" xfId="0" applyNumberFormat="1" applyFont="1" applyFill="1" applyBorder="1" applyAlignment="1">
      <alignment horizontal="right" wrapText="1"/>
    </xf>
    <xf numFmtId="3" fontId="0" fillId="29" borderId="13" xfId="0" applyNumberFormat="1" applyFill="1" applyBorder="1" applyAlignment="1">
      <alignment horizontal="right" wrapText="1"/>
    </xf>
    <xf numFmtId="0" fontId="0" fillId="24" borderId="15" xfId="0" applyFill="1" applyBorder="1" applyAlignment="1">
      <alignment horizontal="right" wrapText="1"/>
    </xf>
    <xf numFmtId="0" fontId="0" fillId="24" borderId="21" xfId="0" applyFill="1" applyBorder="1" applyAlignment="1">
      <alignment horizontal="right" wrapText="1"/>
    </xf>
    <xf numFmtId="0" fontId="44" fillId="0" borderId="17" xfId="0" applyFont="1" applyBorder="1"/>
    <xf numFmtId="0" fontId="0" fillId="0" borderId="23" xfId="0" applyBorder="1" applyAlignment="1">
      <alignment horizontal="left" vertical="center"/>
    </xf>
    <xf numFmtId="0" fontId="0" fillId="0" borderId="14" xfId="0" applyBorder="1" applyAlignment="1">
      <alignment horizontal="left" vertical="center"/>
    </xf>
    <xf numFmtId="0" fontId="44" fillId="41" borderId="12" xfId="0" applyFont="1" applyFill="1" applyBorder="1" applyAlignment="1">
      <alignment horizontal="left"/>
    </xf>
    <xf numFmtId="0" fontId="44" fillId="35" borderId="12" xfId="0" applyFont="1" applyFill="1" applyBorder="1" applyAlignment="1">
      <alignment horizontal="left"/>
    </xf>
    <xf numFmtId="0" fontId="44" fillId="0" borderId="23" xfId="0" applyFont="1" applyBorder="1" applyAlignment="1">
      <alignment horizontal="left" vertical="center"/>
    </xf>
    <xf numFmtId="0" fontId="44" fillId="0" borderId="22" xfId="0" applyFont="1" applyBorder="1"/>
    <xf numFmtId="0" fontId="39" fillId="44" borderId="22" xfId="0" applyFont="1" applyFill="1" applyBorder="1"/>
    <xf numFmtId="0" fontId="44" fillId="44" borderId="23" xfId="0" applyFont="1" applyFill="1" applyBorder="1" applyAlignment="1">
      <alignment horizontal="left"/>
    </xf>
    <xf numFmtId="0" fontId="39" fillId="44" borderId="10" xfId="0" applyFont="1" applyFill="1" applyBorder="1"/>
    <xf numFmtId="0" fontId="39" fillId="44" borderId="23" xfId="0" applyFont="1" applyFill="1" applyBorder="1"/>
    <xf numFmtId="0" fontId="48" fillId="44" borderId="12" xfId="0" applyFont="1" applyFill="1" applyBorder="1" applyAlignment="1">
      <alignment horizontal="left" vertical="center"/>
    </xf>
    <xf numFmtId="0" fontId="44" fillId="0" borderId="0" xfId="0" applyFont="1" applyAlignment="1">
      <alignment horizontal="left"/>
    </xf>
    <xf numFmtId="0" fontId="44" fillId="0" borderId="0" xfId="0" applyFont="1" applyAlignment="1">
      <alignment horizontal="center"/>
    </xf>
    <xf numFmtId="164" fontId="44" fillId="0" borderId="0" xfId="0" applyNumberFormat="1" applyFont="1"/>
    <xf numFmtId="0" fontId="56" fillId="0" borderId="0" xfId="0" applyFont="1"/>
    <xf numFmtId="0" fontId="0" fillId="43" borderId="0" xfId="0" applyFill="1"/>
    <xf numFmtId="4" fontId="0" fillId="43" borderId="0" xfId="0" applyNumberFormat="1" applyFill="1"/>
    <xf numFmtId="0" fontId="0" fillId="43" borderId="0" xfId="0" applyFill="1" applyAlignment="1">
      <alignment horizontal="center"/>
    </xf>
    <xf numFmtId="164" fontId="0" fillId="43" borderId="0" xfId="0" applyNumberFormat="1" applyFill="1"/>
    <xf numFmtId="0" fontId="44" fillId="43" borderId="23" xfId="0" applyFont="1" applyFill="1" applyBorder="1" applyAlignment="1">
      <alignment horizontal="left"/>
    </xf>
    <xf numFmtId="0" fontId="39" fillId="43" borderId="0" xfId="0" applyFont="1" applyFill="1"/>
    <xf numFmtId="0" fontId="48" fillId="0" borderId="23" xfId="0" applyFont="1" applyBorder="1" applyAlignment="1">
      <alignment horizontal="left" vertical="center" wrapText="1"/>
    </xf>
    <xf numFmtId="0" fontId="48" fillId="0" borderId="12" xfId="0" applyFont="1" applyBorder="1" applyAlignment="1">
      <alignment horizontal="left" vertical="center"/>
    </xf>
    <xf numFmtId="4" fontId="44" fillId="0" borderId="20" xfId="0" applyNumberFormat="1" applyFont="1" applyBorder="1"/>
    <xf numFmtId="165" fontId="48" fillId="0" borderId="0" xfId="0" applyNumberFormat="1" applyFont="1"/>
    <xf numFmtId="3" fontId="27" fillId="0" borderId="11" xfId="0" applyNumberFormat="1" applyFont="1" applyBorder="1" applyAlignment="1">
      <alignment horizontal="right" wrapText="1"/>
    </xf>
    <xf numFmtId="0" fontId="0" fillId="46" borderId="0" xfId="0" applyFill="1"/>
    <xf numFmtId="0" fontId="0" fillId="46" borderId="12" xfId="0" applyFill="1" applyBorder="1" applyAlignment="1">
      <alignment horizontal="left"/>
    </xf>
    <xf numFmtId="0" fontId="44" fillId="46" borderId="20" xfId="0" applyFont="1" applyFill="1" applyBorder="1" applyAlignment="1">
      <alignment horizontal="center"/>
    </xf>
    <xf numFmtId="0" fontId="0" fillId="46" borderId="11" xfId="0" applyFill="1" applyBorder="1" applyAlignment="1">
      <alignment horizontal="left" wrapText="1"/>
    </xf>
    <xf numFmtId="0" fontId="44" fillId="46" borderId="23" xfId="0" applyFont="1" applyFill="1" applyBorder="1" applyAlignment="1">
      <alignment horizontal="left" vertical="center"/>
    </xf>
    <xf numFmtId="0" fontId="44" fillId="46" borderId="10" xfId="0" applyFont="1" applyFill="1" applyBorder="1" applyAlignment="1">
      <alignment horizontal="center"/>
    </xf>
    <xf numFmtId="164" fontId="44" fillId="46" borderId="10" xfId="0" applyNumberFormat="1" applyFont="1" applyFill="1" applyBorder="1"/>
    <xf numFmtId="0" fontId="44" fillId="46" borderId="10" xfId="0" applyFont="1" applyFill="1" applyBorder="1"/>
    <xf numFmtId="0" fontId="56" fillId="46" borderId="10" xfId="0" applyFont="1" applyFill="1" applyBorder="1"/>
    <xf numFmtId="0" fontId="44" fillId="46" borderId="22" xfId="0" applyFont="1" applyFill="1" applyBorder="1"/>
    <xf numFmtId="0" fontId="48" fillId="46" borderId="23" xfId="0" applyFont="1" applyFill="1" applyBorder="1" applyAlignment="1">
      <alignment horizontal="left" vertical="center"/>
    </xf>
    <xf numFmtId="0" fontId="0" fillId="46" borderId="10" xfId="0" applyFill="1" applyBorder="1" applyAlignment="1">
      <alignment horizontal="center"/>
    </xf>
    <xf numFmtId="164" fontId="0" fillId="46" borderId="10" xfId="0" applyNumberFormat="1" applyFill="1" applyBorder="1"/>
    <xf numFmtId="0" fontId="0" fillId="46" borderId="10" xfId="0" applyFill="1" applyBorder="1"/>
    <xf numFmtId="0" fontId="39" fillId="46" borderId="10" xfId="0" applyFont="1" applyFill="1" applyBorder="1"/>
    <xf numFmtId="0" fontId="39" fillId="46" borderId="0" xfId="0" applyFont="1" applyFill="1"/>
    <xf numFmtId="0" fontId="39" fillId="46" borderId="22" xfId="0" applyFont="1" applyFill="1" applyBorder="1"/>
    <xf numFmtId="0" fontId="39" fillId="46" borderId="14" xfId="0" applyFont="1" applyFill="1" applyBorder="1"/>
    <xf numFmtId="0" fontId="46" fillId="46" borderId="12" xfId="0" applyFont="1" applyFill="1" applyBorder="1"/>
    <xf numFmtId="0" fontId="39" fillId="46" borderId="20" xfId="0" applyFont="1" applyFill="1" applyBorder="1"/>
    <xf numFmtId="0" fontId="0" fillId="46" borderId="17" xfId="0" applyFill="1" applyBorder="1"/>
    <xf numFmtId="0" fontId="0" fillId="46" borderId="12" xfId="0" applyFill="1" applyBorder="1"/>
    <xf numFmtId="0" fontId="39" fillId="46" borderId="17" xfId="0" applyFont="1" applyFill="1" applyBorder="1"/>
    <xf numFmtId="0" fontId="44" fillId="46" borderId="12" xfId="0" applyFont="1" applyFill="1" applyBorder="1" applyAlignment="1">
      <alignment horizontal="left" vertical="center"/>
    </xf>
    <xf numFmtId="164" fontId="44" fillId="46" borderId="20" xfId="0" applyNumberFormat="1" applyFont="1" applyFill="1" applyBorder="1"/>
    <xf numFmtId="0" fontId="44" fillId="46" borderId="20" xfId="0" applyFont="1" applyFill="1" applyBorder="1"/>
    <xf numFmtId="0" fontId="56" fillId="46" borderId="20" xfId="0" applyFont="1" applyFill="1" applyBorder="1"/>
    <xf numFmtId="0" fontId="56" fillId="46" borderId="17" xfId="0" applyFont="1" applyFill="1" applyBorder="1"/>
    <xf numFmtId="0" fontId="56" fillId="46" borderId="12" xfId="0" applyFont="1" applyFill="1" applyBorder="1"/>
    <xf numFmtId="0" fontId="44" fillId="46" borderId="17" xfId="0" applyFont="1" applyFill="1" applyBorder="1"/>
    <xf numFmtId="0" fontId="39" fillId="46" borderId="23" xfId="0" applyFont="1" applyFill="1" applyBorder="1"/>
    <xf numFmtId="0" fontId="0" fillId="46" borderId="14" xfId="0" applyFill="1" applyBorder="1"/>
    <xf numFmtId="0" fontId="48" fillId="46" borderId="12" xfId="0" applyFont="1" applyFill="1" applyBorder="1" applyAlignment="1">
      <alignment horizontal="left" vertical="center"/>
    </xf>
    <xf numFmtId="4" fontId="0" fillId="46" borderId="20" xfId="0" applyNumberFormat="1" applyFill="1" applyBorder="1"/>
    <xf numFmtId="0" fontId="0" fillId="46" borderId="20" xfId="0" applyFill="1" applyBorder="1" applyAlignment="1">
      <alignment horizontal="center"/>
    </xf>
    <xf numFmtId="164" fontId="0" fillId="46" borderId="20" xfId="0" applyNumberFormat="1" applyFill="1" applyBorder="1"/>
    <xf numFmtId="0" fontId="0" fillId="46" borderId="20" xfId="0" applyFill="1" applyBorder="1"/>
    <xf numFmtId="0" fontId="44" fillId="46" borderId="12" xfId="0" applyFont="1" applyFill="1" applyBorder="1" applyAlignment="1">
      <alignment horizontal="left"/>
    </xf>
    <xf numFmtId="0" fontId="39" fillId="46" borderId="13" xfId="0" applyFont="1" applyFill="1" applyBorder="1"/>
    <xf numFmtId="0" fontId="39" fillId="46" borderId="32" xfId="0" applyFont="1" applyFill="1" applyBorder="1"/>
    <xf numFmtId="0" fontId="39" fillId="46" borderId="21" xfId="0" applyFont="1" applyFill="1" applyBorder="1"/>
    <xf numFmtId="0" fontId="0" fillId="47" borderId="32" xfId="0" applyFill="1" applyBorder="1"/>
    <xf numFmtId="0" fontId="46" fillId="0" borderId="55" xfId="0" applyFont="1" applyBorder="1" applyAlignment="1">
      <alignment horizontal="left" vertical="center"/>
    </xf>
    <xf numFmtId="0" fontId="39" fillId="0" borderId="55" xfId="0" applyFont="1" applyBorder="1"/>
    <xf numFmtId="0" fontId="39" fillId="0" borderId="56" xfId="0" applyFont="1" applyBorder="1"/>
    <xf numFmtId="0" fontId="39" fillId="0" borderId="58" xfId="0" applyFont="1" applyBorder="1"/>
    <xf numFmtId="165" fontId="39" fillId="46" borderId="0" xfId="0" applyNumberFormat="1" applyFont="1" applyFill="1"/>
    <xf numFmtId="0" fontId="0" fillId="46" borderId="0" xfId="0" applyFill="1" applyAlignment="1">
      <alignment horizontal="center"/>
    </xf>
    <xf numFmtId="164" fontId="0" fillId="46" borderId="0" xfId="0" applyNumberFormat="1" applyFill="1"/>
    <xf numFmtId="4" fontId="0" fillId="46" borderId="0" xfId="0" applyNumberFormat="1" applyFill="1"/>
    <xf numFmtId="164" fontId="0" fillId="0" borderId="0" xfId="0" applyNumberFormat="1"/>
    <xf numFmtId="165" fontId="39" fillId="0" borderId="0" xfId="0" applyNumberFormat="1" applyFont="1"/>
    <xf numFmtId="165" fontId="39" fillId="45" borderId="0" xfId="0" applyNumberFormat="1" applyFont="1" applyFill="1"/>
    <xf numFmtId="165" fontId="39" fillId="44" borderId="0" xfId="0" applyNumberFormat="1" applyFont="1" applyFill="1"/>
    <xf numFmtId="4" fontId="0" fillId="44" borderId="0" xfId="0" applyNumberFormat="1" applyFill="1"/>
    <xf numFmtId="0" fontId="0" fillId="44" borderId="0" xfId="0" applyFill="1" applyAlignment="1">
      <alignment horizontal="center"/>
    </xf>
    <xf numFmtId="164" fontId="0" fillId="44" borderId="0" xfId="0" applyNumberFormat="1" applyFill="1"/>
    <xf numFmtId="0" fontId="39" fillId="44" borderId="0" xfId="0" applyFont="1" applyFill="1"/>
    <xf numFmtId="165" fontId="39" fillId="41" borderId="0" xfId="0" applyNumberFormat="1" applyFont="1" applyFill="1"/>
    <xf numFmtId="4" fontId="0" fillId="41" borderId="0" xfId="0" applyNumberFormat="1" applyFill="1"/>
    <xf numFmtId="0" fontId="0" fillId="41" borderId="0" xfId="0" applyFill="1" applyAlignment="1">
      <alignment horizontal="center"/>
    </xf>
    <xf numFmtId="164" fontId="0" fillId="41" borderId="0" xfId="0" applyNumberFormat="1" applyFill="1"/>
    <xf numFmtId="0" fontId="39" fillId="41" borderId="0" xfId="0" applyFont="1" applyFill="1"/>
    <xf numFmtId="165" fontId="46" fillId="0" borderId="0" xfId="0" applyNumberFormat="1" applyFont="1" applyAlignment="1">
      <alignment horizontal="center" wrapText="1"/>
    </xf>
    <xf numFmtId="165" fontId="44" fillId="0" borderId="0" xfId="0" applyNumberFormat="1" applyFont="1"/>
    <xf numFmtId="4" fontId="0" fillId="35" borderId="0" xfId="0" applyNumberFormat="1" applyFill="1"/>
    <xf numFmtId="0" fontId="0" fillId="35" borderId="0" xfId="0" applyFill="1" applyAlignment="1">
      <alignment horizontal="center"/>
    </xf>
    <xf numFmtId="164" fontId="0" fillId="35" borderId="0" xfId="0" applyNumberFormat="1" applyFill="1"/>
    <xf numFmtId="0" fontId="39" fillId="35" borderId="0" xfId="0" applyFont="1" applyFill="1"/>
    <xf numFmtId="0" fontId="29" fillId="0" borderId="55" xfId="0" applyFont="1" applyBorder="1"/>
    <xf numFmtId="0" fontId="0" fillId="46" borderId="57" xfId="0" applyFill="1" applyBorder="1"/>
    <xf numFmtId="0" fontId="46" fillId="46" borderId="0" xfId="0" applyFont="1" applyFill="1" applyAlignment="1">
      <alignment horizontal="left" vertical="center"/>
    </xf>
    <xf numFmtId="0" fontId="48" fillId="0" borderId="0" xfId="0" applyFont="1" applyAlignment="1">
      <alignment horizontal="left" vertical="center"/>
    </xf>
    <xf numFmtId="0" fontId="0" fillId="0" borderId="62" xfId="0" applyBorder="1"/>
    <xf numFmtId="0" fontId="0" fillId="43" borderId="57" xfId="0" applyFill="1" applyBorder="1"/>
    <xf numFmtId="0" fontId="0" fillId="43" borderId="62" xfId="0" applyFill="1" applyBorder="1"/>
    <xf numFmtId="0" fontId="46" fillId="43" borderId="0" xfId="0" applyFont="1" applyFill="1" applyAlignment="1">
      <alignment horizontal="left" vertical="center"/>
    </xf>
    <xf numFmtId="0" fontId="0" fillId="44" borderId="62" xfId="0" applyFill="1" applyBorder="1"/>
    <xf numFmtId="0" fontId="0" fillId="44" borderId="57" xfId="0" applyFill="1" applyBorder="1"/>
    <xf numFmtId="0" fontId="46" fillId="44" borderId="0" xfId="0" applyFont="1" applyFill="1" applyAlignment="1">
      <alignment horizontal="left" vertical="center"/>
    </xf>
    <xf numFmtId="0" fontId="0" fillId="41" borderId="62" xfId="0" applyFill="1" applyBorder="1"/>
    <xf numFmtId="0" fontId="0" fillId="41" borderId="57" xfId="0" applyFill="1" applyBorder="1"/>
    <xf numFmtId="0" fontId="46" fillId="41" borderId="0" xfId="0" applyFont="1" applyFill="1" applyAlignment="1">
      <alignment horizontal="left" vertical="center"/>
    </xf>
    <xf numFmtId="0" fontId="0" fillId="35" borderId="57" xfId="0" applyFill="1" applyBorder="1"/>
    <xf numFmtId="0" fontId="29" fillId="35" borderId="0" xfId="0" applyFont="1" applyFill="1"/>
    <xf numFmtId="0" fontId="0" fillId="35" borderId="62" xfId="0" applyFill="1" applyBorder="1"/>
    <xf numFmtId="0" fontId="0" fillId="47" borderId="57" xfId="0" applyFill="1" applyBorder="1"/>
    <xf numFmtId="0" fontId="46" fillId="47" borderId="0" xfId="0" applyFont="1" applyFill="1" applyAlignment="1">
      <alignment horizontal="left" vertical="center"/>
    </xf>
    <xf numFmtId="4" fontId="0" fillId="47" borderId="0" xfId="0" applyNumberFormat="1" applyFill="1"/>
    <xf numFmtId="0" fontId="0" fillId="47" borderId="0" xfId="0" applyFill="1" applyAlignment="1">
      <alignment horizontal="center"/>
    </xf>
    <xf numFmtId="164" fontId="0" fillId="47" borderId="0" xfId="0" applyNumberFormat="1" applyFill="1"/>
    <xf numFmtId="0" fontId="0" fillId="47" borderId="0" xfId="0" applyFill="1"/>
    <xf numFmtId="0" fontId="39" fillId="47" borderId="0" xfId="0" applyFont="1" applyFill="1"/>
    <xf numFmtId="4" fontId="0" fillId="0" borderId="0" xfId="0" applyNumberFormat="1"/>
    <xf numFmtId="0" fontId="56" fillId="0" borderId="58" xfId="0" applyFont="1" applyBorder="1"/>
    <xf numFmtId="0" fontId="46" fillId="35" borderId="0" xfId="0" applyFont="1" applyFill="1" applyAlignment="1">
      <alignment horizontal="left" vertical="center"/>
    </xf>
    <xf numFmtId="165" fontId="0" fillId="28" borderId="11" xfId="0" quotePrefix="1" applyNumberFormat="1" applyFill="1" applyBorder="1" applyAlignment="1">
      <alignment horizontal="right"/>
    </xf>
    <xf numFmtId="0" fontId="0" fillId="42" borderId="11" xfId="0" applyFill="1" applyBorder="1" applyAlignment="1">
      <alignment horizontal="left" wrapText="1"/>
    </xf>
    <xf numFmtId="3" fontId="46" fillId="28" borderId="13" xfId="92" applyNumberFormat="1" applyFont="1" applyFill="1" applyBorder="1" applyAlignment="1">
      <alignment horizontal="right" wrapText="1"/>
    </xf>
    <xf numFmtId="3" fontId="48" fillId="28" borderId="15" xfId="82" applyNumberFormat="1" applyFont="1" applyFill="1" applyBorder="1" applyAlignment="1">
      <alignment horizontal="right" wrapText="1"/>
    </xf>
    <xf numFmtId="3" fontId="46" fillId="28" borderId="15" xfId="82" applyNumberFormat="1" applyFont="1" applyFill="1" applyBorder="1" applyAlignment="1">
      <alignment horizontal="right" wrapText="1"/>
    </xf>
    <xf numFmtId="3" fontId="46" fillId="28" borderId="11" xfId="92" applyNumberFormat="1" applyFont="1" applyFill="1" applyBorder="1" applyAlignment="1">
      <alignment horizontal="right" wrapText="1"/>
    </xf>
    <xf numFmtId="4" fontId="44" fillId="29" borderId="50" xfId="0" applyNumberFormat="1" applyFont="1" applyFill="1" applyBorder="1" applyAlignment="1">
      <alignment horizontal="right" wrapText="1"/>
    </xf>
    <xf numFmtId="4" fontId="44" fillId="29" borderId="47" xfId="0" applyNumberFormat="1" applyFont="1" applyFill="1" applyBorder="1" applyAlignment="1">
      <alignment horizontal="right" wrapText="1"/>
    </xf>
    <xf numFmtId="4" fontId="44" fillId="29" borderId="48" xfId="0" applyNumberFormat="1" applyFont="1" applyFill="1" applyBorder="1" applyAlignment="1">
      <alignment horizontal="right" wrapText="1"/>
    </xf>
    <xf numFmtId="3" fontId="39" fillId="0" borderId="0" xfId="0" applyNumberFormat="1" applyFont="1"/>
    <xf numFmtId="1" fontId="39" fillId="0" borderId="0" xfId="0" applyNumberFormat="1" applyFont="1"/>
    <xf numFmtId="164" fontId="39" fillId="0" borderId="0" xfId="0" applyNumberFormat="1" applyFont="1"/>
    <xf numFmtId="3" fontId="56" fillId="0" borderId="0" xfId="0" applyNumberFormat="1" applyFont="1"/>
    <xf numFmtId="3" fontId="48" fillId="39" borderId="15" xfId="82" applyNumberFormat="1" applyFont="1" applyFill="1" applyBorder="1" applyAlignment="1" applyProtection="1">
      <alignment horizontal="right" wrapText="1"/>
      <protection locked="0"/>
    </xf>
    <xf numFmtId="3" fontId="46" fillId="39" borderId="13" xfId="92" applyNumberFormat="1" applyFont="1" applyFill="1" applyBorder="1" applyAlignment="1" applyProtection="1">
      <alignment horizontal="right" wrapText="1"/>
      <protection locked="0"/>
    </xf>
    <xf numFmtId="0" fontId="0" fillId="39" borderId="11" xfId="0" applyFill="1" applyBorder="1" applyAlignment="1" applyProtection="1">
      <alignment horizontal="center" wrapText="1"/>
      <protection locked="0"/>
    </xf>
    <xf numFmtId="3" fontId="0" fillId="24" borderId="11" xfId="0" applyNumberFormat="1" applyFill="1" applyBorder="1" applyAlignment="1">
      <alignment horizontal="right"/>
    </xf>
    <xf numFmtId="0" fontId="40" fillId="37" borderId="0" xfId="0" applyFont="1" applyFill="1" applyAlignment="1">
      <alignment vertical="center"/>
    </xf>
    <xf numFmtId="0" fontId="80" fillId="24" borderId="41" xfId="0" applyFont="1" applyFill="1" applyBorder="1" applyAlignment="1">
      <alignment horizontal="center" vertical="center"/>
    </xf>
    <xf numFmtId="0" fontId="40" fillId="24" borderId="56" xfId="0" applyFont="1" applyFill="1" applyBorder="1" applyAlignment="1">
      <alignment vertical="center"/>
    </xf>
    <xf numFmtId="168" fontId="46" fillId="0" borderId="24" xfId="57" applyNumberFormat="1" applyFont="1" applyFill="1" applyBorder="1" applyProtection="1"/>
    <xf numFmtId="168" fontId="46" fillId="39" borderId="34" xfId="57" applyNumberFormat="1" applyFont="1" applyFill="1" applyBorder="1" applyAlignment="1" applyProtection="1">
      <alignment horizontal="right"/>
    </xf>
    <xf numFmtId="0" fontId="81" fillId="0" borderId="0" xfId="0" applyFont="1" applyAlignment="1">
      <alignment vertical="center"/>
    </xf>
    <xf numFmtId="168" fontId="46" fillId="39" borderId="34" xfId="57" applyNumberFormat="1" applyFont="1" applyFill="1" applyBorder="1" applyProtection="1"/>
    <xf numFmtId="10" fontId="46" fillId="39" borderId="34" xfId="92" applyNumberFormat="1" applyFont="1" applyFill="1" applyBorder="1" applyProtection="1"/>
    <xf numFmtId="168" fontId="46" fillId="0" borderId="28" xfId="57" applyNumberFormat="1" applyFont="1" applyFill="1" applyBorder="1" applyProtection="1"/>
    <xf numFmtId="10" fontId="46" fillId="39" borderId="27" xfId="92" applyNumberFormat="1" applyFont="1" applyFill="1" applyBorder="1" applyProtection="1"/>
    <xf numFmtId="168" fontId="0" fillId="0" borderId="0" xfId="0" applyNumberFormat="1"/>
    <xf numFmtId="43" fontId="0" fillId="0" borderId="0" xfId="0" applyNumberFormat="1"/>
    <xf numFmtId="0" fontId="44" fillId="24" borderId="44" xfId="0" applyFont="1" applyFill="1" applyBorder="1" applyAlignment="1">
      <alignment horizontal="center"/>
    </xf>
    <xf numFmtId="0" fontId="44" fillId="24" borderId="50" xfId="82" applyFont="1" applyFill="1" applyBorder="1" applyAlignment="1">
      <alignment horizontal="center"/>
    </xf>
    <xf numFmtId="0" fontId="44" fillId="24" borderId="50" xfId="110" applyFont="1" applyFill="1" applyBorder="1" applyAlignment="1">
      <alignment horizontal="center" wrapText="1"/>
    </xf>
    <xf numFmtId="3" fontId="44" fillId="24" borderId="50" xfId="110" applyNumberFormat="1" applyFont="1" applyFill="1" applyBorder="1" applyAlignment="1">
      <alignment horizontal="center" wrapText="1"/>
    </xf>
    <xf numFmtId="0" fontId="44" fillId="24" borderId="48" xfId="110" applyFont="1" applyFill="1" applyBorder="1" applyAlignment="1">
      <alignment horizontal="center" wrapText="1"/>
    </xf>
    <xf numFmtId="0" fontId="44" fillId="24" borderId="44" xfId="0" applyFont="1" applyFill="1" applyBorder="1" applyAlignment="1">
      <alignment horizontal="center" wrapText="1"/>
    </xf>
    <xf numFmtId="0" fontId="44" fillId="42" borderId="50" xfId="0" applyFont="1" applyFill="1" applyBorder="1" applyAlignment="1">
      <alignment horizontal="center" wrapText="1"/>
    </xf>
    <xf numFmtId="0" fontId="44" fillId="24" borderId="50" xfId="0" applyFont="1" applyFill="1" applyBorder="1" applyAlignment="1">
      <alignment horizontal="center" wrapText="1"/>
    </xf>
    <xf numFmtId="0" fontId="44" fillId="24" borderId="48" xfId="0" applyFont="1" applyFill="1" applyBorder="1" applyAlignment="1">
      <alignment horizontal="center" wrapText="1"/>
    </xf>
    <xf numFmtId="0" fontId="0" fillId="0" borderId="63" xfId="0" applyBorder="1" applyAlignment="1">
      <alignment horizontal="center"/>
    </xf>
    <xf numFmtId="168" fontId="46" fillId="0" borderId="19" xfId="57" applyNumberFormat="1" applyFont="1" applyFill="1" applyBorder="1" applyProtection="1"/>
    <xf numFmtId="168" fontId="46" fillId="0" borderId="19" xfId="82" applyNumberFormat="1" applyFont="1" applyBorder="1"/>
    <xf numFmtId="3" fontId="46" fillId="0" borderId="19" xfId="82" applyNumberFormat="1" applyFont="1" applyBorder="1" applyAlignment="1">
      <alignment horizontal="right"/>
    </xf>
    <xf numFmtId="168"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9" fontId="0" fillId="0" borderId="34" xfId="0" applyNumberFormat="1" applyBorder="1"/>
    <xf numFmtId="9" fontId="27" fillId="0" borderId="34" xfId="92" applyFont="1" applyFill="1" applyBorder="1" applyAlignment="1" applyProtection="1">
      <alignment horizontal="right" vertical="center"/>
      <protection locked="0"/>
    </xf>
    <xf numFmtId="0" fontId="0" fillId="0" borderId="51"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29" xfId="0" applyNumberFormat="1" applyBorder="1"/>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6" fillId="24" borderId="13" xfId="82" applyFont="1" applyFill="1" applyBorder="1" applyAlignment="1">
      <alignment horizontal="center" wrapText="1"/>
    </xf>
    <xf numFmtId="0" fontId="46" fillId="24" borderId="15" xfId="82" applyFont="1" applyFill="1" applyBorder="1" applyAlignment="1">
      <alignment horizontal="center" wrapText="1"/>
    </xf>
    <xf numFmtId="3" fontId="0" fillId="0" borderId="18" xfId="0" applyNumberFormat="1" applyBorder="1" applyAlignment="1">
      <alignment horizontal="right"/>
    </xf>
    <xf numFmtId="3" fontId="0" fillId="0" borderId="16" xfId="0" applyNumberFormat="1" applyBorder="1" applyAlignment="1">
      <alignment horizontal="right"/>
    </xf>
    <xf numFmtId="3" fontId="0" fillId="0" borderId="14" xfId="0" applyNumberFormat="1" applyBorder="1" applyAlignment="1">
      <alignment horizontal="right"/>
    </xf>
    <xf numFmtId="3" fontId="0" fillId="0" borderId="30" xfId="0" applyNumberFormat="1" applyBorder="1" applyAlignment="1">
      <alignment horizontal="right"/>
    </xf>
    <xf numFmtId="3" fontId="0" fillId="0" borderId="44" xfId="0" applyNumberFormat="1" applyBorder="1" applyAlignment="1">
      <alignment horizontal="right"/>
    </xf>
    <xf numFmtId="173" fontId="0" fillId="39" borderId="15" xfId="0" applyNumberFormat="1" applyFill="1" applyBorder="1" applyAlignment="1" applyProtection="1">
      <alignment horizontal="right"/>
      <protection locked="0"/>
    </xf>
    <xf numFmtId="9" fontId="0" fillId="39" borderId="11" xfId="0" applyNumberFormat="1" applyFill="1" applyBorder="1" applyAlignment="1">
      <alignment horizontal="right"/>
    </xf>
    <xf numFmtId="0" fontId="69" fillId="24" borderId="12" xfId="72" applyFont="1" applyFill="1" applyBorder="1" applyAlignment="1" applyProtection="1">
      <alignment horizontal="left"/>
    </xf>
    <xf numFmtId="0" fontId="29" fillId="0" borderId="14" xfId="0" applyFont="1" applyBorder="1"/>
    <xf numFmtId="0" fontId="39" fillId="0" borderId="20" xfId="0" applyFont="1" applyBorder="1"/>
    <xf numFmtId="0" fontId="39" fillId="0" borderId="17" xfId="0" applyFont="1" applyBorder="1"/>
    <xf numFmtId="0" fontId="39" fillId="0" borderId="12" xfId="0" applyFont="1" applyBorder="1"/>
    <xf numFmtId="0" fontId="39" fillId="0" borderId="10" xfId="0" applyFont="1" applyBorder="1"/>
    <xf numFmtId="0" fontId="39" fillId="0" borderId="22" xfId="0" applyFont="1" applyBorder="1"/>
    <xf numFmtId="3" fontId="46" fillId="39" borderId="15" xfId="82" applyNumberFormat="1" applyFont="1" applyFill="1" applyBorder="1" applyAlignment="1" applyProtection="1">
      <alignment horizontal="right" wrapText="1"/>
      <protection locked="0"/>
    </xf>
    <xf numFmtId="0" fontId="46" fillId="24" borderId="11" xfId="82" applyFont="1" applyFill="1" applyBorder="1" applyAlignment="1">
      <alignment horizontal="center" wrapText="1"/>
    </xf>
    <xf numFmtId="3" fontId="46" fillId="39" borderId="11" xfId="92" applyNumberFormat="1" applyFont="1" applyFill="1" applyBorder="1" applyAlignment="1" applyProtection="1">
      <alignment horizontal="right" wrapText="1"/>
      <protection locked="0"/>
    </xf>
    <xf numFmtId="0" fontId="0" fillId="48" borderId="11" xfId="0" applyFill="1" applyBorder="1" applyAlignment="1">
      <alignment horizontal="left" wrapText="1"/>
    </xf>
    <xf numFmtId="0" fontId="0" fillId="28" borderId="11" xfId="0" applyFill="1" applyBorder="1" applyAlignment="1">
      <alignment horizontal="left" wrapText="1"/>
    </xf>
    <xf numFmtId="0" fontId="39" fillId="0" borderId="23" xfId="0" applyFont="1" applyBorder="1"/>
    <xf numFmtId="165" fontId="0" fillId="0" borderId="15" xfId="0" applyNumberFormat="1" applyBorder="1" applyAlignment="1">
      <alignment horizontal="right"/>
    </xf>
    <xf numFmtId="165" fontId="2" fillId="0" borderId="0" xfId="92" applyNumberFormat="1" applyFont="1" applyFill="1" applyBorder="1" applyProtection="1">
      <protection locked="0"/>
    </xf>
    <xf numFmtId="0" fontId="69" fillId="39" borderId="11" xfId="82" applyFont="1" applyFill="1" applyBorder="1" applyAlignment="1">
      <alignment horizontal="center" wrapText="1"/>
    </xf>
    <xf numFmtId="165" fontId="2" fillId="39" borderId="11" xfId="92" applyNumberFormat="1" applyFont="1" applyFill="1" applyBorder="1"/>
    <xf numFmtId="165" fontId="69" fillId="39" borderId="11" xfId="82" applyNumberFormat="1" applyFont="1" applyFill="1" applyBorder="1"/>
    <xf numFmtId="165" fontId="2" fillId="25" borderId="11" xfId="92" applyNumberFormat="1" applyFont="1" applyFill="1" applyBorder="1"/>
    <xf numFmtId="165" fontId="69" fillId="0" borderId="11" xfId="82" applyNumberFormat="1" applyFont="1" applyBorder="1"/>
    <xf numFmtId="3" fontId="39" fillId="35" borderId="20" xfId="0" applyNumberFormat="1" applyFont="1" applyFill="1" applyBorder="1"/>
    <xf numFmtId="3" fontId="44" fillId="0" borderId="16" xfId="0" applyNumberFormat="1" applyFont="1" applyBorder="1" applyAlignment="1">
      <alignment horizontal="right" wrapText="1"/>
    </xf>
    <xf numFmtId="165" fontId="44" fillId="0" borderId="15" xfId="0" applyNumberFormat="1" applyFont="1" applyBorder="1" applyAlignment="1">
      <alignment horizontal="right" wrapText="1"/>
    </xf>
    <xf numFmtId="0" fontId="44" fillId="48" borderId="23" xfId="0" applyFont="1" applyFill="1" applyBorder="1" applyAlignment="1">
      <alignment horizontal="left" vertical="center"/>
    </xf>
    <xf numFmtId="0" fontId="44" fillId="48" borderId="10" xfId="0" applyFont="1" applyFill="1" applyBorder="1" applyAlignment="1">
      <alignment horizontal="center"/>
    </xf>
    <xf numFmtId="164" fontId="44" fillId="48" borderId="10" xfId="0" applyNumberFormat="1" applyFont="1" applyFill="1" applyBorder="1"/>
    <xf numFmtId="0" fontId="44" fillId="48" borderId="10" xfId="0" applyFont="1" applyFill="1" applyBorder="1"/>
    <xf numFmtId="0" fontId="56" fillId="48" borderId="10" xfId="0" applyFont="1" applyFill="1" applyBorder="1"/>
    <xf numFmtId="0" fontId="44" fillId="48" borderId="22" xfId="0" applyFont="1" applyFill="1" applyBorder="1"/>
    <xf numFmtId="0" fontId="48" fillId="48" borderId="23" xfId="0" applyFont="1" applyFill="1" applyBorder="1" applyAlignment="1">
      <alignment horizontal="left" vertical="center"/>
    </xf>
    <xf numFmtId="0" fontId="0" fillId="48" borderId="10" xfId="0" applyFill="1" applyBorder="1" applyAlignment="1">
      <alignment horizontal="center"/>
    </xf>
    <xf numFmtId="164" fontId="0" fillId="48" borderId="10" xfId="0" applyNumberFormat="1" applyFill="1" applyBorder="1"/>
    <xf numFmtId="0" fontId="0" fillId="48" borderId="10" xfId="0" applyFill="1" applyBorder="1"/>
    <xf numFmtId="0" fontId="39" fillId="48" borderId="10" xfId="0" applyFont="1" applyFill="1" applyBorder="1"/>
    <xf numFmtId="0" fontId="39" fillId="48" borderId="0" xfId="0" applyFont="1" applyFill="1"/>
    <xf numFmtId="0" fontId="39" fillId="48" borderId="22" xfId="0" applyFont="1" applyFill="1" applyBorder="1"/>
    <xf numFmtId="0" fontId="44" fillId="48" borderId="20" xfId="0" applyFont="1" applyFill="1" applyBorder="1" applyAlignment="1">
      <alignment horizontal="center"/>
    </xf>
    <xf numFmtId="164" fontId="44" fillId="48" borderId="20" xfId="0" applyNumberFormat="1" applyFont="1" applyFill="1" applyBorder="1"/>
    <xf numFmtId="0" fontId="44" fillId="48" borderId="20" xfId="0" applyFont="1" applyFill="1" applyBorder="1"/>
    <xf numFmtId="0" fontId="56" fillId="48" borderId="20" xfId="0" applyFont="1" applyFill="1" applyBorder="1"/>
    <xf numFmtId="0" fontId="44" fillId="48" borderId="17" xfId="0" applyFont="1" applyFill="1" applyBorder="1"/>
    <xf numFmtId="0" fontId="0" fillId="48" borderId="57" xfId="0" applyFill="1" applyBorder="1"/>
    <xf numFmtId="3" fontId="0" fillId="48" borderId="17" xfId="0" applyNumberFormat="1" applyFill="1" applyBorder="1"/>
    <xf numFmtId="0" fontId="39" fillId="48" borderId="14" xfId="0" applyFont="1" applyFill="1" applyBorder="1"/>
    <xf numFmtId="0" fontId="46" fillId="48" borderId="0" xfId="0" applyFont="1" applyFill="1" applyAlignment="1">
      <alignment horizontal="left" vertical="center"/>
    </xf>
    <xf numFmtId="0" fontId="0" fillId="48" borderId="0" xfId="0" applyFill="1" applyAlignment="1">
      <alignment horizontal="center"/>
    </xf>
    <xf numFmtId="164" fontId="0" fillId="48" borderId="0" xfId="0" applyNumberFormat="1" applyFill="1"/>
    <xf numFmtId="0" fontId="0" fillId="48" borderId="0" xfId="0" applyFill="1"/>
    <xf numFmtId="0" fontId="0" fillId="48" borderId="17" xfId="0" applyFill="1" applyBorder="1"/>
    <xf numFmtId="0" fontId="0" fillId="48" borderId="12" xfId="0" applyFill="1" applyBorder="1"/>
    <xf numFmtId="0" fontId="39" fillId="48" borderId="17" xfId="0" applyFont="1" applyFill="1" applyBorder="1"/>
    <xf numFmtId="165" fontId="39" fillId="48" borderId="0" xfId="0" applyNumberFormat="1" applyFont="1" applyFill="1"/>
    <xf numFmtId="0" fontId="44" fillId="48" borderId="12" xfId="0" applyFont="1" applyFill="1" applyBorder="1" applyAlignment="1">
      <alignment horizontal="left" vertical="center"/>
    </xf>
    <xf numFmtId="0" fontId="56" fillId="48" borderId="17" xfId="0" applyFont="1" applyFill="1" applyBorder="1"/>
    <xf numFmtId="0" fontId="56" fillId="48" borderId="12" xfId="0" applyFont="1" applyFill="1" applyBorder="1"/>
    <xf numFmtId="0" fontId="39" fillId="48" borderId="23" xfId="0" applyFont="1" applyFill="1" applyBorder="1"/>
    <xf numFmtId="0" fontId="44" fillId="48" borderId="0" xfId="0" applyFont="1" applyFill="1" applyAlignment="1">
      <alignment horizontal="left"/>
    </xf>
    <xf numFmtId="0" fontId="44" fillId="48" borderId="0" xfId="0" applyFont="1" applyFill="1" applyAlignment="1">
      <alignment horizontal="center"/>
    </xf>
    <xf numFmtId="164" fontId="44" fillId="48" borderId="0" xfId="0" applyNumberFormat="1" applyFont="1" applyFill="1"/>
    <xf numFmtId="0" fontId="44" fillId="48" borderId="0" xfId="0" applyFont="1" applyFill="1"/>
    <xf numFmtId="0" fontId="56" fillId="48" borderId="0" xfId="0" applyFont="1" applyFill="1"/>
    <xf numFmtId="0" fontId="39" fillId="48" borderId="13" xfId="0" applyFont="1" applyFill="1" applyBorder="1"/>
    <xf numFmtId="0" fontId="39" fillId="48" borderId="32" xfId="0" applyFont="1" applyFill="1" applyBorder="1"/>
    <xf numFmtId="0" fontId="39" fillId="48" borderId="21" xfId="0" applyFont="1" applyFill="1" applyBorder="1"/>
    <xf numFmtId="0" fontId="48" fillId="48" borderId="12" xfId="0" applyFont="1" applyFill="1" applyBorder="1" applyAlignment="1">
      <alignment horizontal="left" vertical="center"/>
    </xf>
    <xf numFmtId="4" fontId="0" fillId="48" borderId="20" xfId="0" applyNumberFormat="1" applyFill="1" applyBorder="1"/>
    <xf numFmtId="0" fontId="0" fillId="48" borderId="20" xfId="0" applyFill="1" applyBorder="1" applyAlignment="1">
      <alignment horizontal="center"/>
    </xf>
    <xf numFmtId="164" fontId="0" fillId="48" borderId="20" xfId="0" applyNumberFormat="1" applyFill="1" applyBorder="1"/>
    <xf numFmtId="0" fontId="0" fillId="48" borderId="20" xfId="0" applyFill="1" applyBorder="1"/>
    <xf numFmtId="0" fontId="0" fillId="48" borderId="14" xfId="0" applyFill="1" applyBorder="1"/>
    <xf numFmtId="0" fontId="46" fillId="0" borderId="11" xfId="0" applyFont="1" applyBorder="1" applyAlignment="1">
      <alignment horizontal="center" wrapText="1"/>
    </xf>
    <xf numFmtId="0" fontId="44" fillId="0" borderId="12" xfId="0" applyFont="1" applyBorder="1"/>
    <xf numFmtId="0" fontId="39" fillId="0" borderId="17" xfId="0" applyFont="1" applyBorder="1" applyAlignment="1">
      <alignment horizontal="center" wrapText="1"/>
    </xf>
    <xf numFmtId="165" fontId="46" fillId="0" borderId="11" xfId="0" applyNumberFormat="1" applyFont="1" applyBorder="1" applyAlignment="1">
      <alignment horizontal="center" wrapText="1"/>
    </xf>
    <xf numFmtId="0" fontId="0" fillId="48" borderId="12" xfId="0" applyFill="1" applyBorder="1" applyAlignment="1">
      <alignment horizontal="left"/>
    </xf>
    <xf numFmtId="165" fontId="69" fillId="0" borderId="0" xfId="82" applyNumberFormat="1" applyFont="1" applyAlignment="1">
      <alignment horizontal="right" vertical="center"/>
    </xf>
    <xf numFmtId="0" fontId="48" fillId="46" borderId="12" xfId="0" applyFont="1" applyFill="1" applyBorder="1"/>
    <xf numFmtId="0" fontId="48" fillId="0" borderId="12" xfId="0" applyFont="1" applyBorder="1"/>
    <xf numFmtId="4" fontId="44" fillId="0" borderId="0" xfId="0" applyNumberFormat="1" applyFont="1"/>
    <xf numFmtId="0" fontId="44" fillId="0" borderId="0" xfId="0" applyFont="1" applyAlignment="1">
      <alignment horizontal="right"/>
    </xf>
    <xf numFmtId="9" fontId="0" fillId="39" borderId="11" xfId="0" applyNumberFormat="1" applyFill="1" applyBorder="1" applyAlignment="1" applyProtection="1">
      <alignment horizontal="right"/>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0" fillId="0" borderId="12" xfId="0" applyBorder="1" applyAlignment="1">
      <alignment horizontal="left" wrapText="1"/>
    </xf>
    <xf numFmtId="0" fontId="0" fillId="0" borderId="20" xfId="0" applyBorder="1" applyAlignment="1">
      <alignment horizontal="left" wrapText="1"/>
    </xf>
    <xf numFmtId="0" fontId="54" fillId="0" borderId="12" xfId="72" applyFont="1" applyBorder="1" applyAlignment="1" applyProtection="1">
      <alignment horizontal="left" wrapText="1"/>
    </xf>
    <xf numFmtId="0" fontId="54" fillId="0" borderId="20" xfId="72" applyFont="1" applyBorder="1" applyAlignment="1" applyProtection="1">
      <alignment horizontal="left" wrapText="1"/>
    </xf>
    <xf numFmtId="0" fontId="54" fillId="0" borderId="17" xfId="72" applyFont="1" applyBorder="1" applyAlignment="1" applyProtection="1">
      <alignment horizontal="left" wrapText="1"/>
    </xf>
    <xf numFmtId="0" fontId="46" fillId="0" borderId="12" xfId="72" applyFont="1" applyFill="1" applyBorder="1" applyAlignment="1" applyProtection="1">
      <alignment horizontal="left" wrapText="1"/>
      <protection locked="0"/>
    </xf>
    <xf numFmtId="0" fontId="46" fillId="0" borderId="20" xfId="72" applyFont="1" applyFill="1" applyBorder="1" applyAlignment="1" applyProtection="1">
      <alignment horizontal="left" wrapText="1"/>
      <protection locked="0"/>
    </xf>
    <xf numFmtId="0" fontId="46" fillId="0" borderId="17" xfId="72" applyFont="1" applyFill="1" applyBorder="1" applyAlignment="1" applyProtection="1">
      <alignment horizontal="left" wrapText="1"/>
      <protection locked="0"/>
    </xf>
  </cellXfs>
  <cellStyles count="114">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3" xr:uid="{6A5E7C25-CC9F-46D2-9DCF-C2297401AC2C}"/>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2 3" xfId="112" xr:uid="{B29302EF-9451-4E59-A311-BC733C8C57DF}"/>
    <cellStyle name="Normal 3" xfId="84" xr:uid="{00000000-0005-0000-0000-000058000000}"/>
    <cellStyle name="Normal 3 2" xfId="85" xr:uid="{00000000-0005-0000-0000-000059000000}"/>
    <cellStyle name="Normal 3 3" xfId="109" xr:uid="{4DE0461D-A09A-46DB-9420-EA36D32D2B1E}"/>
    <cellStyle name="Normal 3 4" xfId="111" xr:uid="{4F2B2247-8457-4D3C-9F95-29600049358F}"/>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customXml" Target="../customXml/item2.xml"/><Relationship Id="rId20" Type="http://schemas.openxmlformats.org/officeDocument/2006/relationships/externalLink" Target="externalLinks/externalLink9.xml"/><Relationship Id="rId41"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RAFT2\Rev03\Unified%20Allocations\Data\NewNeed\2003LIS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NHS%20CB\Finance\Strategic%20Finance\Allocations\Allocation%20Control%20SB%20Draf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ms.gov.uk\HomeDrive\Users\jarvis.punsalan\AppData\Local\Microsoft\Windows\Temporary%20Internet%20Files\Content.Outlook\J9ABVTZR\16-17%20Maternity%20mode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ms.gov.uk\data\PricingDelivery\MonitorDocumentLibrary\Model%2016_17\Inputs\MFF\MFF%20model%20consolidation\MFF%20model%20consolidation%2020151209%20v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hscic365.sharepoint.com/PeninsulaHouse/Finance/1516%20SOUTH%20WEST/1516%20Month%20End/M04/Non%20ISFE/Q80_DC_NON_ISFE_M04_(07Aug15%201559)_Macrofix_v2.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onnect2.monitor-nhsft.gov.uk/2017-18%20National%20Tariff/Live%20Models/17-18%20Other-Mandatory%20mode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ims.gov.uk\HomeDrive\Pricing%20Data\2017-18%20National%20Tariff\Live%20Models\17-18%20Unbundled%20mode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NHS%20CB\Finance\FCP\Financial%20Planning%202019-20\Plan%20Submissions\S04-15MAY19\Consolidations\S04_Plan_CCG_Consol_1920_CCG.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ms.gov.uk\HomeDrive\2016-17%20National%20Tariff\Live%20Models\16-17%20Unbundled%20mode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ms.gov.uk\HomeDrive\Users\jarvis.punsalan\AppData\Local\Microsoft\Windows\Temporary%20Internet%20Files\Content.Outlook\J9ABVTZR\16-17%20Other-Mandatory%20model_final_TED.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NHS%20CB\Analytical%20Services%20(Finance)\National%20tariffs\Analysis\CCG%20Contract%20Data%20Update\S04%201920%20contract%20info%20STP20%20analy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FPAEIG\RPA%204\All%20Key%20Docs\Dispo\Waterfall0708\Data\&#163;50m%20pro%20rata%20to%20PCT%202002_03%20alloc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FID-RAMA\RAMA1\Allocations\Publications_Final%20Versions%20Only\PCT%20Exposition%20Books\2011_12\2012ExpoBook_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future.nhs.uk/ims.gov.uk/HomeDrive/Users/ASoni/Downloads/InHIP%20Summary%20of%20ICS%20Projects%20-%20with%20min%20req%20v0.2%20LIVE.xlsm"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Medical%20technologies/Published/MTG76%20MT570%20Aposhealth/RIA/Workings/Updated%20versions/Book.xlsx" TargetMode="External"/><Relationship Id="rId1" Type="http://schemas.openxmlformats.org/officeDocument/2006/relationships/externalLinkPath" Target="https://niceuk.sharepoint.com/sites/Resource_Impact_Assessment/Shared%20Documents/Medical%20technologies/Published/MTG76%20MT570%20Aposhealth/RIA/Workings/Updated%20versions/Book.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ms.gov.uk\HomeDrive\MFF\Input%20data%201516\Central\2017-18%20Models_used_to_set_MFF%20v06%2009122016.xlsx"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CCG%20In-Year" TargetMode="External"/></Relationships>
</file>

<file path=xl/externalLinks/_rels/externalLink25.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hscic365.sharepoint.com/NHS%20CB%20LAT/Finance%20NCB%20ATTV/JOURNALS/Month%204/394941-2014%2004%20AO%20ADJUSTMENT%208%20AUG%20JOURNAL.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ims.gov.uk\HomeDrive\Users\shen.cheng\AppData\Local\Microsoft\Windows\Temporary%20Internet%20Files\Content.Outlook\7BP3KV2J\Validation%20template.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improvement.nhs.uk/documents/1973/2_-_National_schedule_of_reference_costs_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PAEIG\RPA%204\Key%20Facts\2012_13\January%202013\201211070_Key%20data%20updated%2011%20January%20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FM\CFISSA%20-%20CFS%20-%20PSS\2008-09%20Central%20Programmes\DH&amp;ALB%20Finances\Cascade\Journals\08.09%20DHFC%20Spring%20Supply%20Adjustments%20-%20Additional%20Cascade%20Journal%20-%2014660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s.gov.uk\HomeDrive\RAFT2\Rev03\Unified%20Allocations\Data\NewNeed\2003LIS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ms.gov.uk\HomeDrive\FPAEIG\RPA%204\All%20Key%20Docs\Dispo\Waterfall0708\Data\&#163;50m%20pro%20rata%20to%20PCT%202002_03%20alloc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FID-RAMA\RAMA1\Allocations\Rev%2013%20PH\July%202012%20onwards\MFF\PCT%20to%20LA%20overall%20MFF%2012%20Nov%202012%20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hscic365.sharepoint.com/Users/GBEXPVD/EXPHOME6/CCostello/Data/Desktop/Q80_DC_NON_ISFE_M06_(07Oct15%200749)_Macrofix_V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NHS%20CB\Analytical%20Services%20(Finance)\Allocations\2019_20%20allocations\target%20allocations\update%201920%20allocations\pace%20of%20change\Final%20version%2008%20January%202019\PaceOfChangeModel1920%2020190104%20v28%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Justification list"/>
      <sheetName val="Table_5_3_&amp;_5_4"/>
      <sheetName val="Table_5_8"/>
      <sheetName val="Change_Log"/>
      <sheetName val="Picklist_Ranges"/>
      <sheetName val="Headcount"/>
      <sheetName val="HC_Reporting_Categories"/>
      <sheetName val="Report"/>
      <sheetName val="Drop Down Options"/>
      <sheetName val="Instructions"/>
      <sheetName val="Lookups"/>
      <sheetName val="ATCCList"/>
      <sheetName val="CCG&amp;CSU CCList"/>
      <sheetName val="Key"/>
      <sheetName val="Fin Perf Ranking"/>
      <sheetName val="lookup"/>
      <sheetName val="LIST"/>
      <sheetName val="Summary"/>
      <sheetName val="APPENDIX N(ii)"/>
      <sheetName val="Theme mapping"/>
      <sheetName val="Sheet1"/>
      <sheetName val="themes"/>
      <sheetName val="PIVOT"/>
      <sheetName val="Month 2 data"/>
      <sheetName val="Month 3 Data"/>
      <sheetName val="Sheet4"/>
      <sheetName val="Sheet2"/>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File"/>
      <sheetName val="Allocation Summary by mandate"/>
      <sheetName val="Summary of Allocations by Geog"/>
      <sheetName val="Allocations"/>
      <sheetName val="final RCA"/>
      <sheetName val="Allocations sort"/>
      <sheetName val="Sheet5"/>
      <sheetName val="Sheet2"/>
      <sheetName val="Sheet1"/>
      <sheetName val="Sheet7"/>
      <sheetName val="CCG Cost Centre - Allocations"/>
      <sheetName val="CB Cost Centre Matrix"/>
      <sheetName val="Mandate Summary"/>
      <sheetName val="Sheet10"/>
      <sheetName val="Sheet9"/>
      <sheetName val="Frontsheet - Worksheet List"/>
      <sheetName val="Mandate Reconciliation"/>
      <sheetName val="Financial Directions"/>
      <sheetName val="Programme Level Detail"/>
      <sheetName val="Report - National"/>
      <sheetName val="Report - By Area Team"/>
      <sheetName val="Report - By CCG"/>
      <sheetName val="Amendment Form"/>
      <sheetName val="Control Log"/>
      <sheetName val="CCG"/>
      <sheetName val="Local Auth"/>
      <sheetName val="DC 2013 05 22"/>
      <sheetName val="PT Rec summary"/>
      <sheetName val="Codes &amp; Organisations"/>
      <sheetName val="Timtetabl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Navigation"/>
      <sheetName val="Version Control"/>
      <sheetName val="Inputs"/>
      <sheetName val="Sheet3"/>
      <sheetName val="APC OPROC data"/>
      <sheetName val="OPATT data"/>
      <sheetName val="Provider MFF Values"/>
      <sheetName val="Sheet6"/>
      <sheetName val="Community data"/>
      <sheetName val="Sheet1"/>
      <sheetName val="Births"/>
      <sheetName val="NHSE Assumptions"/>
      <sheetName val="NHSE Currency Design"/>
      <sheetName val="Maternity Pathway 15-16 Prices"/>
      <sheetName val="Price Adjustments"/>
      <sheetName val="Analysis"/>
      <sheetName val="Calculations"/>
      <sheetName val="Prices"/>
      <sheetName val="Maternity_Pathway Model"/>
      <sheetName val="Outputs"/>
      <sheetName val="Maternity Pathway Prices"/>
      <sheetName val="Linked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Linked sheet"/>
      <sheetName val="All Trusts"/>
      <sheetName val="Base MFF calcs"/>
      <sheetName val="PCT data"/>
      <sheetName val="Staff data"/>
      <sheetName val="M&amp;D data"/>
      <sheetName val="Buildings data"/>
      <sheetName val="Land data"/>
      <sheetName val="Other corrections needed"/>
      <sheetName val="ODS List - NHS Trusts"/>
      <sheetName val="ODS List - NHS Care Trusts"/>
      <sheetName val="Mergers &gt;&gt;"/>
      <sheetName val="Merged Trusts and MFF year"/>
      <sheetName val="Mergers &amp; new Provs to 2013-14"/>
      <sheetName val="Mergers for 2014-15 &gt;&gt;"/>
      <sheetName val="1.Summary"/>
      <sheetName val="Queen Mary to Oxleas"/>
      <sheetName val="QMS &amp; QE to Lewisham"/>
      <sheetName val="QMS to GSTT"/>
      <sheetName val="QMS to Dartford"/>
      <sheetName val="QMS &amp; PRUH to Kings"/>
      <sheetName val="index values"/>
      <sheetName val="Mergers for 2015-16 &gt;&gt;"/>
      <sheetName val="Royal Free + Barnet|Chase Farm"/>
      <sheetName val="Mid Staff|Royal Wolverhampton"/>
      <sheetName val="Mid Staff|UHNS"/>
      <sheetName val="Frimley + Heatherwood|Wexham"/>
      <sheetName val="London North West Trust"/>
      <sheetName val="RUH Bath + RNHRD"/>
      <sheetName val="RJD ERIC 2008|09"/>
      <sheetName val="Mergers for 2016-17 &gt;&gt;"/>
      <sheetName val="Chelsea Westminster+West Midsx"/>
      <sheetName val="South Devon + Torbay|Sthn Devon"/>
      <sheetName val="2014-15 MFF Paymen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ssion"/>
      <sheetName val="Cover"/>
      <sheetName val="Guidance"/>
      <sheetName val="InYear"/>
      <sheetName val="Risks"/>
      <sheetName val="QIPP"/>
      <sheetName val="QIPP Profile"/>
      <sheetName val="Commentary - PH"/>
      <sheetName val="Commentary - AF"/>
      <sheetName val="Commentary - H&amp;J"/>
      <sheetName val="Commentary - PC &amp; SD"/>
      <sheetName val="1.0%Supplementary"/>
      <sheetName val="1.0%"/>
      <sheetName val="Capital"/>
      <sheetName val="Corporate Running Costs"/>
      <sheetName val="Central programme"/>
      <sheetName val="Plans"/>
      <sheetName val="QIPP_Data"/>
      <sheetName val="1.0%_Data_DCO"/>
      <sheetName val="SQL_RISKS"/>
      <sheetName val="DataSheet_DCO"/>
      <sheetName val="CapitalData"/>
      <sheetName val="FYI"/>
      <sheetName val="Q80_DC_NON_ISFE_M04_(07Aug15 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CoverSheet"/>
      <sheetName val="Version Control"/>
      <sheetName val="Linked Sheet"/>
      <sheetName val="Direct Access_SQL"/>
      <sheetName val="Input_Direct Access"/>
      <sheetName val="APC Output for BPT"/>
      <sheetName val="Price Adjustments"/>
      <sheetName val="16-17 Other National Prices"/>
      <sheetName val="Calculation"/>
      <sheetName val="Manual Adjustments"/>
      <sheetName val="YoY Quantum"/>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sheetData sheetId="10"/>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CoverSheet"/>
      <sheetName val="Version Control"/>
      <sheetName val="Linked Sheet"/>
      <sheetName val="Unbundled Output for BPT"/>
      <sheetName val="Radio_&amp;_Chemo_SQL"/>
      <sheetName val="DI_SQL"/>
      <sheetName val="DI_activity_mapping_SQL"/>
      <sheetName val="AKI_SQL"/>
      <sheetName val="Renal CKD_SQL"/>
      <sheetName val="Input_Rad"/>
      <sheetName val="Input_DI"/>
      <sheetName val="Input_DI_activity_mapping"/>
      <sheetName val="Input_AKI"/>
      <sheetName val="Input_Renal_CKD"/>
      <sheetName val="2014-15 Tariff"/>
      <sheetName val="2015-16 Tariff"/>
      <sheetName val="Price Adjustments"/>
      <sheetName val="Manual adjustment requests"/>
      <sheetName val="Rad_Calc"/>
      <sheetName val="Chem_Calc"/>
      <sheetName val="DI Cost of reporting"/>
      <sheetName val="DI_Calc"/>
      <sheetName val="AKI_Calc"/>
      <sheetName val="Renal_CKD_Calc"/>
      <sheetName val="Manual adjustments"/>
      <sheetName val="YoY Quantu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OfSheets"/>
      <sheetName val="S04_Plan_CCG_Consol_1920_CCG"/>
      <sheetName val="Setup"/>
      <sheetName val="Contents"/>
      <sheetName val="Codes"/>
      <sheetName val="Subcodes"/>
      <sheetName val="CP1"/>
      <sheetName val="CP2"/>
      <sheetName val="FP _Summary_CCG"/>
      <sheetName val="Comm_CCG"/>
      <sheetName val="Risk"/>
      <sheetName val="Contract 1920"/>
      <sheetName val="Contract 1819"/>
      <sheetName val="Cover"/>
      <sheetName val="MH_PoE"/>
      <sheetName val="MH_SpendCat"/>
      <sheetName val="FPD_1920_Allocation"/>
      <sheetName val="FPD_1920_Exp"/>
      <sheetName val="FPD_1920_CSU"/>
      <sheetName val="FPD_1920_Memo"/>
      <sheetName val="QIPP_1920"/>
      <sheetName val="QIPP_1920_HE_Wide"/>
      <sheetName val="QIPP_1920_BCF"/>
      <sheetName val="BCF"/>
      <sheetName val="SoFP"/>
      <sheetName val="Cash"/>
      <sheetName val="Quality Checks"/>
      <sheetName val="RRL"/>
      <sheetName val="MH_Add_Info"/>
      <sheetName val="DC_FP_Summary"/>
      <sheetName val="DC_QIPP"/>
      <sheetName val="DC_Risk"/>
      <sheetName val="DC_RRL"/>
      <sheetName val="LastYearPlans"/>
      <sheetName val="PrivateBoard"/>
      <sheetName val="RegTemplateOld"/>
      <sheetName val="BalanceSheetMemo"/>
      <sheetName val="CSF"/>
      <sheetName val="PlanAllocations"/>
      <sheetName val="Bridge"/>
      <sheetName val="NATBridge"/>
      <sheetName val="ControlTotals"/>
      <sheetName val="Tool--&gt;"/>
      <sheetName val="C_Finance_Context"/>
      <sheetName val="Add_Detail"/>
      <sheetName val="C_Finance_Detail"/>
      <sheetName val="C_Efficiencies"/>
      <sheetName val="C_Triangulation Trends"/>
      <sheetName val="---&gt; New Analysis"/>
      <sheetName val="KLOE"/>
      <sheetName val="RC"/>
      <sheetName val="RegTemplate"/>
      <sheetName val="NationalData"/>
      <sheetName val="EGM summary"/>
      <sheetName val="---&gt; Mth13"/>
      <sheetName val="1819 BI"/>
      <sheetName val="1819 BI CCG"/>
      <sheetName val="QIPP Mth11"/>
      <sheetName val="QIPP Mth13"/>
      <sheetName val="1819 BI DCO"/>
      <sheetName val="Sheet1"/>
      <sheetName val="Tariff"/>
      <sheetName val="London"/>
      <sheetName val="Midlands"/>
      <sheetName val="CYP"/>
      <sheetName val="CSF_1819"/>
      <sheetName val="QIPP_UNI"/>
      <sheetName val="Plan on a Page"/>
      <sheetName val="Rejectors"/>
      <sheetName val="PlanVs_CT"/>
      <sheetName val="ForAllocations"/>
      <sheetName val="Heather"/>
      <sheetName val="STP_Risk"/>
      <sheetName val="DH_30_Worst"/>
      <sheetName val="RIskForTron"/>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Navigation"/>
      <sheetName val="Linked Sheet"/>
      <sheetName val="Radio_&amp;_Chemo_SQL"/>
      <sheetName val="DI_SQL"/>
      <sheetName val="DI_activity_mapping_SQL"/>
      <sheetName val="AKI_SQL"/>
      <sheetName val="Input_Rad"/>
      <sheetName val="Input_DI"/>
      <sheetName val="Input_DI_activity_mapping"/>
      <sheetName val="Input_AKI"/>
      <sheetName val="2014-15 Tariff"/>
      <sheetName val="2015-16 Tariff"/>
      <sheetName val="Price Adjustments"/>
      <sheetName val="Expert&amp;Monitor comments|2016-17"/>
      <sheetName val="Expert&amp;Monitor comments|2015-16"/>
      <sheetName val="DI Cost of reporting"/>
      <sheetName val="Rad_Calc"/>
      <sheetName val="Chem_Calc"/>
      <sheetName val="DI_Calc"/>
      <sheetName val="DI Activity Mapping_Calc"/>
      <sheetName val="AKI_Calc "/>
      <sheetName val="Manual adjustments"/>
      <sheetName val="YoY Quantum"/>
      <sheetName val="Currency Descriptions"/>
      <sheetName val="Unbundled NHSE Design"/>
      <sheetName val="NHSE Payment changes from RC"/>
      <sheetName val="Version Control"/>
      <sheetName val="2015-16 ETO"/>
      <sheetName val="Manual adjustment reque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Navigation"/>
      <sheetName val="Linked Sheet"/>
      <sheetName val="Direct Access_SQL"/>
      <sheetName val="Input_Direct Access"/>
      <sheetName val="Price Adjustments"/>
      <sheetName val="APC Output for BPT"/>
      <sheetName val="APC Manual adj for Prices"/>
      <sheetName val="14-15 Other Mandatory tariff"/>
      <sheetName val="15-16 Other Mand tariff (s118)"/>
      <sheetName val="Calculation"/>
      <sheetName val="Manual Adjustments"/>
      <sheetName val="Version Control"/>
      <sheetName val="YoY Quantum"/>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reshold"/>
      <sheetName val="Cover Sheet"/>
      <sheetName val="Contract 2020"/>
      <sheetName val="Summary"/>
      <sheetName val="Maps"/>
      <sheetName val="CCG"/>
      <sheetName val="STP"/>
      <sheetName val="Trust"/>
      <sheetName val="Type"/>
      <sheetName val="PROCESSED DATA&gt;&gt;"/>
      <sheetName val="PIVOT"/>
      <sheetName val="Graph"/>
      <sheetName val="Sort"/>
      <sheetName val="T-STP"/>
      <sheetName val="T-CCG"/>
      <sheetName val="T-Trust"/>
      <sheetName val="RAW DATA&gt;&gt;"/>
      <sheetName val="Contract 1920"/>
      <sheetName val="Ambulance"/>
      <sheetName val="Blended"/>
      <sheetName val="Old"/>
      <sheetName val="LOOKUPS&gt;&gt;"/>
      <sheetName val="ccg_hosp_2019"/>
      <sheetName val="ccg_hosp_2020"/>
      <sheetName val="map2ccg20"/>
      <sheetName val="STPpartn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ontents"/>
      <sheetName val="Allocations"/>
      <sheetName val="Baselines"/>
      <sheetName val="Sources"/>
      <sheetName val="HCHS"/>
      <sheetName val="HCHS_MH"/>
      <sheetName val="Prescribing"/>
      <sheetName val="Primary"/>
      <sheetName val="Unified"/>
      <sheetName val="Criteria"/>
      <sheetName val="POC"/>
      <sheetName val="PoC_Chart"/>
      <sheetName val="Change in DFTs"/>
      <sheetName val="DFTs_Charts"/>
      <sheetName val="Weights"/>
      <sheetName val="HCHSMFF"/>
      <sheetName val="PMSMFF"/>
      <sheetName val="MFF"/>
      <sheetName val="PPM"/>
      <sheetName val="MH_age_weights"/>
      <sheetName val="Glossary"/>
      <sheetName val="Org_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ists - for SR+KE"/>
      <sheetName val="Submitted ICS Projects"/>
      <sheetName val="Info for Vicky+Sarah"/>
      <sheetName val="14th Oct Review Meeting Notes"/>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Population selection"/>
      <sheetName val="Inputs and eligible population"/>
      <sheetName val="Unit costs"/>
      <sheetName val="Summary"/>
      <sheetName val="Financial impact (cash)"/>
      <sheetName val="Capacity (local prices)"/>
      <sheetName val="Capacity (national prices)"/>
      <sheetName val="payscales"/>
    </sheetNames>
    <sheetDataSet>
      <sheetData sheetId="0" refreshError="1"/>
      <sheetData sheetId="1" refreshError="1"/>
      <sheetData sheetId="2">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21">
          <cell r="B521" t="str">
            <v>Antrim and Newtownabbey</v>
          </cell>
        </row>
        <row r="522">
          <cell r="B522" t="str">
            <v>Ards and North Down</v>
          </cell>
        </row>
        <row r="523">
          <cell r="B523" t="str">
            <v>Armagh City, Banbridge and Craigavon</v>
          </cell>
        </row>
        <row r="524">
          <cell r="B524" t="str">
            <v>Belfast</v>
          </cell>
        </row>
        <row r="525">
          <cell r="B525" t="str">
            <v>Causeway Coast and Glens</v>
          </cell>
        </row>
        <row r="526">
          <cell r="B526" t="str">
            <v>Derry City and Strabane</v>
          </cell>
        </row>
        <row r="527">
          <cell r="B527" t="str">
            <v>Fermanagh and Omagh</v>
          </cell>
        </row>
        <row r="528">
          <cell r="B528" t="str">
            <v>Lisburn and Castlereagh</v>
          </cell>
        </row>
        <row r="529">
          <cell r="B529" t="str">
            <v>Mid and East Antrim</v>
          </cell>
        </row>
        <row r="530">
          <cell r="B530" t="str">
            <v>Mid Ulster</v>
          </cell>
        </row>
        <row r="531">
          <cell r="B531" t="str">
            <v>Newry, Mourne and Down</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Version Control"/>
      <sheetName val="Guidance"/>
      <sheetName val="Linked sheet"/>
      <sheetName val="All Trusts"/>
      <sheetName val="Base MFF calcs"/>
      <sheetName val="PCT data"/>
      <sheetName val="Staff data"/>
      <sheetName val="M&amp;D data"/>
      <sheetName val="Buildings data"/>
      <sheetName val="Land data"/>
      <sheetName val="Other corrections needed"/>
      <sheetName val="Mergers &gt;&gt;"/>
      <sheetName val="Merged Trusts and MFF year"/>
      <sheetName val="Mergers &amp; new Provs to 2013-14"/>
      <sheetName val="Mergers for 2014-15 &gt;&gt;"/>
      <sheetName val="1.Summary"/>
      <sheetName val="Queen Mary to Oxleas"/>
      <sheetName val="QMS &amp; QE to Lewisham"/>
      <sheetName val="QMS to GSTT"/>
      <sheetName val="QMS to Dartford"/>
      <sheetName val="QMS &amp; PRUH to Kings"/>
      <sheetName val="Index values"/>
      <sheetName val="Mergers for 2015-16 &gt;&gt;"/>
      <sheetName val="Royal Free + Barnet|Chase Farm"/>
      <sheetName val="Mid Staff|Royal Wolverhampton"/>
      <sheetName val="Mid Staff|UHNS"/>
      <sheetName val="Frimley + Heatherwood|Wexham"/>
      <sheetName val="London North West Trust"/>
      <sheetName val="RUH Bath + RNHRD"/>
      <sheetName val="RJD ERIC 2008|09"/>
      <sheetName val="Mergers for 2016-17 &gt;&gt;"/>
      <sheetName val="Chelsea Westminster+West Midsx"/>
      <sheetName val="South Devon + Torbay|Sthn Devon"/>
      <sheetName val="Mergers for 2017-18 &gt;&gt;"/>
      <sheetName val="Sherwood Forest + NUH"/>
      <sheetName val="Peterborough + Hinchingbrooke"/>
      <sheetName val="Calderstones + Mersey Care"/>
      <sheetName val="Bham Women's + Children's"/>
      <sheetName val="Manchester GMWMH + MMH"/>
      <sheetName val="2014-15 MFF Payment values"/>
      <sheetName val="2016-17 MFF Payment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G In-Year"/>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Sheet1"/>
    </sheetNames>
    <sheetDataSet>
      <sheetData sheetId="0"/>
      <sheetData sheetId="1"/>
      <sheetData sheetId="2"/>
      <sheetData sheetId="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uidance"/>
      <sheetName val="13_14 costs - U"/>
      <sheetName val="13_14 costs - A"/>
      <sheetName val="14_15 costs - A"/>
      <sheetName val="15_16 costs - U"/>
      <sheetName val="13_14 dataset act"/>
      <sheetName val="15_16 dataset act"/>
      <sheetName val="Sheet1"/>
      <sheetName val="Med"/>
      <sheetName val="Median"/>
      <sheetName val="P3 Analysis"/>
      <sheetName val="Activities"/>
      <sheetName val="F-test, t-test"/>
      <sheetName val="Validation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otal HRG's"/>
      <sheetName val="Total Outpatient Attendances"/>
      <sheetName val="Total Other Currencies"/>
      <sheetName val="EL"/>
      <sheetName val="EL_XS"/>
      <sheetName val="NEL"/>
      <sheetName val="NEL_XS"/>
      <sheetName val="NES"/>
      <sheetName val="DC"/>
      <sheetName val="RP"/>
      <sheetName val="CL"/>
      <sheetName val="NCL"/>
      <sheetName val="OPROC"/>
      <sheetName val="CMDT"/>
      <sheetName val="AE"/>
      <sheetName val="CHEM"/>
      <sheetName val="CC"/>
      <sheetName val="IMAG"/>
      <sheetName val="NM"/>
      <sheetName val="HCD"/>
      <sheetName val="RAD"/>
      <sheetName val="REHAB"/>
      <sheetName val="SPAL"/>
      <sheetName val="RENAL"/>
      <sheetName val="DADS"/>
      <sheetName val="DAPS"/>
      <sheetName val="MHCC"/>
      <sheetName val="MHCCIA"/>
      <sheetName val="IAPTMHCC"/>
      <sheetName val="IAPTMHCCIA"/>
      <sheetName val="SECMHCC"/>
      <sheetName val="SECMHCCIA"/>
      <sheetName val="MH"/>
      <sheetName val="CHS"/>
      <sheetName val="AMB"/>
      <sheetName val="CF_SPEC"/>
      <sheetName val="CF_N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_growth rates"/>
      <sheetName val="Table 2_Total NHS"/>
      <sheetName val="Table 3_revenue"/>
      <sheetName val="Table 4_capital"/>
      <sheetName val="Table 5_GDP"/>
      <sheetName val="Raw Data"/>
      <sheetName val="GMonk270411"/>
      <sheetName val="GDP Workings"/>
      <sheetName val="England Total NHS"/>
      <sheetName val="SGEE_091012"/>
      <sheetName val="PW REC_071112"/>
      <sheetName val="GDP Deflators Autumn Statement "/>
      <sheetName val="GDP from JS 0512"/>
      <sheetName val="GDP from HMT 211212"/>
      <sheetName val="Table 2_PriorPeriodAdjustme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Journal Summary"/>
      <sheetName val="Cascade Schedule"/>
      <sheetName val="DHF Cascade Coding"/>
      <sheetName val="CODE"/>
      <sheetName val="Journal 1"/>
      <sheetName val="Net WP"/>
      <sheetName val="#REF"/>
      <sheetName val="Front"/>
      <sheetName val="Bubble Data"/>
      <sheetName val="Bubble Chart"/>
      <sheetName val="NAO Cost of Capital Calc"/>
      <sheetName val="List"/>
      <sheetName val="Event 12 with ERO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PCTs"/>
      <sheetName val="2003LISI"/>
      <sheetName val="Table 5.3 &amp; 5.4"/>
      <sheetName val="Table 5.8"/>
      <sheetName val="Introduction"/>
      <sheetName val="#REF"/>
      <sheetName val="HES 2012-13"/>
      <sheetName val="A&amp;E"/>
      <sheetName val="RTT admitted"/>
      <sheetName val="RTT - non-admitted"/>
      <sheetName val="RTT - incomplete"/>
      <sheetName val="bed occupancy"/>
      <sheetName val="cancer - 2 week"/>
      <sheetName val="cancer - 62 day"/>
      <sheetName val="DTOC"/>
      <sheetName val="readmissions"/>
      <sheetName val="MRSA2"/>
      <sheetName val="C-Diff2"/>
      <sheetName val="FFT- IP"/>
      <sheetName val="safety thermometer"/>
      <sheetName val="lists"/>
      <sheetName val="workforce"/>
      <sheetName val="staff sickness"/>
      <sheetName val="Org List"/>
      <sheetName val="TDA"/>
      <sheetName val="Monitor"/>
      <sheetName val="Thresholds"/>
      <sheetName val="SHMI"/>
      <sheetName val="HSMR 2001 - 2012"/>
      <sheetName val="CQC banding"/>
      <sheetName val="RCI"/>
      <sheetName val="PFI Information"/>
      <sheetName val="urban-rural"/>
      <sheetName val="A&amp;E winter money"/>
      <sheetName val="provider DfT"/>
      <sheetName val="Table_5_3_&amp;_5_4"/>
      <sheetName val="Table_5_8"/>
      <sheetName val="Change_Log"/>
      <sheetName val="Picklist_Ranges"/>
      <sheetName val="Headcount"/>
      <sheetName val="HC_Reporting_Categories"/>
      <sheetName val="Report"/>
      <sheetName val="Drop Down Options"/>
      <sheetName val="Justification list"/>
      <sheetName val="Instructions"/>
      <sheetName val="Lookups"/>
      <sheetName val="ATCCList"/>
      <sheetName val="CCG&amp;CSU CCList"/>
      <sheetName val="Key"/>
      <sheetName val="LIST"/>
      <sheetName val="Summary"/>
      <sheetName val="APPENDIX N(ii)"/>
      <sheetName val="Theme mapping"/>
      <sheetName val="Sheet1"/>
      <sheetName val="themes"/>
      <sheetName val="PIVOT"/>
      <sheetName val="Month 2 data"/>
      <sheetName val="Month 3 Data"/>
      <sheetName val="Sheet4"/>
      <sheetName val="Sheet2"/>
      <sheetName val="DATA"/>
      <sheetName val="Reference"/>
      <sheetName val="Fin Perf Ranking"/>
      <sheetName val="lookup"/>
      <sheetName val="Detail for AoB tk completion"/>
      <sheetName val="Overview"/>
      <sheetName val="PICKLIST"/>
      <sheetName val="Subjectives"/>
      <sheetName val="Reason For Adj"/>
      <sheetName val="Sheet3"/>
      <sheetName val="99_Data"/>
      <sheetName val="Commentary"/>
      <sheetName val="STP List"/>
      <sheetName val="Drop Downs"/>
      <sheetName val="Summary_SLCCG"/>
      <sheetName val="Summary "/>
      <sheetName val="Summary_Template"/>
      <sheetName val="PIDs"/>
      <sheetName val="Supplier Lookup"/>
      <sheetName val="Look ups"/>
      <sheetName val="Table_5_3_&amp;_5_41"/>
      <sheetName val="listoptions"/>
      <sheetName val="list options"/>
      <sheetName val="Lookup Values"/>
      <sheetName val="Data Lists"/>
      <sheetName val="Verification lists"/>
      <sheetName val="Table_5_81"/>
      <sheetName val="HES_2012-13"/>
      <sheetName val="RTT_admitted"/>
      <sheetName val="RTT_-_non-admitted"/>
      <sheetName val="RTT_-_incomplete"/>
      <sheetName val="bed_occupancy"/>
      <sheetName val="cancer_-_2_week"/>
      <sheetName val="cancer_-_62_day"/>
      <sheetName val="FFT-_IP"/>
      <sheetName val="safety_thermometer"/>
      <sheetName val="staff_sickness"/>
      <sheetName val="Org_List"/>
      <sheetName val="HSMR_2001_-_2012"/>
      <sheetName val="CQC_banding"/>
      <sheetName val="PFI_Information"/>
      <sheetName val="A&amp;E_winter_money"/>
      <sheetName val="provider_DfT"/>
      <sheetName val="Justification_list"/>
      <sheetName val="Drop_Down_Options"/>
      <sheetName val="CCG&amp;CSU_CCList"/>
      <sheetName val="DROP DOWN MASTER LIST"/>
      <sheetName val="Mapping"/>
      <sheetName val="For dropdown"/>
      <sheetName val="Month End Tag Dropdown Data"/>
      <sheetName val="Performance_Dashboard"/>
      <sheetName val="Validation"/>
      <sheetName val="FastDa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Dnurse"/>
      <sheetName val="ComPsy"/>
      <sheetName val="£50m pro rata to PCT 2002_03 al"/>
      <sheetName val="NAO Cost of Capital Calc"/>
      <sheetName val="Input Table (TB)"/>
      <sheetName val="Front"/>
      <sheetName val="By CC"/>
      <sheetName val="2002PCTs"/>
      <sheetName val="2. Overall Dispo"/>
      <sheetName val="4. Cascade Coding"/>
      <sheetName val="Source figures"/>
      <sheetName val="Report"/>
      <sheetName val="Bubble Data"/>
      <sheetName val="Bubble Chart"/>
      <sheetName val="Cover Sheet"/>
      <sheetName val="Business with DH &amp; Group Bodies"/>
      <sheetName val="PCAccess"/>
      <sheetName val="List"/>
      <sheetName val="Budgeting Codes"/>
      <sheetName val="RGCCList"/>
      <sheetName val="CCG&amp;CSU CCList"/>
      <sheetName val="Reason For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S2010_Map"/>
      <sheetName val="LAD_Totals"/>
      <sheetName val="PCT_Totals"/>
      <sheetName val="LAs to PCTs"/>
      <sheetName val="PCTs to LAs"/>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ssion"/>
      <sheetName val="Cover"/>
      <sheetName val="Guidance"/>
      <sheetName val="InYear"/>
      <sheetName val="Risks"/>
      <sheetName val="QIPP"/>
      <sheetName val="QIPP Profile"/>
      <sheetName val="Commentary - PH"/>
      <sheetName val="Commentary - AF"/>
      <sheetName val="Commentary - H&amp;J"/>
      <sheetName val="Commentary - PC &amp; SD"/>
      <sheetName val="1.0%Supplementary"/>
      <sheetName val="1.0%"/>
      <sheetName val="Capital"/>
      <sheetName val="MH"/>
      <sheetName val="Corporate Running Costs"/>
      <sheetName val="Central programme"/>
      <sheetName val="Plans"/>
      <sheetName val="QIPP_Data"/>
      <sheetName val="1.0%_Data_DCO"/>
      <sheetName val="SQL_RISKS"/>
      <sheetName val="DataSheet_DCO"/>
      <sheetName val="CapitalData"/>
      <sheetName val="FYI"/>
      <sheetName val="CoComm"/>
      <sheetName val="Q80_DC_NON_ISFE_M06_(07Oct15 07"/>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G1819"/>
      <sheetName val="ReportingYears"/>
      <sheetName val="BaseWeightedPopulations 1819"/>
      <sheetName val="Population estimates 1819"/>
      <sheetName val="Version"/>
      <sheetName val="Names"/>
      <sheetName val="Quanta 1819"/>
      <sheetName val="working J 1819"/>
      <sheetName val="working J 1920"/>
      <sheetName val="working J 2021"/>
      <sheetName val="working J 2122"/>
      <sheetName val="working J 2223"/>
      <sheetName val="working J 2324"/>
      <sheetName val="working K1 1819"/>
      <sheetName val="working K1 1920"/>
      <sheetName val="working K1 2021"/>
      <sheetName val="working K1 2122"/>
      <sheetName val="working K1 2223"/>
      <sheetName val="working K1 2324"/>
      <sheetName val="working K1 1819 old"/>
      <sheetName val="working L 1819"/>
      <sheetName val="working L 1920"/>
      <sheetName val="working L 2021"/>
      <sheetName val="working L 2122"/>
      <sheetName val="working L 2223"/>
      <sheetName val="working L 2324"/>
      <sheetName val="working L (1718) baseline old "/>
      <sheetName val="CCG Core Pub Feb 2018"/>
      <sheetName val="Finance Baseline"/>
      <sheetName val="ambulance funding adjs"/>
      <sheetName val="Dispensing Doctors"/>
      <sheetName val="Transfers"/>
      <sheetName val="Baselines 1819"/>
      <sheetName val="CCG Wgt Pop 1819"/>
      <sheetName val="PC Med Wgt Pop 1819"/>
      <sheetName val="PC Other Wgt Pop 1819"/>
      <sheetName val="SS Wgt Pop 1819"/>
      <sheetName val="AGG Wgt Pop 1819"/>
      <sheetName val="AGG2 Wgt Pop 1819"/>
      <sheetName val="CCG POC Parameters 2018"/>
      <sheetName val="PCM POC Parameters 2018"/>
      <sheetName val="PCOther POC Parameters 2018"/>
      <sheetName val="SS POC Parameters 2018"/>
      <sheetName val="Agg POC Parameters 2018"/>
      <sheetName val="Template Min Alloc"/>
      <sheetName val="Template Agg Alloc"/>
      <sheetName val="Template Dis Alloc"/>
      <sheetName val="Template Results"/>
      <sheetName val="BUTTONS"/>
      <sheetName val="new charts"/>
      <sheetName val="Table5"/>
      <sheetName val="OutputOrder"/>
      <sheetName val="CCG pub Jan 2016"/>
      <sheetName val="Total Output"/>
      <sheetName val="SS Output"/>
      <sheetName val="PCM Output"/>
      <sheetName val="CCG core Output"/>
      <sheetName val="new output"/>
      <sheetName val="output"/>
      <sheetName val="CCG 2019-20"/>
      <sheetName val="PCM 2019-20"/>
      <sheetName val="SS 2019-20"/>
      <sheetName val="AGG 2019-20"/>
      <sheetName val="DISAGG 2019-20"/>
      <sheetName val="CCG 2020-21"/>
      <sheetName val="PCM 2020-21"/>
      <sheetName val="SS 2020-21"/>
      <sheetName val="AGG 2020-21"/>
      <sheetName val="DISAGG 2020-21"/>
      <sheetName val="CCG 2021-22"/>
      <sheetName val="PCM 2021-22"/>
      <sheetName val="SS 2021-22"/>
      <sheetName val="AGG 2021-22"/>
      <sheetName val="DISAGG 2021-22"/>
      <sheetName val="CCG 2022-23"/>
      <sheetName val="PCM 2022-23"/>
      <sheetName val="SS 2022-23"/>
      <sheetName val="AGG 2022-23"/>
      <sheetName val="DISAGG 2022-23"/>
      <sheetName val="CCG 2023-24"/>
      <sheetName val="PCM 2023-24"/>
      <sheetName val="SS 2023-24"/>
      <sheetName val="AGG 2023-24"/>
      <sheetName val="DISAGG 2023-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vmlDrawing" Target="../drawings/vmlDrawing2.vm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pubmed.ncbi.nlm.nih.gov/23245607/" TargetMode="External"/><Relationship Id="rId4" Type="http://schemas.openxmlformats.org/officeDocument/2006/relationships/hyperlink" Target="https://www.oarsijournal.com/article/S1063-4584(20)30918-3/fulltex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ngland.nhs.uk/publication/2022-23-national-cost-collection-data-publication/" TargetMode="External"/><Relationship Id="rId1" Type="http://schemas.openxmlformats.org/officeDocument/2006/relationships/hyperlink" Target="https://my.supplychain.nhs.uk/catalogue/search?LastCartId=&amp;LastFavouriteId=&amp;Query=AposHealth&amp;HideInactiveProducts=fals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3"/>
  <sheetViews>
    <sheetView showGridLines="0" tabSelected="1" zoomScale="80" zoomScaleNormal="80" zoomScaleSheetLayoutView="80" workbookViewId="0">
      <selection activeCell="U10" sqref="U10"/>
    </sheetView>
  </sheetViews>
  <sheetFormatPr defaultRowHeight="14.4" x14ac:dyDescent="0.3"/>
  <cols>
    <col min="1" max="1" width="1.44140625" customWidth="1"/>
    <col min="2" max="2" width="1.77734375" customWidth="1"/>
    <col min="14" max="14" width="8.5546875" customWidth="1"/>
    <col min="15" max="15" width="1.5546875" customWidth="1"/>
    <col min="16" max="16" width="1.44140625" customWidth="1"/>
    <col min="21" max="21" width="31" customWidth="1"/>
  </cols>
  <sheetData>
    <row r="2" spans="2:15" x14ac:dyDescent="0.3">
      <c r="B2" s="162"/>
      <c r="C2" s="238"/>
      <c r="D2" s="238"/>
      <c r="E2" s="238"/>
      <c r="F2" s="238"/>
      <c r="G2" s="238"/>
      <c r="H2" s="238"/>
      <c r="I2" s="238"/>
      <c r="J2" s="238"/>
      <c r="K2" s="238"/>
      <c r="L2" s="238"/>
      <c r="M2" s="238"/>
      <c r="N2" s="238"/>
      <c r="O2" s="151"/>
    </row>
    <row r="3" spans="2:15" x14ac:dyDescent="0.3">
      <c r="B3" s="154"/>
      <c r="C3" s="163"/>
      <c r="D3" s="163"/>
      <c r="E3" s="163"/>
      <c r="F3" s="163"/>
      <c r="G3" s="163"/>
      <c r="H3" s="163"/>
      <c r="I3" s="163"/>
      <c r="J3" s="163"/>
      <c r="K3" s="163"/>
      <c r="L3" s="163"/>
      <c r="M3" s="163"/>
      <c r="N3" s="163"/>
      <c r="O3" s="153"/>
    </row>
    <row r="4" spans="2:15" ht="31.2" x14ac:dyDescent="0.6">
      <c r="B4" s="154"/>
      <c r="C4" s="164" t="s">
        <v>0</v>
      </c>
      <c r="D4" s="163"/>
      <c r="E4" s="163"/>
      <c r="F4" s="163"/>
      <c r="G4" s="163"/>
      <c r="H4" s="163"/>
      <c r="I4" s="163"/>
      <c r="J4" s="163"/>
      <c r="K4" s="163"/>
      <c r="L4" s="163"/>
      <c r="M4" s="163"/>
      <c r="N4" s="163"/>
      <c r="O4" s="153"/>
    </row>
    <row r="5" spans="2:15" x14ac:dyDescent="0.3">
      <c r="B5" s="154"/>
      <c r="C5" s="163"/>
      <c r="D5" s="163"/>
      <c r="E5" s="163"/>
      <c r="F5" s="163"/>
      <c r="G5" s="163"/>
      <c r="H5" s="163"/>
      <c r="I5" s="163"/>
      <c r="J5" s="163"/>
      <c r="K5" s="163"/>
      <c r="L5" s="163"/>
      <c r="M5" s="163"/>
      <c r="N5" s="163"/>
      <c r="O5" s="153"/>
    </row>
    <row r="6" spans="2:15" x14ac:dyDescent="0.3">
      <c r="B6" s="154"/>
      <c r="O6" s="153"/>
    </row>
    <row r="7" spans="2:15" ht="31.2" x14ac:dyDescent="0.6">
      <c r="B7" s="154"/>
      <c r="C7" s="166" t="s">
        <v>1</v>
      </c>
      <c r="O7" s="153"/>
    </row>
    <row r="8" spans="2:15" ht="31.2" x14ac:dyDescent="0.3">
      <c r="B8" s="154"/>
      <c r="C8" s="245"/>
      <c r="O8" s="153"/>
    </row>
    <row r="9" spans="2:15" ht="31.2" x14ac:dyDescent="0.3">
      <c r="B9" s="154"/>
      <c r="C9" s="245" t="s">
        <v>2</v>
      </c>
      <c r="O9" s="153"/>
    </row>
    <row r="10" spans="2:15" ht="31.2" x14ac:dyDescent="0.3">
      <c r="B10" s="154"/>
      <c r="C10" s="245"/>
      <c r="O10" s="153"/>
    </row>
    <row r="11" spans="2:15" ht="25.8" x14ac:dyDescent="0.5">
      <c r="B11" s="154"/>
      <c r="C11" s="406" t="s">
        <v>3</v>
      </c>
      <c r="D11" s="407"/>
      <c r="E11" s="407"/>
      <c r="F11" s="407"/>
      <c r="G11" s="407"/>
      <c r="H11" s="407"/>
      <c r="I11" s="407"/>
      <c r="J11" s="407"/>
      <c r="K11" s="407"/>
      <c r="L11" s="407"/>
      <c r="M11" s="407"/>
      <c r="N11" s="407"/>
      <c r="O11" s="408"/>
    </row>
    <row r="12" spans="2:15" ht="31.2" x14ac:dyDescent="0.6">
      <c r="B12" s="154"/>
      <c r="D12" s="167"/>
      <c r="O12" s="153"/>
    </row>
    <row r="13" spans="2:15" ht="31.2" x14ac:dyDescent="0.6">
      <c r="B13" s="154"/>
      <c r="C13" s="165" t="s">
        <v>4</v>
      </c>
      <c r="D13" s="167"/>
      <c r="O13" s="153"/>
    </row>
    <row r="14" spans="2:15" ht="31.2" x14ac:dyDescent="0.6">
      <c r="B14" s="154"/>
      <c r="C14" s="165" t="s">
        <v>1159</v>
      </c>
      <c r="D14" s="167"/>
      <c r="O14" s="153"/>
    </row>
    <row r="15" spans="2:15" ht="31.2" x14ac:dyDescent="0.6">
      <c r="B15" s="154"/>
      <c r="D15" s="167"/>
      <c r="O15" s="153"/>
    </row>
    <row r="16" spans="2:15" x14ac:dyDescent="0.3">
      <c r="B16" s="154"/>
      <c r="C16" s="148" t="s">
        <v>5</v>
      </c>
      <c r="D16" s="181"/>
      <c r="E16" s="160"/>
      <c r="F16" s="199" t="s">
        <v>6</v>
      </c>
      <c r="G16" s="181"/>
      <c r="H16" s="181"/>
      <c r="I16" s="181"/>
      <c r="J16" s="181"/>
      <c r="K16" s="181"/>
      <c r="L16" s="181"/>
      <c r="M16" s="160"/>
      <c r="O16" s="153"/>
    </row>
    <row r="17" spans="2:15" x14ac:dyDescent="0.3">
      <c r="B17" s="154"/>
      <c r="C17" s="148" t="s">
        <v>7</v>
      </c>
      <c r="D17" s="181"/>
      <c r="E17" s="160"/>
      <c r="F17" s="199" t="s">
        <v>8</v>
      </c>
      <c r="G17" s="181"/>
      <c r="H17" s="181"/>
      <c r="I17" s="181"/>
      <c r="J17" s="181"/>
      <c r="K17" s="181"/>
      <c r="L17" s="181"/>
      <c r="M17" s="160"/>
      <c r="O17" s="153"/>
    </row>
    <row r="18" spans="2:15" x14ac:dyDescent="0.3">
      <c r="B18" s="154"/>
      <c r="C18" s="148" t="s">
        <v>9</v>
      </c>
      <c r="D18" s="181"/>
      <c r="E18" s="160"/>
      <c r="F18" s="199"/>
      <c r="G18" s="181"/>
      <c r="H18" s="181"/>
      <c r="I18" s="181"/>
      <c r="J18" s="181"/>
      <c r="K18" s="181"/>
      <c r="L18" s="181"/>
      <c r="M18" s="160"/>
      <c r="O18" s="153"/>
    </row>
    <row r="19" spans="2:15" x14ac:dyDescent="0.3">
      <c r="B19" s="154"/>
      <c r="C19" s="199" t="s">
        <v>10</v>
      </c>
      <c r="D19" s="181"/>
      <c r="E19" s="160"/>
      <c r="F19" s="199" t="s">
        <v>11</v>
      </c>
      <c r="G19" s="181"/>
      <c r="H19" s="181"/>
      <c r="I19" s="181"/>
      <c r="J19" s="181"/>
      <c r="K19" s="181"/>
      <c r="L19" s="181"/>
      <c r="M19" s="160"/>
      <c r="O19" s="153"/>
    </row>
    <row r="20" spans="2:15" x14ac:dyDescent="0.3">
      <c r="B20" s="154"/>
      <c r="C20" s="148" t="s">
        <v>12</v>
      </c>
      <c r="D20" s="181"/>
      <c r="E20" s="160"/>
      <c r="F20" s="199" t="s">
        <v>13</v>
      </c>
      <c r="G20" s="181"/>
      <c r="H20" s="181"/>
      <c r="I20" s="181"/>
      <c r="J20" s="181"/>
      <c r="K20" s="181"/>
      <c r="L20" s="181"/>
      <c r="M20" s="160"/>
      <c r="O20" s="153"/>
    </row>
    <row r="21" spans="2:15" x14ac:dyDescent="0.3">
      <c r="B21" s="154"/>
      <c r="C21" s="148" t="s">
        <v>14</v>
      </c>
      <c r="D21" s="181"/>
      <c r="E21" s="160"/>
      <c r="F21" s="199" t="s">
        <v>1100</v>
      </c>
      <c r="G21" s="181"/>
      <c r="H21" s="181"/>
      <c r="I21" s="181"/>
      <c r="J21" s="181"/>
      <c r="K21" s="181"/>
      <c r="L21" s="181"/>
      <c r="M21" s="160"/>
      <c r="O21" s="153"/>
    </row>
    <row r="22" spans="2:15" x14ac:dyDescent="0.3">
      <c r="B22" s="154"/>
      <c r="C22" s="148" t="s">
        <v>15</v>
      </c>
      <c r="D22" s="181"/>
      <c r="E22" s="160"/>
      <c r="F22" s="199" t="s">
        <v>1099</v>
      </c>
      <c r="G22" s="181"/>
      <c r="H22" s="181"/>
      <c r="I22" s="181"/>
      <c r="J22" s="181"/>
      <c r="K22" s="181"/>
      <c r="L22" s="181"/>
      <c r="M22" s="160"/>
      <c r="O22" s="153"/>
    </row>
    <row r="23" spans="2:15" x14ac:dyDescent="0.3">
      <c r="B23" s="155"/>
      <c r="C23" s="156"/>
      <c r="D23" s="156"/>
      <c r="E23" s="156"/>
      <c r="F23" s="156"/>
      <c r="G23" s="156"/>
      <c r="H23" s="156"/>
      <c r="I23" s="156"/>
      <c r="J23" s="156"/>
      <c r="K23" s="156"/>
      <c r="L23" s="156"/>
      <c r="M23" s="156"/>
      <c r="N23" s="156"/>
      <c r="O23" s="157"/>
    </row>
  </sheetData>
  <sheetProtection algorithmName="SHA-512" hashValue="ge91JAa0aU19Y0AxE4/tuxbLadTcZEi5ZDLxbEKkMjDZbwC+WdnhGF4200FWKJ3FG5dqYhX/A8rCYi/SmTGZ5w==" saltValue="Yx9P4+AAJXvrPm2fps1z+Q=="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359AD-D623-4DE2-A283-BF0EDAAFEFE3}">
  <sheetPr>
    <tabColor theme="1"/>
  </sheetPr>
  <dimension ref="A1:X102"/>
  <sheetViews>
    <sheetView showGridLines="0" zoomScale="80" zoomScaleNormal="80" workbookViewId="0"/>
  </sheetViews>
  <sheetFormatPr defaultColWidth="8.5546875" defaultRowHeight="14.4" x14ac:dyDescent="0.3"/>
  <cols>
    <col min="1" max="1" width="13.5546875" customWidth="1"/>
    <col min="2" max="2" width="32.5546875" customWidth="1"/>
    <col min="3" max="4" width="12.77734375" customWidth="1"/>
    <col min="5" max="6" width="11.77734375" customWidth="1"/>
    <col min="7" max="7" width="10.44140625" style="297" customWidth="1"/>
    <col min="8" max="8" width="11.77734375" customWidth="1"/>
    <col min="9" max="9" width="12.5546875" customWidth="1"/>
    <col min="10" max="10" width="10.21875" customWidth="1"/>
    <col min="11" max="13" width="9" customWidth="1"/>
    <col min="14" max="14" width="8.44140625" customWidth="1"/>
    <col min="15" max="15" width="15.44140625" hidden="1" customWidth="1"/>
    <col min="16" max="16" width="13.44140625" hidden="1" customWidth="1"/>
    <col min="17" max="17" width="14.44140625" hidden="1" customWidth="1"/>
    <col min="18" max="18" width="10.44140625" hidden="1" customWidth="1"/>
    <col min="19" max="21" width="8.5546875" hidden="1" customWidth="1"/>
    <col min="22" max="22" width="47.21875" bestFit="1" customWidth="1"/>
    <col min="23" max="23" width="10" customWidth="1"/>
  </cols>
  <sheetData>
    <row r="1" spans="1:24" ht="21" customHeight="1" x14ac:dyDescent="0.3">
      <c r="A1" s="910" t="s">
        <v>1101</v>
      </c>
      <c r="B1" s="910"/>
      <c r="C1" s="910"/>
      <c r="D1" s="910"/>
      <c r="E1" s="910"/>
      <c r="F1" s="910"/>
      <c r="G1" s="910"/>
      <c r="H1" s="910"/>
      <c r="I1" s="910"/>
      <c r="J1" s="910"/>
      <c r="K1" s="910"/>
      <c r="L1" s="910"/>
      <c r="M1" s="910"/>
    </row>
    <row r="2" spans="1:24" ht="14.55" customHeight="1" thickBot="1" x14ac:dyDescent="0.35">
      <c r="A2" s="129"/>
      <c r="B2" s="129"/>
      <c r="C2" s="129"/>
      <c r="D2" s="129"/>
      <c r="E2" s="129"/>
      <c r="F2" s="129"/>
      <c r="G2" s="129"/>
      <c r="H2" s="129"/>
      <c r="I2" s="129"/>
      <c r="J2" s="129"/>
      <c r="K2" s="129"/>
      <c r="L2" s="129"/>
      <c r="M2" s="129"/>
    </row>
    <row r="3" spans="1:24" ht="14.55" customHeight="1" x14ac:dyDescent="0.3">
      <c r="A3" s="129"/>
      <c r="B3" s="911" t="s">
        <v>47</v>
      </c>
      <c r="C3" s="912"/>
      <c r="D3" s="129"/>
      <c r="E3" s="129"/>
      <c r="F3" s="129"/>
      <c r="G3" s="129"/>
      <c r="H3" s="129"/>
      <c r="I3" s="129"/>
      <c r="J3" s="129"/>
      <c r="K3" s="129"/>
      <c r="L3" s="129"/>
      <c r="M3" s="129"/>
    </row>
    <row r="4" spans="1:24" ht="14.55" customHeight="1" x14ac:dyDescent="0.3">
      <c r="A4" s="129"/>
      <c r="B4" s="913" t="s">
        <v>1102</v>
      </c>
      <c r="C4" s="914" t="s">
        <v>1103</v>
      </c>
      <c r="D4" s="915" t="s">
        <v>1104</v>
      </c>
      <c r="E4" s="129"/>
      <c r="F4" s="129"/>
      <c r="G4" s="129"/>
      <c r="H4" s="129"/>
      <c r="I4" s="129"/>
      <c r="J4" s="129"/>
      <c r="K4" s="129"/>
      <c r="L4" s="129"/>
      <c r="M4" s="129"/>
    </row>
    <row r="5" spans="1:24" ht="14.55" customHeight="1" x14ac:dyDescent="0.3">
      <c r="A5" s="129"/>
      <c r="B5" s="913" t="s">
        <v>1105</v>
      </c>
      <c r="C5" s="916">
        <v>9100</v>
      </c>
      <c r="D5" s="129"/>
      <c r="E5" s="129"/>
      <c r="F5" s="129"/>
      <c r="G5" s="129"/>
      <c r="H5" s="129"/>
      <c r="I5" s="129"/>
      <c r="J5" s="129"/>
      <c r="K5" s="129"/>
      <c r="L5" s="129"/>
      <c r="M5" s="129"/>
    </row>
    <row r="6" spans="1:24" ht="14.55" customHeight="1" x14ac:dyDescent="0.3">
      <c r="A6" s="129"/>
      <c r="B6" s="913" t="s">
        <v>1106</v>
      </c>
      <c r="C6" s="917">
        <v>0.13800000000000001</v>
      </c>
      <c r="D6" s="129"/>
      <c r="E6" s="129"/>
      <c r="F6" s="129"/>
      <c r="G6" s="129"/>
      <c r="H6" s="129"/>
      <c r="I6" s="129"/>
      <c r="J6" s="129"/>
      <c r="K6" s="129"/>
      <c r="L6" s="129"/>
      <c r="M6" s="129"/>
    </row>
    <row r="7" spans="1:24" ht="14.55" customHeight="1" x14ac:dyDescent="0.3">
      <c r="A7" s="129"/>
      <c r="B7" s="913" t="s">
        <v>1107</v>
      </c>
      <c r="C7" s="917">
        <v>0.23780000000000001</v>
      </c>
      <c r="D7" s="129"/>
      <c r="E7" s="129"/>
      <c r="F7" s="129"/>
      <c r="G7" s="129"/>
      <c r="H7" s="129"/>
      <c r="I7" s="129"/>
      <c r="J7" s="129"/>
      <c r="K7" s="129"/>
      <c r="L7" s="129"/>
      <c r="M7" s="129"/>
    </row>
    <row r="8" spans="1:24" ht="14.55" customHeight="1" x14ac:dyDescent="0.3">
      <c r="A8" s="129"/>
      <c r="B8" s="913" t="s">
        <v>1108</v>
      </c>
      <c r="C8" s="917">
        <v>5.0000000000000001E-3</v>
      </c>
      <c r="D8" s="129"/>
      <c r="E8" s="129"/>
      <c r="F8" s="129"/>
      <c r="G8" s="129"/>
      <c r="H8" s="129"/>
      <c r="I8" s="129"/>
      <c r="J8" s="129"/>
      <c r="K8" s="129"/>
      <c r="L8" s="129"/>
      <c r="M8" s="129"/>
    </row>
    <row r="9" spans="1:24" ht="14.55" customHeight="1" thickBot="1" x14ac:dyDescent="0.35">
      <c r="A9" s="129"/>
      <c r="B9" s="918" t="s">
        <v>1109</v>
      </c>
      <c r="C9" s="919">
        <v>0</v>
      </c>
      <c r="D9" s="129"/>
      <c r="E9" s="129"/>
      <c r="F9" s="129"/>
      <c r="G9" s="129"/>
      <c r="H9" s="129"/>
      <c r="I9" s="129"/>
      <c r="J9" s="129"/>
      <c r="K9" s="129"/>
      <c r="L9" s="129"/>
      <c r="M9" s="129"/>
      <c r="R9" s="920"/>
    </row>
    <row r="10" spans="1:24" ht="15" thickBot="1" x14ac:dyDescent="0.35">
      <c r="P10" s="921"/>
      <c r="R10" s="921"/>
    </row>
    <row r="11" spans="1:24" ht="109.5" customHeight="1" thickBot="1" x14ac:dyDescent="0.35">
      <c r="A11" s="922" t="s">
        <v>912</v>
      </c>
      <c r="B11" s="923" t="s">
        <v>1110</v>
      </c>
      <c r="C11" s="924" t="s">
        <v>1111</v>
      </c>
      <c r="D11" s="924" t="s">
        <v>1112</v>
      </c>
      <c r="E11" s="924" t="s">
        <v>1113</v>
      </c>
      <c r="F11" s="924" t="s">
        <v>1114</v>
      </c>
      <c r="G11" s="925" t="s">
        <v>1115</v>
      </c>
      <c r="H11" s="924" t="s">
        <v>1116</v>
      </c>
      <c r="I11" s="926" t="s">
        <v>1117</v>
      </c>
      <c r="J11" s="927" t="s">
        <v>1118</v>
      </c>
      <c r="K11" s="928" t="s">
        <v>913</v>
      </c>
      <c r="L11" s="929" t="s">
        <v>914</v>
      </c>
      <c r="M11" s="930" t="s">
        <v>915</v>
      </c>
      <c r="O11" t="s">
        <v>1103</v>
      </c>
      <c r="P11" t="s">
        <v>1119</v>
      </c>
      <c r="Q11" t="s">
        <v>1120</v>
      </c>
      <c r="R11" t="s">
        <v>1121</v>
      </c>
    </row>
    <row r="12" spans="1:24" x14ac:dyDescent="0.3">
      <c r="A12" s="931">
        <v>2</v>
      </c>
      <c r="B12" s="932" t="s">
        <v>916</v>
      </c>
      <c r="C12" s="933">
        <f>HLOOKUP($C$4,$O$11:$R$41,2,FALSE)</f>
        <v>23615</v>
      </c>
      <c r="D12" s="933">
        <f>C12*$C$9</f>
        <v>0</v>
      </c>
      <c r="E12" s="933">
        <f>C12*(100%+$C$9)</f>
        <v>23615</v>
      </c>
      <c r="F12" s="933">
        <f>(E12-$C$5)*$C$6</f>
        <v>2003.0700000000002</v>
      </c>
      <c r="G12" s="934">
        <f>E12*$C$8</f>
        <v>118.075</v>
      </c>
      <c r="H12" s="933">
        <f>E12*$C$7</f>
        <v>5615.6469999999999</v>
      </c>
      <c r="I12" s="935">
        <f>SUM(E12:H12)</f>
        <v>31351.792000000001</v>
      </c>
      <c r="J12" s="936">
        <v>1560</v>
      </c>
      <c r="K12" s="937">
        <f>ROUND(I12/J12,2)</f>
        <v>20.100000000000001</v>
      </c>
      <c r="L12" s="938">
        <v>0.41</v>
      </c>
      <c r="M12" s="939">
        <v>0.83</v>
      </c>
      <c r="O12" s="920">
        <v>23615</v>
      </c>
      <c r="P12" s="233">
        <v>29029</v>
      </c>
      <c r="Q12">
        <v>28166</v>
      </c>
      <c r="R12">
        <v>24873</v>
      </c>
      <c r="V12" s="162"/>
      <c r="W12" s="238"/>
      <c r="X12" s="151"/>
    </row>
    <row r="13" spans="1:24" x14ac:dyDescent="0.3">
      <c r="A13" s="306">
        <v>2</v>
      </c>
      <c r="B13" s="301" t="s">
        <v>917</v>
      </c>
      <c r="C13" s="298">
        <f>HLOOKUP($C$4,$O$11:$R$41,3,FALSE)</f>
        <v>23615</v>
      </c>
      <c r="D13" s="298">
        <f t="shared" ref="D13:D47" si="0">C13*$C$9</f>
        <v>0</v>
      </c>
      <c r="E13" s="298">
        <f t="shared" ref="E13:E47" si="1">C13*(100%+$C$9)</f>
        <v>23615</v>
      </c>
      <c r="F13" s="298">
        <f t="shared" ref="F13:F47" si="2">(E13-$C$5)*$C$6</f>
        <v>2003.0700000000002</v>
      </c>
      <c r="G13" s="302">
        <f t="shared" ref="G13:G47" si="3">E13*$C$8</f>
        <v>118.075</v>
      </c>
      <c r="H13" s="298">
        <f t="shared" ref="H13:H47" si="4">E13*$C$7</f>
        <v>5615.6469999999999</v>
      </c>
      <c r="I13" s="935">
        <f t="shared" ref="I13:I47" si="5">SUM(E13:H13)</f>
        <v>31351.792000000001</v>
      </c>
      <c r="J13" s="128">
        <v>1560</v>
      </c>
      <c r="K13" s="937">
        <f t="shared" ref="K13:K47" si="6">ROUND(I13/J13,2)</f>
        <v>20.100000000000001</v>
      </c>
      <c r="L13" s="299">
        <v>0.41</v>
      </c>
      <c r="M13" s="940">
        <v>0.83</v>
      </c>
      <c r="O13" s="920">
        <v>23615</v>
      </c>
      <c r="P13" s="233">
        <v>29029</v>
      </c>
      <c r="Q13">
        <v>28166</v>
      </c>
      <c r="R13">
        <v>24873</v>
      </c>
      <c r="V13" s="342" t="s">
        <v>949</v>
      </c>
      <c r="X13" s="153"/>
    </row>
    <row r="14" spans="1:24" x14ac:dyDescent="0.3">
      <c r="A14" s="306">
        <v>3</v>
      </c>
      <c r="B14" s="301" t="s">
        <v>918</v>
      </c>
      <c r="C14" s="298">
        <f>HLOOKUP($C$4,$O$11:$R$41,4,FALSE)</f>
        <v>24071</v>
      </c>
      <c r="D14" s="298">
        <f t="shared" si="0"/>
        <v>0</v>
      </c>
      <c r="E14" s="298">
        <f t="shared" si="1"/>
        <v>24071</v>
      </c>
      <c r="F14" s="298">
        <f t="shared" si="2"/>
        <v>2065.998</v>
      </c>
      <c r="G14" s="302">
        <f t="shared" si="3"/>
        <v>120.355</v>
      </c>
      <c r="H14" s="298">
        <f t="shared" si="4"/>
        <v>5724.0838000000003</v>
      </c>
      <c r="I14" s="935">
        <f t="shared" si="5"/>
        <v>31981.436799999999</v>
      </c>
      <c r="J14" s="128">
        <v>1560</v>
      </c>
      <c r="K14" s="937">
        <f t="shared" si="6"/>
        <v>20.5</v>
      </c>
      <c r="L14" s="299">
        <v>0.35</v>
      </c>
      <c r="M14" s="940">
        <v>0.69</v>
      </c>
      <c r="O14" s="920">
        <v>24071</v>
      </c>
      <c r="P14" s="233">
        <v>29485</v>
      </c>
      <c r="Q14">
        <v>28622</v>
      </c>
      <c r="R14">
        <v>25329</v>
      </c>
      <c r="S14" t="s">
        <v>1103</v>
      </c>
      <c r="V14" s="343" t="s">
        <v>950</v>
      </c>
      <c r="W14">
        <v>260</v>
      </c>
      <c r="X14" s="153"/>
    </row>
    <row r="15" spans="1:24" x14ac:dyDescent="0.3">
      <c r="A15" s="306">
        <v>3</v>
      </c>
      <c r="B15" s="301" t="s">
        <v>919</v>
      </c>
      <c r="C15" s="298">
        <f>HLOOKUP($C$4,$O$11:$R$41,5,FALSE)</f>
        <v>25674</v>
      </c>
      <c r="D15" s="298">
        <f t="shared" si="0"/>
        <v>0</v>
      </c>
      <c r="E15" s="298">
        <f t="shared" si="1"/>
        <v>25674</v>
      </c>
      <c r="F15" s="298">
        <f t="shared" si="2"/>
        <v>2287.212</v>
      </c>
      <c r="G15" s="302">
        <f t="shared" si="3"/>
        <v>128.37</v>
      </c>
      <c r="H15" s="298">
        <f t="shared" si="4"/>
        <v>6105.2772000000004</v>
      </c>
      <c r="I15" s="935">
        <f t="shared" si="5"/>
        <v>34194.859199999999</v>
      </c>
      <c r="J15" s="128">
        <v>1560</v>
      </c>
      <c r="K15" s="937">
        <f t="shared" si="6"/>
        <v>21.92</v>
      </c>
      <c r="L15" s="299">
        <v>0.35</v>
      </c>
      <c r="M15" s="940">
        <v>0.69</v>
      </c>
      <c r="O15" s="920">
        <v>25674</v>
      </c>
      <c r="P15" s="233">
        <v>31088</v>
      </c>
      <c r="Q15">
        <v>30225</v>
      </c>
      <c r="R15">
        <v>26958</v>
      </c>
      <c r="S15" t="s">
        <v>1122</v>
      </c>
      <c r="V15" s="343" t="s">
        <v>951</v>
      </c>
      <c r="W15">
        <v>-40</v>
      </c>
      <c r="X15" s="153"/>
    </row>
    <row r="16" spans="1:24" x14ac:dyDescent="0.3">
      <c r="A16" s="306">
        <v>4</v>
      </c>
      <c r="B16" s="301" t="s">
        <v>920</v>
      </c>
      <c r="C16" s="298">
        <f>HLOOKUP($C$4,$O$11:$R$41,6,FALSE)</f>
        <v>26530</v>
      </c>
      <c r="D16" s="298">
        <f t="shared" si="0"/>
        <v>0</v>
      </c>
      <c r="E16" s="298">
        <f t="shared" si="1"/>
        <v>26530</v>
      </c>
      <c r="F16" s="298">
        <f t="shared" si="2"/>
        <v>2405.34</v>
      </c>
      <c r="G16" s="302">
        <f t="shared" si="3"/>
        <v>132.65</v>
      </c>
      <c r="H16" s="298">
        <f t="shared" si="4"/>
        <v>6308.8340000000007</v>
      </c>
      <c r="I16" s="935">
        <f t="shared" si="5"/>
        <v>35376.824000000001</v>
      </c>
      <c r="J16" s="128">
        <v>1560</v>
      </c>
      <c r="K16" s="937">
        <f t="shared" si="6"/>
        <v>22.68</v>
      </c>
      <c r="L16" s="299">
        <v>0.3</v>
      </c>
      <c r="M16" s="940">
        <v>0.6</v>
      </c>
      <c r="O16" s="920">
        <v>26530</v>
      </c>
      <c r="P16" s="233">
        <v>31944</v>
      </c>
      <c r="Q16">
        <v>31081</v>
      </c>
      <c r="R16">
        <v>27857</v>
      </c>
      <c r="S16" t="s">
        <v>1123</v>
      </c>
      <c r="V16" s="343" t="s">
        <v>952</v>
      </c>
      <c r="W16">
        <v>-2</v>
      </c>
      <c r="X16" s="153"/>
    </row>
    <row r="17" spans="1:24" x14ac:dyDescent="0.3">
      <c r="A17" s="306">
        <v>4</v>
      </c>
      <c r="B17" s="301" t="s">
        <v>921</v>
      </c>
      <c r="C17" s="298">
        <f>HLOOKUP($C$4,$O$11:$R$41,7,FALSE)</f>
        <v>29114</v>
      </c>
      <c r="D17" s="298">
        <f t="shared" si="0"/>
        <v>0</v>
      </c>
      <c r="E17" s="298">
        <f t="shared" si="1"/>
        <v>29114</v>
      </c>
      <c r="F17" s="298">
        <f t="shared" si="2"/>
        <v>2761.9320000000002</v>
      </c>
      <c r="G17" s="302">
        <f t="shared" si="3"/>
        <v>145.57</v>
      </c>
      <c r="H17" s="298">
        <f t="shared" si="4"/>
        <v>6923.3092000000006</v>
      </c>
      <c r="I17" s="935">
        <f t="shared" si="5"/>
        <v>38944.811200000004</v>
      </c>
      <c r="J17" s="128">
        <v>1560</v>
      </c>
      <c r="K17" s="937">
        <f t="shared" si="6"/>
        <v>24.96</v>
      </c>
      <c r="L17" s="299">
        <v>0.3</v>
      </c>
      <c r="M17" s="940">
        <v>0.6</v>
      </c>
      <c r="O17" s="920">
        <v>29114</v>
      </c>
      <c r="P17" s="233">
        <v>34937</v>
      </c>
      <c r="Q17">
        <v>33665</v>
      </c>
      <c r="R17">
        <v>30570</v>
      </c>
      <c r="S17" t="s">
        <v>1124</v>
      </c>
      <c r="V17" s="343" t="s">
        <v>953</v>
      </c>
      <c r="W17">
        <v>-10</v>
      </c>
      <c r="X17" s="153"/>
    </row>
    <row r="18" spans="1:24" x14ac:dyDescent="0.3">
      <c r="A18" s="306">
        <v>5</v>
      </c>
      <c r="B18" s="301" t="s">
        <v>922</v>
      </c>
      <c r="C18" s="298">
        <f>HLOOKUP($C$4,$O$11:$R$41,8,FALSE)</f>
        <v>29970</v>
      </c>
      <c r="D18" s="298">
        <f t="shared" si="0"/>
        <v>0</v>
      </c>
      <c r="E18" s="298">
        <f t="shared" si="1"/>
        <v>29970</v>
      </c>
      <c r="F18" s="298">
        <f t="shared" si="2"/>
        <v>2880.0600000000004</v>
      </c>
      <c r="G18" s="302">
        <f t="shared" si="3"/>
        <v>149.85</v>
      </c>
      <c r="H18" s="298">
        <f t="shared" si="4"/>
        <v>7126.866</v>
      </c>
      <c r="I18" s="935">
        <f t="shared" si="5"/>
        <v>40126.775999999998</v>
      </c>
      <c r="J18" s="128">
        <v>1560</v>
      </c>
      <c r="K18" s="937">
        <f t="shared" si="6"/>
        <v>25.72</v>
      </c>
      <c r="L18" s="299">
        <v>0.3</v>
      </c>
      <c r="M18" s="940">
        <v>0.6</v>
      </c>
      <c r="O18" s="920">
        <v>29970</v>
      </c>
      <c r="P18" s="233">
        <v>35964</v>
      </c>
      <c r="Q18">
        <v>34521</v>
      </c>
      <c r="R18">
        <v>31469</v>
      </c>
      <c r="V18" s="343"/>
      <c r="W18" s="238">
        <v>208</v>
      </c>
      <c r="X18" s="153"/>
    </row>
    <row r="19" spans="1:24" x14ac:dyDescent="0.3">
      <c r="A19" s="306">
        <v>5</v>
      </c>
      <c r="B19" s="301" t="s">
        <v>923</v>
      </c>
      <c r="C19" s="298">
        <f>HLOOKUP($C$4,$O$11:$R$41,9,FALSE)</f>
        <v>32324</v>
      </c>
      <c r="D19" s="298">
        <f t="shared" si="0"/>
        <v>0</v>
      </c>
      <c r="E19" s="298">
        <f t="shared" si="1"/>
        <v>32324</v>
      </c>
      <c r="F19" s="298">
        <f t="shared" si="2"/>
        <v>3204.9120000000003</v>
      </c>
      <c r="G19" s="302">
        <f t="shared" si="3"/>
        <v>161.62</v>
      </c>
      <c r="H19" s="298">
        <f t="shared" si="4"/>
        <v>7686.6472000000003</v>
      </c>
      <c r="I19" s="935">
        <f t="shared" si="5"/>
        <v>43377.179199999999</v>
      </c>
      <c r="J19" s="128">
        <v>1560</v>
      </c>
      <c r="K19" s="937">
        <f t="shared" si="6"/>
        <v>27.81</v>
      </c>
      <c r="L19" s="299">
        <v>0.3</v>
      </c>
      <c r="M19" s="940">
        <v>0.6</v>
      </c>
      <c r="O19" s="920">
        <v>32324</v>
      </c>
      <c r="P19" s="233">
        <v>38789</v>
      </c>
      <c r="Q19">
        <v>37173</v>
      </c>
      <c r="R19">
        <v>33941</v>
      </c>
      <c r="V19" s="343" t="s">
        <v>955</v>
      </c>
      <c r="W19" s="254">
        <f>7.5*W18</f>
        <v>1560</v>
      </c>
      <c r="X19" s="153"/>
    </row>
    <row r="20" spans="1:24" x14ac:dyDescent="0.3">
      <c r="A20" s="306">
        <v>5</v>
      </c>
      <c r="B20" s="301" t="s">
        <v>924</v>
      </c>
      <c r="C20" s="298">
        <f>HLOOKUP($C$4,$O$11:$R$41,10,FALSE)</f>
        <v>36483</v>
      </c>
      <c r="D20" s="298">
        <f t="shared" si="0"/>
        <v>0</v>
      </c>
      <c r="E20" s="298">
        <f t="shared" si="1"/>
        <v>36483</v>
      </c>
      <c r="F20" s="298">
        <f t="shared" si="2"/>
        <v>3778.8540000000003</v>
      </c>
      <c r="G20" s="302">
        <f t="shared" si="3"/>
        <v>182.41499999999999</v>
      </c>
      <c r="H20" s="298">
        <f t="shared" si="4"/>
        <v>8675.6574000000001</v>
      </c>
      <c r="I20" s="935">
        <f t="shared" si="5"/>
        <v>49119.926399999997</v>
      </c>
      <c r="J20" s="128">
        <v>1560</v>
      </c>
      <c r="K20" s="937">
        <f t="shared" si="6"/>
        <v>31.49</v>
      </c>
      <c r="L20" s="299">
        <v>0.3</v>
      </c>
      <c r="M20" s="940">
        <v>0.6</v>
      </c>
      <c r="O20" s="920">
        <v>36483</v>
      </c>
      <c r="P20" s="233">
        <v>43780</v>
      </c>
      <c r="Q20">
        <v>41956</v>
      </c>
      <c r="R20">
        <v>38308</v>
      </c>
      <c r="V20" s="154"/>
      <c r="X20" s="153"/>
    </row>
    <row r="21" spans="1:24" x14ac:dyDescent="0.3">
      <c r="A21" s="306">
        <v>6</v>
      </c>
      <c r="B21" s="301" t="s">
        <v>925</v>
      </c>
      <c r="C21" s="298">
        <f>HLOOKUP($C$4,$O$11:$R$41,11,FALSE)</f>
        <v>37338</v>
      </c>
      <c r="D21" s="298">
        <f t="shared" si="0"/>
        <v>0</v>
      </c>
      <c r="E21" s="298">
        <f t="shared" si="1"/>
        <v>37338</v>
      </c>
      <c r="F21" s="298">
        <f t="shared" si="2"/>
        <v>3896.8440000000005</v>
      </c>
      <c r="G21" s="302">
        <f t="shared" si="3"/>
        <v>186.69</v>
      </c>
      <c r="H21" s="298">
        <f t="shared" si="4"/>
        <v>8878.9763999999996</v>
      </c>
      <c r="I21" s="935">
        <f t="shared" si="5"/>
        <v>50300.510399999999</v>
      </c>
      <c r="J21" s="128">
        <v>1560</v>
      </c>
      <c r="K21" s="937">
        <f t="shared" si="6"/>
        <v>32.24</v>
      </c>
      <c r="L21" s="299">
        <v>0.3</v>
      </c>
      <c r="M21" s="940">
        <v>0.6</v>
      </c>
      <c r="O21" s="920">
        <v>37338</v>
      </c>
      <c r="P21" s="233">
        <v>44806</v>
      </c>
      <c r="Q21">
        <v>42939</v>
      </c>
      <c r="R21">
        <v>39205</v>
      </c>
      <c r="V21" s="343"/>
      <c r="X21" s="153"/>
    </row>
    <row r="22" spans="1:24" x14ac:dyDescent="0.3">
      <c r="A22" s="306">
        <v>6</v>
      </c>
      <c r="B22" s="301" t="s">
        <v>926</v>
      </c>
      <c r="C22" s="298">
        <f>HLOOKUP($C$4,$O$11:$R$41,12,FALSE)</f>
        <v>39405</v>
      </c>
      <c r="D22" s="298">
        <f t="shared" si="0"/>
        <v>0</v>
      </c>
      <c r="E22" s="298">
        <f t="shared" si="1"/>
        <v>39405</v>
      </c>
      <c r="F22" s="298">
        <f t="shared" si="2"/>
        <v>4182.09</v>
      </c>
      <c r="G22" s="302">
        <f t="shared" si="3"/>
        <v>197.02500000000001</v>
      </c>
      <c r="H22" s="298">
        <f t="shared" si="4"/>
        <v>9370.509</v>
      </c>
      <c r="I22" s="935">
        <f t="shared" si="5"/>
        <v>53154.623999999996</v>
      </c>
      <c r="J22" s="128">
        <v>1560</v>
      </c>
      <c r="K22" s="937">
        <f t="shared" si="6"/>
        <v>34.07</v>
      </c>
      <c r="L22" s="299">
        <v>0.3</v>
      </c>
      <c r="M22" s="940">
        <v>0.6</v>
      </c>
      <c r="O22" s="920">
        <v>39405</v>
      </c>
      <c r="P22" s="233">
        <v>47286</v>
      </c>
      <c r="Q22">
        <v>45140</v>
      </c>
      <c r="R22">
        <v>41376</v>
      </c>
      <c r="V22" s="342" t="s">
        <v>945</v>
      </c>
      <c r="X22" s="153"/>
    </row>
    <row r="23" spans="1:24" x14ac:dyDescent="0.3">
      <c r="A23" s="306">
        <v>6</v>
      </c>
      <c r="B23" s="301" t="s">
        <v>927</v>
      </c>
      <c r="C23" s="298">
        <f>HLOOKUP($C$4,$O$11:$R$41,13,FALSE)</f>
        <v>44962</v>
      </c>
      <c r="D23" s="298">
        <f t="shared" si="0"/>
        <v>0</v>
      </c>
      <c r="E23" s="298">
        <f t="shared" si="1"/>
        <v>44962</v>
      </c>
      <c r="F23" s="298">
        <f t="shared" si="2"/>
        <v>4948.9560000000001</v>
      </c>
      <c r="G23" s="302">
        <f t="shared" si="3"/>
        <v>224.81</v>
      </c>
      <c r="H23" s="298">
        <f t="shared" si="4"/>
        <v>10691.963600000001</v>
      </c>
      <c r="I23" s="935">
        <f t="shared" si="5"/>
        <v>60827.729599999999</v>
      </c>
      <c r="J23" s="128">
        <v>1560</v>
      </c>
      <c r="K23" s="937">
        <f t="shared" si="6"/>
        <v>38.99</v>
      </c>
      <c r="L23" s="299">
        <v>0.3</v>
      </c>
      <c r="M23" s="940">
        <v>0.6</v>
      </c>
      <c r="O23" s="920">
        <v>44962</v>
      </c>
      <c r="P23" s="233">
        <v>53134</v>
      </c>
      <c r="Q23">
        <v>50697</v>
      </c>
      <c r="R23">
        <v>47084</v>
      </c>
      <c r="V23" s="343" t="s">
        <v>956</v>
      </c>
      <c r="W23">
        <v>43</v>
      </c>
      <c r="X23" s="153"/>
    </row>
    <row r="24" spans="1:24" x14ac:dyDescent="0.3">
      <c r="A24" s="306">
        <v>7</v>
      </c>
      <c r="B24" s="301" t="s">
        <v>928</v>
      </c>
      <c r="C24" s="298">
        <f>HLOOKUP($C$4,$O$11:$R$41,14,FALSE)</f>
        <v>46148</v>
      </c>
      <c r="D24" s="298">
        <f t="shared" si="0"/>
        <v>0</v>
      </c>
      <c r="E24" s="298">
        <f t="shared" si="1"/>
        <v>46148</v>
      </c>
      <c r="F24" s="298">
        <f t="shared" si="2"/>
        <v>5112.6240000000007</v>
      </c>
      <c r="G24" s="302">
        <f t="shared" si="3"/>
        <v>230.74</v>
      </c>
      <c r="H24" s="298">
        <f t="shared" si="4"/>
        <v>10973.994400000001</v>
      </c>
      <c r="I24" s="935">
        <f t="shared" si="5"/>
        <v>62465.358400000005</v>
      </c>
      <c r="J24" s="128">
        <v>1560</v>
      </c>
      <c r="K24" s="937">
        <f t="shared" si="6"/>
        <v>40.04</v>
      </c>
      <c r="L24" s="299">
        <v>0.3</v>
      </c>
      <c r="M24" s="940">
        <v>0.6</v>
      </c>
      <c r="O24" s="920">
        <v>46148</v>
      </c>
      <c r="P24" s="233">
        <v>54320</v>
      </c>
      <c r="Q24">
        <v>51883</v>
      </c>
      <c r="R24">
        <v>48270</v>
      </c>
      <c r="V24" s="343"/>
      <c r="X24" s="153"/>
    </row>
    <row r="25" spans="1:24" x14ac:dyDescent="0.3">
      <c r="A25" s="306">
        <v>7</v>
      </c>
      <c r="B25" s="301" t="s">
        <v>929</v>
      </c>
      <c r="C25" s="298">
        <f>HLOOKUP($C$4,$O$11:$R$41,15,FALSE)</f>
        <v>48526</v>
      </c>
      <c r="D25" s="298">
        <f t="shared" si="0"/>
        <v>0</v>
      </c>
      <c r="E25" s="298">
        <f t="shared" si="1"/>
        <v>48526</v>
      </c>
      <c r="F25" s="298">
        <f t="shared" si="2"/>
        <v>5440.7880000000005</v>
      </c>
      <c r="G25" s="302">
        <f t="shared" si="3"/>
        <v>242.63</v>
      </c>
      <c r="H25" s="298">
        <f t="shared" si="4"/>
        <v>11539.4828</v>
      </c>
      <c r="I25" s="935">
        <f t="shared" si="5"/>
        <v>65748.900800000003</v>
      </c>
      <c r="J25" s="128">
        <v>1560</v>
      </c>
      <c r="K25" s="937">
        <f t="shared" si="6"/>
        <v>42.15</v>
      </c>
      <c r="L25" s="299">
        <v>0.3</v>
      </c>
      <c r="M25" s="940">
        <v>0.6</v>
      </c>
      <c r="O25" s="920">
        <v>48526</v>
      </c>
      <c r="P25" s="233">
        <v>56698</v>
      </c>
      <c r="Q25">
        <v>54261</v>
      </c>
      <c r="R25">
        <v>50648</v>
      </c>
      <c r="V25" s="343" t="s">
        <v>958</v>
      </c>
      <c r="W25">
        <v>10</v>
      </c>
      <c r="X25" s="153"/>
    </row>
    <row r="26" spans="1:24" x14ac:dyDescent="0.3">
      <c r="A26" s="306">
        <v>7</v>
      </c>
      <c r="B26" s="301" t="s">
        <v>930</v>
      </c>
      <c r="C26" s="298">
        <f>HLOOKUP($C$4,$O$11:$R$41,16,FALSE)</f>
        <v>52809</v>
      </c>
      <c r="D26" s="298">
        <f t="shared" si="0"/>
        <v>0</v>
      </c>
      <c r="E26" s="298">
        <f t="shared" si="1"/>
        <v>52809</v>
      </c>
      <c r="F26" s="298">
        <f t="shared" si="2"/>
        <v>6031.8420000000006</v>
      </c>
      <c r="G26" s="302">
        <f t="shared" si="3"/>
        <v>264.04500000000002</v>
      </c>
      <c r="H26" s="298">
        <f t="shared" si="4"/>
        <v>12557.9802</v>
      </c>
      <c r="I26" s="935">
        <f t="shared" si="5"/>
        <v>71662.867200000008</v>
      </c>
      <c r="J26" s="128">
        <v>1560</v>
      </c>
      <c r="K26" s="937">
        <f t="shared" si="6"/>
        <v>45.94</v>
      </c>
      <c r="L26" s="299">
        <v>0.3</v>
      </c>
      <c r="M26" s="940">
        <v>0.6</v>
      </c>
      <c r="O26" s="920">
        <v>52809</v>
      </c>
      <c r="P26" s="233">
        <v>60981</v>
      </c>
      <c r="Q26">
        <v>58544</v>
      </c>
      <c r="R26">
        <v>54931</v>
      </c>
      <c r="V26" s="343" t="s">
        <v>959</v>
      </c>
      <c r="W26">
        <v>-2</v>
      </c>
      <c r="X26" s="153"/>
    </row>
    <row r="27" spans="1:24" x14ac:dyDescent="0.3">
      <c r="A27" s="306" t="s">
        <v>954</v>
      </c>
      <c r="B27" s="301" t="s">
        <v>931</v>
      </c>
      <c r="C27" s="298">
        <f>HLOOKUP($C$4,$O$11:$R$41,17,FALSE)</f>
        <v>53754.676500000001</v>
      </c>
      <c r="D27" s="298">
        <f t="shared" si="0"/>
        <v>0</v>
      </c>
      <c r="E27" s="298">
        <f t="shared" si="1"/>
        <v>53754.676500000001</v>
      </c>
      <c r="F27" s="298">
        <f t="shared" si="2"/>
        <v>6162.3453570000011</v>
      </c>
      <c r="G27" s="302">
        <f t="shared" si="3"/>
        <v>268.77338250000003</v>
      </c>
      <c r="H27" s="298">
        <f t="shared" si="4"/>
        <v>12782.862071700001</v>
      </c>
      <c r="I27" s="935">
        <f t="shared" si="5"/>
        <v>72968.657311200004</v>
      </c>
      <c r="J27" s="128">
        <v>1560</v>
      </c>
      <c r="K27" s="937">
        <f t="shared" si="6"/>
        <v>46.77</v>
      </c>
      <c r="L27" s="299">
        <v>0.3</v>
      </c>
      <c r="M27" s="940">
        <v>0.6</v>
      </c>
      <c r="O27" s="920">
        <v>53754.676500000001</v>
      </c>
      <c r="P27" s="233">
        <v>61927</v>
      </c>
      <c r="Q27">
        <v>59490</v>
      </c>
      <c r="R27">
        <v>55877</v>
      </c>
      <c r="V27" s="343"/>
      <c r="W27" s="238">
        <v>8</v>
      </c>
      <c r="X27" s="153"/>
    </row>
    <row r="28" spans="1:24" x14ac:dyDescent="0.3">
      <c r="A28" s="306" t="s">
        <v>954</v>
      </c>
      <c r="B28" s="301" t="s">
        <v>730</v>
      </c>
      <c r="C28" s="298">
        <f>HLOOKUP($C$4,$O$11:$R$41,18,FALSE)</f>
        <v>56454</v>
      </c>
      <c r="D28" s="298">
        <f t="shared" si="0"/>
        <v>0</v>
      </c>
      <c r="E28" s="298">
        <f t="shared" si="1"/>
        <v>56454</v>
      </c>
      <c r="F28" s="298">
        <f t="shared" si="2"/>
        <v>6534.8520000000008</v>
      </c>
      <c r="G28" s="302">
        <f t="shared" si="3"/>
        <v>282.27</v>
      </c>
      <c r="H28" s="298">
        <f t="shared" si="4"/>
        <v>13424.761200000001</v>
      </c>
      <c r="I28" s="935">
        <f t="shared" si="5"/>
        <v>76695.883199999997</v>
      </c>
      <c r="J28" s="128">
        <v>1560</v>
      </c>
      <c r="K28" s="937">
        <f t="shared" si="6"/>
        <v>49.16</v>
      </c>
      <c r="L28" s="299">
        <v>0.3</v>
      </c>
      <c r="M28" s="940">
        <v>0.6</v>
      </c>
      <c r="O28" s="920">
        <v>56454</v>
      </c>
      <c r="P28" s="233">
        <v>64626</v>
      </c>
      <c r="Q28">
        <v>62189</v>
      </c>
      <c r="R28">
        <v>58576</v>
      </c>
      <c r="V28" s="343" t="s">
        <v>960</v>
      </c>
      <c r="W28" s="254">
        <f>W27*4*W23</f>
        <v>1376</v>
      </c>
      <c r="X28" s="153"/>
    </row>
    <row r="29" spans="1:24" x14ac:dyDescent="0.3">
      <c r="A29" s="306" t="s">
        <v>954</v>
      </c>
      <c r="B29" s="301" t="s">
        <v>932</v>
      </c>
      <c r="C29" s="298">
        <f>HLOOKUP($C$4,$O$11:$R$41,19,FALSE)</f>
        <v>60504</v>
      </c>
      <c r="D29" s="298">
        <f t="shared" si="0"/>
        <v>0</v>
      </c>
      <c r="E29" s="298">
        <f t="shared" si="1"/>
        <v>60504</v>
      </c>
      <c r="F29" s="298">
        <f t="shared" si="2"/>
        <v>7093.7520000000004</v>
      </c>
      <c r="G29" s="302">
        <f t="shared" si="3"/>
        <v>302.52</v>
      </c>
      <c r="H29" s="298">
        <f t="shared" si="4"/>
        <v>14387.851200000001</v>
      </c>
      <c r="I29" s="935">
        <f t="shared" si="5"/>
        <v>82288.123200000016</v>
      </c>
      <c r="J29" s="128">
        <v>1560</v>
      </c>
      <c r="K29" s="937">
        <f t="shared" si="6"/>
        <v>52.75</v>
      </c>
      <c r="L29" s="299">
        <v>0.3</v>
      </c>
      <c r="M29" s="940">
        <v>0.6</v>
      </c>
      <c r="O29" s="920">
        <v>60504</v>
      </c>
      <c r="P29" s="233">
        <v>68676</v>
      </c>
      <c r="Q29">
        <v>66239</v>
      </c>
      <c r="R29">
        <v>62626</v>
      </c>
      <c r="V29" s="154"/>
      <c r="X29" s="153"/>
    </row>
    <row r="30" spans="1:24" x14ac:dyDescent="0.3">
      <c r="A30" s="306" t="s">
        <v>957</v>
      </c>
      <c r="B30" s="301" t="s">
        <v>933</v>
      </c>
      <c r="C30" s="298">
        <f>HLOOKUP($C$4,$O$11:$R$41,20,FALSE)</f>
        <v>62215</v>
      </c>
      <c r="D30" s="298">
        <f t="shared" si="0"/>
        <v>0</v>
      </c>
      <c r="E30" s="298">
        <f t="shared" si="1"/>
        <v>62215</v>
      </c>
      <c r="F30" s="298">
        <f t="shared" si="2"/>
        <v>7329.8700000000008</v>
      </c>
      <c r="G30" s="302">
        <f t="shared" si="3"/>
        <v>311.07499999999999</v>
      </c>
      <c r="H30" s="298">
        <f t="shared" si="4"/>
        <v>14794.727000000001</v>
      </c>
      <c r="I30" s="935">
        <f t="shared" si="5"/>
        <v>84650.671999999991</v>
      </c>
      <c r="J30" s="128">
        <v>1560</v>
      </c>
      <c r="K30" s="937">
        <f t="shared" si="6"/>
        <v>54.26</v>
      </c>
      <c r="L30" s="299">
        <v>0.3</v>
      </c>
      <c r="M30" s="940">
        <v>0.6</v>
      </c>
      <c r="O30" s="920">
        <v>62215</v>
      </c>
      <c r="P30" s="233">
        <v>70387</v>
      </c>
      <c r="Q30">
        <v>67950</v>
      </c>
      <c r="R30">
        <v>64337</v>
      </c>
      <c r="V30" s="343"/>
      <c r="X30" s="153"/>
    </row>
    <row r="31" spans="1:24" x14ac:dyDescent="0.3">
      <c r="A31" s="306" t="s">
        <v>957</v>
      </c>
      <c r="B31" s="301" t="s">
        <v>934</v>
      </c>
      <c r="C31" s="298">
        <f>HLOOKUP($C$4,$O$11:$R$41,21,FALSE)</f>
        <v>66246</v>
      </c>
      <c r="D31" s="298">
        <f t="shared" si="0"/>
        <v>0</v>
      </c>
      <c r="E31" s="298">
        <f t="shared" si="1"/>
        <v>66246</v>
      </c>
      <c r="F31" s="298">
        <f t="shared" si="2"/>
        <v>7886.148000000001</v>
      </c>
      <c r="G31" s="302">
        <f t="shared" si="3"/>
        <v>331.23</v>
      </c>
      <c r="H31" s="298">
        <f t="shared" si="4"/>
        <v>15753.2988</v>
      </c>
      <c r="I31" s="935">
        <f t="shared" si="5"/>
        <v>90216.676800000001</v>
      </c>
      <c r="J31" s="128">
        <v>1560</v>
      </c>
      <c r="K31" s="937">
        <f t="shared" si="6"/>
        <v>57.83</v>
      </c>
      <c r="L31" s="299">
        <v>0.3</v>
      </c>
      <c r="M31" s="940">
        <v>0.6</v>
      </c>
      <c r="O31" s="920">
        <v>66246</v>
      </c>
      <c r="P31" s="233">
        <v>74418</v>
      </c>
      <c r="Q31">
        <v>71981</v>
      </c>
      <c r="R31">
        <v>68368</v>
      </c>
      <c r="V31" s="342" t="s">
        <v>948</v>
      </c>
      <c r="X31" s="153"/>
    </row>
    <row r="32" spans="1:24" x14ac:dyDescent="0.3">
      <c r="A32" s="306" t="s">
        <v>957</v>
      </c>
      <c r="B32" s="301" t="s">
        <v>935</v>
      </c>
      <c r="C32" s="298">
        <f>HLOOKUP($C$4,$O$11:$R$41,22,FALSE)</f>
        <v>72293</v>
      </c>
      <c r="D32" s="298">
        <f t="shared" si="0"/>
        <v>0</v>
      </c>
      <c r="E32" s="298">
        <f t="shared" si="1"/>
        <v>72293</v>
      </c>
      <c r="F32" s="298">
        <f t="shared" si="2"/>
        <v>8720.634</v>
      </c>
      <c r="G32" s="302">
        <f t="shared" si="3"/>
        <v>361.46500000000003</v>
      </c>
      <c r="H32" s="298">
        <f t="shared" si="4"/>
        <v>17191.275400000002</v>
      </c>
      <c r="I32" s="935">
        <f t="shared" si="5"/>
        <v>98566.374400000001</v>
      </c>
      <c r="J32" s="128">
        <v>1560</v>
      </c>
      <c r="K32" s="937">
        <f t="shared" si="6"/>
        <v>63.18</v>
      </c>
      <c r="L32" s="299">
        <v>0.3</v>
      </c>
      <c r="M32" s="940">
        <v>0.6</v>
      </c>
      <c r="O32" s="920">
        <v>72293</v>
      </c>
      <c r="P32" s="233">
        <v>80465</v>
      </c>
      <c r="Q32">
        <v>78028</v>
      </c>
      <c r="R32">
        <v>74415</v>
      </c>
      <c r="V32" s="343" t="s">
        <v>962</v>
      </c>
      <c r="W32">
        <v>44.7</v>
      </c>
      <c r="X32" s="153"/>
    </row>
    <row r="33" spans="1:24" x14ac:dyDescent="0.3">
      <c r="A33" s="306" t="s">
        <v>961</v>
      </c>
      <c r="B33" s="301" t="s">
        <v>936</v>
      </c>
      <c r="C33" s="298">
        <f>HLOOKUP($C$4,$O$11:$R$41,23,FALSE)</f>
        <v>74290</v>
      </c>
      <c r="D33" s="298">
        <f t="shared" si="0"/>
        <v>0</v>
      </c>
      <c r="E33" s="298">
        <f t="shared" si="1"/>
        <v>74290</v>
      </c>
      <c r="F33" s="298">
        <f t="shared" si="2"/>
        <v>8996.2200000000012</v>
      </c>
      <c r="G33" s="302">
        <f t="shared" si="3"/>
        <v>371.45</v>
      </c>
      <c r="H33" s="298">
        <f t="shared" si="4"/>
        <v>17666.162</v>
      </c>
      <c r="I33" s="935">
        <f t="shared" si="5"/>
        <v>101323.83199999999</v>
      </c>
      <c r="J33" s="128">
        <v>1560</v>
      </c>
      <c r="K33" s="937">
        <f t="shared" si="6"/>
        <v>64.95</v>
      </c>
      <c r="L33" s="299">
        <v>0.3</v>
      </c>
      <c r="M33" s="940">
        <v>0.6</v>
      </c>
      <c r="O33" s="920">
        <v>74290</v>
      </c>
      <c r="P33" s="233">
        <v>82462</v>
      </c>
      <c r="Q33">
        <v>80025</v>
      </c>
      <c r="R33">
        <v>76412</v>
      </c>
      <c r="V33" s="343" t="s">
        <v>963</v>
      </c>
      <c r="W33">
        <v>48</v>
      </c>
      <c r="X33" s="153"/>
    </row>
    <row r="34" spans="1:24" x14ac:dyDescent="0.3">
      <c r="A34" s="306" t="s">
        <v>961</v>
      </c>
      <c r="B34" s="301" t="s">
        <v>937</v>
      </c>
      <c r="C34" s="298">
        <f>HLOOKUP($C$4,$O$11:$R$41,24,FALSE)</f>
        <v>78814</v>
      </c>
      <c r="D34" s="298">
        <f t="shared" si="0"/>
        <v>0</v>
      </c>
      <c r="E34" s="298">
        <f t="shared" si="1"/>
        <v>78814</v>
      </c>
      <c r="F34" s="298">
        <f t="shared" si="2"/>
        <v>9620.5320000000011</v>
      </c>
      <c r="G34" s="302">
        <f t="shared" si="3"/>
        <v>394.07</v>
      </c>
      <c r="H34" s="298">
        <f t="shared" si="4"/>
        <v>18741.9692</v>
      </c>
      <c r="I34" s="935">
        <f t="shared" si="5"/>
        <v>107570.57120000001</v>
      </c>
      <c r="J34" s="128">
        <v>1560</v>
      </c>
      <c r="K34" s="937">
        <f t="shared" si="6"/>
        <v>68.959999999999994</v>
      </c>
      <c r="L34" s="299">
        <v>0.3</v>
      </c>
      <c r="M34" s="940">
        <v>0.6</v>
      </c>
      <c r="O34" s="920">
        <v>78814</v>
      </c>
      <c r="P34" s="233">
        <v>86986</v>
      </c>
      <c r="Q34">
        <v>84549</v>
      </c>
      <c r="R34">
        <v>80936</v>
      </c>
      <c r="V34" s="343" t="s">
        <v>964</v>
      </c>
      <c r="W34">
        <v>2145.6</v>
      </c>
      <c r="X34" s="153"/>
    </row>
    <row r="35" spans="1:24" x14ac:dyDescent="0.3">
      <c r="A35" s="306" t="s">
        <v>961</v>
      </c>
      <c r="B35" s="301" t="s">
        <v>938</v>
      </c>
      <c r="C35" s="298">
        <f>HLOOKUP($C$4,$O$11:$R$41,25,FALSE)</f>
        <v>85601</v>
      </c>
      <c r="D35" s="298">
        <f t="shared" si="0"/>
        <v>0</v>
      </c>
      <c r="E35" s="298">
        <f t="shared" si="1"/>
        <v>85601</v>
      </c>
      <c r="F35" s="298">
        <f t="shared" si="2"/>
        <v>10557.138000000001</v>
      </c>
      <c r="G35" s="302">
        <f t="shared" si="3"/>
        <v>428.005</v>
      </c>
      <c r="H35" s="298">
        <f t="shared" si="4"/>
        <v>20355.917799999999</v>
      </c>
      <c r="I35" s="935">
        <f t="shared" si="5"/>
        <v>116942.06080000001</v>
      </c>
      <c r="J35" s="128">
        <v>1560</v>
      </c>
      <c r="K35" s="937">
        <f t="shared" si="6"/>
        <v>74.959999999999994</v>
      </c>
      <c r="L35" s="299">
        <v>0.3</v>
      </c>
      <c r="M35" s="940">
        <v>0.6</v>
      </c>
      <c r="O35" s="920">
        <v>85601</v>
      </c>
      <c r="P35" s="233">
        <v>93773</v>
      </c>
      <c r="Q35">
        <v>91336</v>
      </c>
      <c r="R35">
        <v>87723</v>
      </c>
      <c r="V35" s="343" t="s">
        <v>965</v>
      </c>
      <c r="W35" s="344">
        <v>0.6</v>
      </c>
      <c r="X35" s="153"/>
    </row>
    <row r="36" spans="1:24" x14ac:dyDescent="0.3">
      <c r="A36" s="306" t="s">
        <v>966</v>
      </c>
      <c r="B36" s="301" t="s">
        <v>939</v>
      </c>
      <c r="C36" s="298">
        <f>HLOOKUP($C$4,$O$11:$R$41,26,FALSE)</f>
        <v>88168</v>
      </c>
      <c r="D36" s="298">
        <f t="shared" si="0"/>
        <v>0</v>
      </c>
      <c r="E36" s="298">
        <f t="shared" si="1"/>
        <v>88168</v>
      </c>
      <c r="F36" s="298">
        <f t="shared" si="2"/>
        <v>10911.384</v>
      </c>
      <c r="G36" s="302">
        <f t="shared" si="3"/>
        <v>440.84000000000003</v>
      </c>
      <c r="H36" s="298">
        <f t="shared" si="4"/>
        <v>20966.350399999999</v>
      </c>
      <c r="I36" s="935">
        <f t="shared" si="5"/>
        <v>120486.5744</v>
      </c>
      <c r="J36" s="128">
        <v>1560</v>
      </c>
      <c r="K36" s="937">
        <f t="shared" si="6"/>
        <v>77.23</v>
      </c>
      <c r="L36" s="299">
        <v>0.3</v>
      </c>
      <c r="M36" s="940">
        <v>0.6</v>
      </c>
      <c r="O36" s="920">
        <v>88168</v>
      </c>
      <c r="P36" s="233">
        <v>96340</v>
      </c>
      <c r="Q36">
        <v>93903</v>
      </c>
      <c r="R36">
        <v>90290</v>
      </c>
      <c r="V36" s="343" t="s">
        <v>967</v>
      </c>
      <c r="W36" s="341">
        <f>ROUND(W35*W34,0)</f>
        <v>1287</v>
      </c>
      <c r="X36" s="153"/>
    </row>
    <row r="37" spans="1:24" x14ac:dyDescent="0.3">
      <c r="A37" s="306" t="s">
        <v>966</v>
      </c>
      <c r="B37" s="301" t="s">
        <v>940</v>
      </c>
      <c r="C37" s="298">
        <f>HLOOKUP($C$4,$O$11:$R$41,27,FALSE)</f>
        <v>93572</v>
      </c>
      <c r="D37" s="298">
        <f t="shared" si="0"/>
        <v>0</v>
      </c>
      <c r="E37" s="298">
        <f t="shared" si="1"/>
        <v>93572</v>
      </c>
      <c r="F37" s="298">
        <f t="shared" si="2"/>
        <v>11657.136</v>
      </c>
      <c r="G37" s="302">
        <f t="shared" si="3"/>
        <v>467.86</v>
      </c>
      <c r="H37" s="298">
        <f t="shared" si="4"/>
        <v>22251.421600000001</v>
      </c>
      <c r="I37" s="935">
        <f t="shared" si="5"/>
        <v>127948.4176</v>
      </c>
      <c r="J37" s="128">
        <v>1560</v>
      </c>
      <c r="K37" s="937">
        <f t="shared" si="6"/>
        <v>82.02</v>
      </c>
      <c r="L37" s="299">
        <v>0.3</v>
      </c>
      <c r="M37" s="940">
        <v>0.6</v>
      </c>
      <c r="O37" s="920">
        <v>93572</v>
      </c>
      <c r="P37" s="233">
        <v>101744</v>
      </c>
      <c r="Q37">
        <v>99307</v>
      </c>
      <c r="R37">
        <v>95694</v>
      </c>
      <c r="V37" s="155"/>
      <c r="W37" s="156"/>
      <c r="X37" s="157"/>
    </row>
    <row r="38" spans="1:24" x14ac:dyDescent="0.3">
      <c r="A38" s="306" t="s">
        <v>966</v>
      </c>
      <c r="B38" s="301" t="s">
        <v>941</v>
      </c>
      <c r="C38" s="298">
        <f>HLOOKUP($C$4,$O$11:$R$41,28,FALSE)</f>
        <v>101677</v>
      </c>
      <c r="D38" s="298">
        <f t="shared" si="0"/>
        <v>0</v>
      </c>
      <c r="E38" s="298">
        <f t="shared" si="1"/>
        <v>101677</v>
      </c>
      <c r="F38" s="298">
        <f t="shared" si="2"/>
        <v>12775.626</v>
      </c>
      <c r="G38" s="302">
        <f t="shared" si="3"/>
        <v>508.38499999999999</v>
      </c>
      <c r="H38" s="298">
        <f t="shared" si="4"/>
        <v>24178.7906</v>
      </c>
      <c r="I38" s="935">
        <f t="shared" si="5"/>
        <v>139139.80160000001</v>
      </c>
      <c r="J38" s="128">
        <v>1560</v>
      </c>
      <c r="K38" s="937">
        <f t="shared" si="6"/>
        <v>89.19</v>
      </c>
      <c r="L38" s="299">
        <v>0.3</v>
      </c>
      <c r="M38" s="940">
        <v>0.6</v>
      </c>
      <c r="O38" s="920">
        <v>101677</v>
      </c>
      <c r="P38" s="233">
        <v>109849</v>
      </c>
      <c r="Q38">
        <v>107412</v>
      </c>
      <c r="R38">
        <v>103799</v>
      </c>
    </row>
    <row r="39" spans="1:24" x14ac:dyDescent="0.3">
      <c r="A39" s="306">
        <v>9</v>
      </c>
      <c r="B39" s="301" t="s">
        <v>942</v>
      </c>
      <c r="C39" s="298">
        <f>HLOOKUP($C$4,$O$11:$R$41,29,FALSE)</f>
        <v>105385</v>
      </c>
      <c r="D39" s="298">
        <f t="shared" si="0"/>
        <v>0</v>
      </c>
      <c r="E39" s="298">
        <f t="shared" si="1"/>
        <v>105385</v>
      </c>
      <c r="F39" s="298">
        <f t="shared" si="2"/>
        <v>13287.330000000002</v>
      </c>
      <c r="G39" s="302">
        <f t="shared" si="3"/>
        <v>526.92499999999995</v>
      </c>
      <c r="H39" s="298">
        <f t="shared" si="4"/>
        <v>25060.553</v>
      </c>
      <c r="I39" s="935">
        <f t="shared" si="5"/>
        <v>144259.80800000002</v>
      </c>
      <c r="J39" s="128">
        <v>1560</v>
      </c>
      <c r="K39" s="937">
        <f t="shared" si="6"/>
        <v>92.47</v>
      </c>
      <c r="L39" s="299">
        <v>0.3</v>
      </c>
      <c r="M39" s="940">
        <v>0.6</v>
      </c>
      <c r="O39" s="920">
        <v>105385</v>
      </c>
      <c r="P39" s="233">
        <v>113557</v>
      </c>
      <c r="Q39">
        <v>111120</v>
      </c>
      <c r="R39">
        <v>107507</v>
      </c>
    </row>
    <row r="40" spans="1:24" x14ac:dyDescent="0.3">
      <c r="A40" s="306">
        <v>9</v>
      </c>
      <c r="B40" s="301" t="s">
        <v>943</v>
      </c>
      <c r="C40" s="298">
        <f>HLOOKUP($C$4,$O$11:$R$41,30,FALSE)</f>
        <v>111740</v>
      </c>
      <c r="D40" s="298">
        <f t="shared" si="0"/>
        <v>0</v>
      </c>
      <c r="E40" s="298">
        <f t="shared" si="1"/>
        <v>111740</v>
      </c>
      <c r="F40" s="298">
        <f t="shared" si="2"/>
        <v>14164.320000000002</v>
      </c>
      <c r="G40" s="302">
        <f t="shared" si="3"/>
        <v>558.70000000000005</v>
      </c>
      <c r="H40" s="298">
        <f t="shared" si="4"/>
        <v>26571.772000000001</v>
      </c>
      <c r="I40" s="935">
        <f t="shared" si="5"/>
        <v>153034.79200000002</v>
      </c>
      <c r="J40" s="128">
        <v>1560</v>
      </c>
      <c r="K40" s="937">
        <f t="shared" si="6"/>
        <v>98.1</v>
      </c>
      <c r="L40" s="299">
        <v>0.3</v>
      </c>
      <c r="M40" s="940">
        <v>0.6</v>
      </c>
      <c r="O40" s="920">
        <v>111740</v>
      </c>
      <c r="P40" s="233">
        <v>119912</v>
      </c>
      <c r="Q40">
        <v>117475</v>
      </c>
      <c r="R40">
        <v>113862</v>
      </c>
    </row>
    <row r="41" spans="1:24" x14ac:dyDescent="0.3">
      <c r="A41" s="306">
        <v>9</v>
      </c>
      <c r="B41" s="301" t="s">
        <v>944</v>
      </c>
      <c r="C41" s="298">
        <f>HLOOKUP($C$4,$O$11:$R$41,31,FALSE)</f>
        <v>121271</v>
      </c>
      <c r="D41" s="298">
        <f t="shared" si="0"/>
        <v>0</v>
      </c>
      <c r="E41" s="298">
        <f t="shared" si="1"/>
        <v>121271</v>
      </c>
      <c r="F41" s="298">
        <f t="shared" si="2"/>
        <v>15479.598000000002</v>
      </c>
      <c r="G41" s="302">
        <f t="shared" si="3"/>
        <v>606.35500000000002</v>
      </c>
      <c r="H41" s="298">
        <f t="shared" si="4"/>
        <v>28838.2438</v>
      </c>
      <c r="I41" s="935">
        <f t="shared" si="5"/>
        <v>166195.19680000001</v>
      </c>
      <c r="J41" s="128">
        <v>1560</v>
      </c>
      <c r="K41" s="937">
        <f t="shared" si="6"/>
        <v>106.54</v>
      </c>
      <c r="L41" s="299">
        <v>0.3</v>
      </c>
      <c r="M41" s="940">
        <v>0.6</v>
      </c>
      <c r="O41" s="920">
        <v>121271</v>
      </c>
      <c r="P41" s="233">
        <v>129443</v>
      </c>
      <c r="Q41">
        <v>127006</v>
      </c>
      <c r="R41">
        <v>123393</v>
      </c>
    </row>
    <row r="42" spans="1:24" x14ac:dyDescent="0.3">
      <c r="A42" s="306" t="s">
        <v>948</v>
      </c>
      <c r="B42" s="148" t="s">
        <v>1125</v>
      </c>
      <c r="C42" s="298">
        <v>73113</v>
      </c>
      <c r="D42" s="298">
        <f t="shared" si="0"/>
        <v>0</v>
      </c>
      <c r="E42" s="298">
        <f t="shared" si="1"/>
        <v>73113</v>
      </c>
      <c r="F42" s="298">
        <f t="shared" si="2"/>
        <v>8833.7939999999999</v>
      </c>
      <c r="G42" s="302">
        <f t="shared" si="3"/>
        <v>365.565</v>
      </c>
      <c r="H42" s="298">
        <f>C42*0.2068</f>
        <v>15119.768400000001</v>
      </c>
      <c r="I42" s="935">
        <f t="shared" si="5"/>
        <v>97432.127399999998</v>
      </c>
      <c r="J42" s="128">
        <f>W36</f>
        <v>1287</v>
      </c>
      <c r="K42" s="937">
        <f t="shared" si="6"/>
        <v>75.7</v>
      </c>
      <c r="L42" s="300">
        <v>0</v>
      </c>
      <c r="M42" s="941">
        <v>0</v>
      </c>
    </row>
    <row r="43" spans="1:24" x14ac:dyDescent="0.3">
      <c r="A43" s="306" t="s">
        <v>948</v>
      </c>
      <c r="B43" s="148" t="s">
        <v>1126</v>
      </c>
      <c r="C43" s="298">
        <f>(C42+C44)/2</f>
        <v>91721.5</v>
      </c>
      <c r="D43" s="298">
        <f t="shared" si="0"/>
        <v>0</v>
      </c>
      <c r="E43" s="298">
        <f t="shared" si="1"/>
        <v>91721.5</v>
      </c>
      <c r="F43" s="298">
        <f t="shared" si="2"/>
        <v>11401.767000000002</v>
      </c>
      <c r="G43" s="302">
        <f t="shared" si="3"/>
        <v>458.60750000000002</v>
      </c>
      <c r="H43" s="298">
        <f>C43*0.2068</f>
        <v>18968.0062</v>
      </c>
      <c r="I43" s="935">
        <f t="shared" si="5"/>
        <v>122549.88070000001</v>
      </c>
      <c r="J43" s="128">
        <f>W36</f>
        <v>1287</v>
      </c>
      <c r="K43" s="937">
        <f t="shared" si="6"/>
        <v>95.22</v>
      </c>
      <c r="L43" s="300">
        <v>0</v>
      </c>
      <c r="M43" s="941">
        <v>0</v>
      </c>
    </row>
    <row r="44" spans="1:24" x14ac:dyDescent="0.3">
      <c r="A44" s="942" t="s">
        <v>948</v>
      </c>
      <c r="B44" s="943" t="s">
        <v>1126</v>
      </c>
      <c r="C44" s="347">
        <v>110330</v>
      </c>
      <c r="D44" s="347">
        <f t="shared" si="0"/>
        <v>0</v>
      </c>
      <c r="E44" s="298">
        <f t="shared" si="1"/>
        <v>110330</v>
      </c>
      <c r="F44" s="298">
        <f t="shared" si="2"/>
        <v>13969.740000000002</v>
      </c>
      <c r="G44" s="302">
        <f t="shared" si="3"/>
        <v>551.65</v>
      </c>
      <c r="H44" s="347">
        <f>C44*0.2068</f>
        <v>22816.244000000002</v>
      </c>
      <c r="I44" s="935">
        <f t="shared" si="5"/>
        <v>147667.63399999999</v>
      </c>
      <c r="J44" s="128">
        <f>W36</f>
        <v>1287</v>
      </c>
      <c r="K44" s="937">
        <f t="shared" si="6"/>
        <v>114.74</v>
      </c>
      <c r="L44" s="300">
        <v>0</v>
      </c>
      <c r="M44" s="941">
        <v>0</v>
      </c>
    </row>
    <row r="45" spans="1:24" x14ac:dyDescent="0.3">
      <c r="A45" s="306" t="s">
        <v>945</v>
      </c>
      <c r="B45" s="148" t="s">
        <v>946</v>
      </c>
      <c r="C45" s="298">
        <v>105504</v>
      </c>
      <c r="D45" s="298">
        <f t="shared" si="0"/>
        <v>0</v>
      </c>
      <c r="E45" s="298">
        <f t="shared" si="1"/>
        <v>105504</v>
      </c>
      <c r="F45" s="298">
        <f t="shared" si="2"/>
        <v>13303.752</v>
      </c>
      <c r="G45" s="302">
        <f t="shared" si="3"/>
        <v>527.52</v>
      </c>
      <c r="H45" s="298">
        <f t="shared" si="4"/>
        <v>25088.851200000001</v>
      </c>
      <c r="I45" s="935">
        <f t="shared" si="5"/>
        <v>144424.1232</v>
      </c>
      <c r="J45" s="128">
        <v>1376</v>
      </c>
      <c r="K45" s="937">
        <f t="shared" si="6"/>
        <v>104.96</v>
      </c>
      <c r="L45" s="300">
        <v>0</v>
      </c>
      <c r="M45" s="941">
        <v>0</v>
      </c>
    </row>
    <row r="46" spans="1:24" x14ac:dyDescent="0.3">
      <c r="A46" s="306" t="s">
        <v>945</v>
      </c>
      <c r="B46" s="148" t="s">
        <v>734</v>
      </c>
      <c r="C46" s="298">
        <f>(4*114894+6*126018)/10</f>
        <v>121568.4</v>
      </c>
      <c r="D46" s="298">
        <f t="shared" si="0"/>
        <v>0</v>
      </c>
      <c r="E46" s="298">
        <f t="shared" si="1"/>
        <v>121568.4</v>
      </c>
      <c r="F46" s="298">
        <f t="shared" si="2"/>
        <v>15520.6392</v>
      </c>
      <c r="G46" s="302">
        <f t="shared" si="3"/>
        <v>607.84199999999998</v>
      </c>
      <c r="H46" s="298">
        <f t="shared" si="4"/>
        <v>28908.965520000002</v>
      </c>
      <c r="I46" s="935">
        <f t="shared" si="5"/>
        <v>166605.84672</v>
      </c>
      <c r="J46" s="128">
        <v>1376</v>
      </c>
      <c r="K46" s="937">
        <f t="shared" si="6"/>
        <v>121.08</v>
      </c>
      <c r="L46" s="300">
        <v>0</v>
      </c>
      <c r="M46" s="941">
        <v>0</v>
      </c>
    </row>
    <row r="47" spans="1:24" ht="15" thickBot="1" x14ac:dyDescent="0.35">
      <c r="A47" s="307" t="s">
        <v>945</v>
      </c>
      <c r="B47" s="303" t="s">
        <v>947</v>
      </c>
      <c r="C47" s="304">
        <v>139882</v>
      </c>
      <c r="D47" s="304">
        <f t="shared" si="0"/>
        <v>0</v>
      </c>
      <c r="E47" s="304">
        <f t="shared" si="1"/>
        <v>139882</v>
      </c>
      <c r="F47" s="304">
        <f t="shared" si="2"/>
        <v>18047.916000000001</v>
      </c>
      <c r="G47" s="944">
        <f t="shared" si="3"/>
        <v>699.41</v>
      </c>
      <c r="H47" s="304">
        <f t="shared" si="4"/>
        <v>33263.939600000005</v>
      </c>
      <c r="I47" s="305">
        <f t="shared" si="5"/>
        <v>191893.26560000001</v>
      </c>
      <c r="J47" s="945">
        <v>1376</v>
      </c>
      <c r="K47" s="946">
        <f t="shared" si="6"/>
        <v>139.46</v>
      </c>
      <c r="L47" s="947">
        <v>0</v>
      </c>
      <c r="M47" s="948">
        <v>0</v>
      </c>
    </row>
    <row r="96" ht="23.55" customHeight="1" x14ac:dyDescent="0.3"/>
    <row r="97" ht="55.5" customHeight="1" x14ac:dyDescent="0.3"/>
    <row r="98" ht="23.55" customHeight="1" x14ac:dyDescent="0.3"/>
    <row r="99" ht="23.55" customHeight="1" x14ac:dyDescent="0.3"/>
    <row r="100" ht="23.55" customHeight="1" x14ac:dyDescent="0.3"/>
    <row r="101" ht="23.55" customHeight="1" x14ac:dyDescent="0.3"/>
    <row r="102" ht="23.55" customHeight="1" x14ac:dyDescent="0.3"/>
  </sheetData>
  <sheetProtection algorithmName="SHA-512" hashValue="kBqCefAQHQfa04TfgGm+NZik/SZ/g7qfPXCZd3/3A1OfPiYeUaTX0hti6KmdCbli9OG1YMvABaX7D8VjEkFHOA==" saltValue="lKYYAO3X8BuSqJtdANjeLw==" spinCount="100000" sheet="1" objects="1" scenarios="1"/>
  <dataValidations count="1">
    <dataValidation type="list" allowBlank="1" showInputMessage="1" showErrorMessage="1" sqref="C4" xr:uid="{4964EB02-E555-4FD1-92E9-FCF28F704DF5}">
      <formula1>$S$14:$S$17</formula1>
    </dataValidation>
  </dataValidations>
  <pageMargins left="0.7" right="0.7" top="0.75" bottom="0.75" header="0.3" footer="0.3"/>
  <pageSetup paperSize="9" scale="36"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4A5AA-B698-4FD1-92C6-793E4469F48E}">
  <dimension ref="A1:U44"/>
  <sheetViews>
    <sheetView zoomScale="80" zoomScaleNormal="80" workbookViewId="0"/>
  </sheetViews>
  <sheetFormatPr defaultColWidth="10.21875" defaultRowHeight="14.4" x14ac:dyDescent="0.3"/>
  <cols>
    <col min="1" max="1" width="34.77734375" style="674" bestFit="1" customWidth="1"/>
    <col min="2" max="5" width="24.5546875" style="690" customWidth="1"/>
    <col min="6" max="6" width="35.44140625" style="690" customWidth="1"/>
    <col min="7" max="9" width="34.21875" style="690" customWidth="1"/>
    <col min="10" max="10" width="24.5546875" style="690" customWidth="1"/>
    <col min="11" max="11" width="15.5546875" style="690" customWidth="1"/>
    <col min="12" max="13" width="24.5546875" style="690" customWidth="1"/>
    <col min="14" max="16" width="21" style="674" customWidth="1"/>
    <col min="17" max="17" width="11.21875" style="674" customWidth="1"/>
    <col min="18" max="18" width="10.21875" style="674" customWidth="1"/>
    <col min="19" max="19" width="13.77734375" style="674" customWidth="1"/>
    <col min="20" max="20" width="17.77734375" style="674" customWidth="1"/>
    <col min="21" max="16384" width="10.21875" style="674"/>
  </cols>
  <sheetData>
    <row r="1" spans="1:21" s="668" customFormat="1" ht="92.25" customHeight="1" x14ac:dyDescent="0.3">
      <c r="A1" s="665" t="s">
        <v>968</v>
      </c>
      <c r="B1" s="665" t="s">
        <v>969</v>
      </c>
      <c r="C1" s="665" t="s">
        <v>970</v>
      </c>
      <c r="D1" s="665" t="s">
        <v>971</v>
      </c>
      <c r="E1" s="665" t="s">
        <v>972</v>
      </c>
      <c r="F1" s="665" t="s">
        <v>973</v>
      </c>
      <c r="G1" s="665" t="s">
        <v>974</v>
      </c>
      <c r="H1" s="665" t="s">
        <v>975</v>
      </c>
      <c r="I1" s="665" t="s">
        <v>976</v>
      </c>
      <c r="J1" s="665" t="s">
        <v>977</v>
      </c>
      <c r="K1" s="665" t="s">
        <v>977</v>
      </c>
      <c r="L1" s="665" t="s">
        <v>978</v>
      </c>
      <c r="M1" s="665" t="s">
        <v>979</v>
      </c>
      <c r="N1" s="666"/>
      <c r="O1" s="666"/>
      <c r="P1" s="666"/>
      <c r="Q1" s="666"/>
      <c r="R1" s="667" t="s">
        <v>980</v>
      </c>
      <c r="S1" s="667" t="s">
        <v>981</v>
      </c>
      <c r="T1" s="667" t="s">
        <v>982</v>
      </c>
    </row>
    <row r="2" spans="1:21" x14ac:dyDescent="0.3">
      <c r="A2" s="669" t="s">
        <v>234</v>
      </c>
      <c r="B2" s="670">
        <v>819150.52470563306</v>
      </c>
      <c r="C2" s="670">
        <f>0.1*B2</f>
        <v>81915.052470563314</v>
      </c>
      <c r="D2" s="670">
        <f>C2*0.83</f>
        <v>67989.493550567553</v>
      </c>
      <c r="E2" s="670">
        <f>D2*0.9</f>
        <v>61190.544195510796</v>
      </c>
      <c r="F2" s="670">
        <f>E2*0.62</f>
        <v>37938.137401216693</v>
      </c>
      <c r="G2" s="670">
        <f>E2*0.06</f>
        <v>3671.4326517306476</v>
      </c>
      <c r="H2" s="670">
        <f>G2*0.33</f>
        <v>1211.5727750711137</v>
      </c>
      <c r="I2" s="670">
        <v>1453</v>
      </c>
      <c r="J2" s="702" t="s">
        <v>983</v>
      </c>
      <c r="K2" s="702">
        <f>VALUE(J2)</f>
        <v>11613</v>
      </c>
      <c r="L2" s="671" t="s">
        <v>984</v>
      </c>
      <c r="M2">
        <v>3</v>
      </c>
      <c r="N2" s="672"/>
      <c r="O2" s="672"/>
      <c r="P2" s="672"/>
      <c r="Q2" s="673"/>
      <c r="R2" t="s">
        <v>985</v>
      </c>
      <c r="S2" s="674">
        <v>2.7</v>
      </c>
      <c r="T2" s="675">
        <v>3.7999999999999999E-2</v>
      </c>
      <c r="U2"/>
    </row>
    <row r="3" spans="1:21" x14ac:dyDescent="0.3">
      <c r="A3" s="669" t="s">
        <v>235</v>
      </c>
      <c r="B3" s="670">
        <v>865515.81939429278</v>
      </c>
      <c r="C3" s="670">
        <f t="shared" ref="C3:C43" si="0">0.1*B3</f>
        <v>86551.581939429278</v>
      </c>
      <c r="D3" s="670">
        <f t="shared" ref="D3:D43" si="1">C3*0.83</f>
        <v>71837.813009726291</v>
      </c>
      <c r="E3" s="670">
        <f t="shared" ref="E3:E43" si="2">D3*0.9</f>
        <v>64654.03170875366</v>
      </c>
      <c r="F3" s="670">
        <f t="shared" ref="F3:F43" si="3">E3*0.62</f>
        <v>40085.499659427267</v>
      </c>
      <c r="G3" s="670">
        <f t="shared" ref="G3:G43" si="4">E3*0.06</f>
        <v>3879.2419025252193</v>
      </c>
      <c r="H3" s="670">
        <f t="shared" ref="H3:H43" si="5">G3*0.33</f>
        <v>1280.1498278333224</v>
      </c>
      <c r="I3" s="670">
        <v>627.66666666666663</v>
      </c>
      <c r="J3" s="702" t="s">
        <v>986</v>
      </c>
      <c r="K3" s="702">
        <f t="shared" ref="K3:K43" si="6">VALUE(J3)</f>
        <v>7911</v>
      </c>
      <c r="L3" s="671" t="s">
        <v>987</v>
      </c>
      <c r="M3">
        <v>3.9</v>
      </c>
      <c r="N3" s="676"/>
      <c r="O3" s="676"/>
      <c r="P3" s="676"/>
      <c r="Q3" s="677"/>
      <c r="R3" t="s">
        <v>988</v>
      </c>
      <c r="S3" s="674">
        <v>2.7</v>
      </c>
      <c r="T3" s="675">
        <v>3.7999999999999999E-2</v>
      </c>
      <c r="U3"/>
    </row>
    <row r="4" spans="1:21" x14ac:dyDescent="0.3">
      <c r="A4" s="669" t="s">
        <v>236</v>
      </c>
      <c r="B4" s="670">
        <v>1270230.9742858857</v>
      </c>
      <c r="C4" s="670">
        <f t="shared" si="0"/>
        <v>127023.09742858857</v>
      </c>
      <c r="D4" s="670">
        <f t="shared" si="1"/>
        <v>105429.17086572851</v>
      </c>
      <c r="E4" s="670">
        <f t="shared" si="2"/>
        <v>94886.253779155653</v>
      </c>
      <c r="F4" s="670">
        <f t="shared" si="3"/>
        <v>58829.477343076505</v>
      </c>
      <c r="G4" s="670">
        <f t="shared" si="4"/>
        <v>5693.1752267493393</v>
      </c>
      <c r="H4" s="670">
        <f t="shared" si="5"/>
        <v>1878.7478248272821</v>
      </c>
      <c r="I4" s="670">
        <v>304</v>
      </c>
      <c r="J4" s="702" t="s">
        <v>989</v>
      </c>
      <c r="K4" s="702">
        <f t="shared" si="6"/>
        <v>11430</v>
      </c>
      <c r="L4" s="671" t="s">
        <v>990</v>
      </c>
      <c r="M4">
        <v>4.5</v>
      </c>
      <c r="N4" s="672"/>
      <c r="O4" s="672"/>
      <c r="P4" s="672"/>
      <c r="Q4" s="673"/>
      <c r="R4" t="s">
        <v>991</v>
      </c>
      <c r="S4" s="674">
        <v>2.7</v>
      </c>
      <c r="T4" s="675">
        <v>3.7999999999999999E-2</v>
      </c>
      <c r="U4"/>
    </row>
    <row r="5" spans="1:21" x14ac:dyDescent="0.3">
      <c r="A5" s="669" t="s">
        <v>237</v>
      </c>
      <c r="B5" s="670">
        <v>1036231.18064471</v>
      </c>
      <c r="C5" s="670">
        <f t="shared" si="0"/>
        <v>103623.118064471</v>
      </c>
      <c r="D5" s="670">
        <f t="shared" si="1"/>
        <v>86007.187993510917</v>
      </c>
      <c r="E5" s="670">
        <f t="shared" si="2"/>
        <v>77406.469194159828</v>
      </c>
      <c r="F5" s="670">
        <f t="shared" si="3"/>
        <v>47992.010900379093</v>
      </c>
      <c r="G5" s="670">
        <f t="shared" si="4"/>
        <v>4644.3881516495894</v>
      </c>
      <c r="H5" s="670">
        <f t="shared" si="5"/>
        <v>1532.6480900443646</v>
      </c>
      <c r="I5" s="670">
        <v>1607.6666666666667</v>
      </c>
      <c r="J5" s="702" t="s">
        <v>992</v>
      </c>
      <c r="K5" s="702">
        <f t="shared" si="6"/>
        <v>11597</v>
      </c>
      <c r="L5" s="671" t="s">
        <v>993</v>
      </c>
      <c r="M5">
        <v>3.9</v>
      </c>
      <c r="N5" s="676"/>
      <c r="O5" s="676"/>
      <c r="P5" s="676"/>
      <c r="Q5" s="677"/>
      <c r="R5" t="s">
        <v>994</v>
      </c>
      <c r="S5" s="674">
        <v>2.7</v>
      </c>
      <c r="T5" s="675">
        <v>3.7999999999999999E-2</v>
      </c>
      <c r="U5"/>
    </row>
    <row r="6" spans="1:21" x14ac:dyDescent="0.3">
      <c r="A6" s="669" t="s">
        <v>238</v>
      </c>
      <c r="B6" s="670">
        <v>886598.52429663891</v>
      </c>
      <c r="C6" s="670">
        <f t="shared" si="0"/>
        <v>88659.852429663893</v>
      </c>
      <c r="D6" s="670">
        <f t="shared" si="1"/>
        <v>73587.677516621028</v>
      </c>
      <c r="E6" s="670">
        <f t="shared" si="2"/>
        <v>66228.909764958924</v>
      </c>
      <c r="F6" s="670">
        <f t="shared" si="3"/>
        <v>41061.924054274532</v>
      </c>
      <c r="G6" s="670">
        <f t="shared" si="4"/>
        <v>3973.7345858975355</v>
      </c>
      <c r="H6" s="670">
        <f t="shared" si="5"/>
        <v>1311.3324133461867</v>
      </c>
      <c r="I6" s="670">
        <v>647</v>
      </c>
      <c r="J6" s="702" t="s">
        <v>995</v>
      </c>
      <c r="K6" s="702">
        <f t="shared" si="6"/>
        <v>12063</v>
      </c>
      <c r="L6" s="671" t="s">
        <v>996</v>
      </c>
      <c r="M6">
        <v>4</v>
      </c>
      <c r="N6" s="672"/>
      <c r="O6" s="672"/>
      <c r="P6" s="672"/>
      <c r="Q6" s="673"/>
      <c r="R6" t="s">
        <v>997</v>
      </c>
      <c r="S6" s="674">
        <v>2.7</v>
      </c>
      <c r="T6" s="675">
        <v>3.7999999999999999E-2</v>
      </c>
      <c r="U6"/>
    </row>
    <row r="7" spans="1:21" x14ac:dyDescent="0.3">
      <c r="A7" s="669" t="s">
        <v>239</v>
      </c>
      <c r="B7" s="670">
        <v>1608644.3926508017</v>
      </c>
      <c r="C7" s="670">
        <f t="shared" si="0"/>
        <v>160864.43926508017</v>
      </c>
      <c r="D7" s="670">
        <f t="shared" si="1"/>
        <v>133517.48459001654</v>
      </c>
      <c r="E7" s="670">
        <f t="shared" si="2"/>
        <v>120165.73613101488</v>
      </c>
      <c r="F7" s="670">
        <f t="shared" si="3"/>
        <v>74502.756401229228</v>
      </c>
      <c r="G7" s="670">
        <f t="shared" si="4"/>
        <v>7209.9441678608928</v>
      </c>
      <c r="H7" s="670">
        <f t="shared" si="5"/>
        <v>2379.2815753940949</v>
      </c>
      <c r="I7" s="670">
        <v>1439.3333333333333</v>
      </c>
      <c r="J7" s="702" t="s">
        <v>998</v>
      </c>
      <c r="K7" s="702">
        <f t="shared" si="6"/>
        <v>8499</v>
      </c>
      <c r="L7" s="671" t="s">
        <v>999</v>
      </c>
      <c r="M7">
        <v>3.9</v>
      </c>
      <c r="N7" s="672"/>
      <c r="O7" s="672"/>
      <c r="P7" s="672"/>
      <c r="Q7" s="673"/>
      <c r="R7" t="s">
        <v>1000</v>
      </c>
      <c r="S7" s="674">
        <v>2.7</v>
      </c>
      <c r="T7" s="675">
        <v>3.7999999999999999E-2</v>
      </c>
      <c r="U7"/>
    </row>
    <row r="8" spans="1:21" x14ac:dyDescent="0.3">
      <c r="A8" s="669" t="s">
        <v>240</v>
      </c>
      <c r="B8" s="670">
        <v>839919.63068739115</v>
      </c>
      <c r="C8" s="670">
        <f t="shared" si="0"/>
        <v>83991.963068739118</v>
      </c>
      <c r="D8" s="670">
        <f t="shared" si="1"/>
        <v>69713.32934705347</v>
      </c>
      <c r="E8" s="670">
        <f t="shared" si="2"/>
        <v>62741.996412348126</v>
      </c>
      <c r="F8" s="670">
        <f t="shared" si="3"/>
        <v>38900.037775655837</v>
      </c>
      <c r="G8" s="670">
        <f t="shared" si="4"/>
        <v>3764.5197847408872</v>
      </c>
      <c r="H8" s="670">
        <f t="shared" si="5"/>
        <v>1242.2915289644927</v>
      </c>
      <c r="I8" s="670">
        <v>681</v>
      </c>
      <c r="J8" s="702" t="s">
        <v>1001</v>
      </c>
      <c r="K8" s="702">
        <f t="shared" si="6"/>
        <v>6162</v>
      </c>
      <c r="L8" s="671" t="s">
        <v>999</v>
      </c>
      <c r="M8">
        <v>3.7</v>
      </c>
      <c r="N8" s="672"/>
      <c r="O8" s="672"/>
      <c r="P8" s="672"/>
      <c r="Q8" s="673"/>
      <c r="R8" t="s">
        <v>1002</v>
      </c>
      <c r="S8" s="674">
        <v>2.7</v>
      </c>
      <c r="T8" s="675">
        <v>3.7999999999999999E-2</v>
      </c>
      <c r="U8"/>
    </row>
    <row r="9" spans="1:21" x14ac:dyDescent="0.3">
      <c r="A9" s="669" t="s">
        <v>241</v>
      </c>
      <c r="B9" s="670">
        <v>2277780.9226861801</v>
      </c>
      <c r="C9" s="670">
        <f t="shared" si="0"/>
        <v>227778.09226861803</v>
      </c>
      <c r="D9" s="670">
        <f t="shared" si="1"/>
        <v>189055.81658295295</v>
      </c>
      <c r="E9" s="670">
        <f t="shared" si="2"/>
        <v>170150.23492465765</v>
      </c>
      <c r="F9" s="670">
        <f t="shared" si="3"/>
        <v>105493.14565328773</v>
      </c>
      <c r="G9" s="670">
        <f t="shared" si="4"/>
        <v>10209.014095479459</v>
      </c>
      <c r="H9" s="670">
        <f t="shared" si="5"/>
        <v>3368.9746515082215</v>
      </c>
      <c r="I9" s="670">
        <v>2077</v>
      </c>
      <c r="J9" s="702" t="s">
        <v>1003</v>
      </c>
      <c r="K9" s="702">
        <f t="shared" si="6"/>
        <v>10565</v>
      </c>
      <c r="L9" s="671" t="s">
        <v>1004</v>
      </c>
      <c r="M9">
        <v>3.6</v>
      </c>
      <c r="N9" s="672"/>
      <c r="O9" s="672"/>
      <c r="P9" s="672"/>
      <c r="Q9" s="673"/>
      <c r="R9" t="s">
        <v>1005</v>
      </c>
      <c r="S9" s="674">
        <v>2.7</v>
      </c>
      <c r="T9" s="675">
        <v>3.7999999999999999E-2</v>
      </c>
      <c r="U9"/>
    </row>
    <row r="10" spans="1:21" s="678" customFormat="1" x14ac:dyDescent="0.3">
      <c r="A10" s="669" t="s">
        <v>242</v>
      </c>
      <c r="B10" s="670">
        <v>512959.52765106352</v>
      </c>
      <c r="C10" s="670">
        <f t="shared" si="0"/>
        <v>51295.952765106354</v>
      </c>
      <c r="D10" s="670">
        <f t="shared" si="1"/>
        <v>42575.640795038271</v>
      </c>
      <c r="E10" s="670">
        <f t="shared" si="2"/>
        <v>38318.076715534444</v>
      </c>
      <c r="F10" s="670">
        <f t="shared" si="3"/>
        <v>23757.207563631357</v>
      </c>
      <c r="G10" s="670">
        <f t="shared" si="4"/>
        <v>2299.0846029320664</v>
      </c>
      <c r="H10" s="670">
        <f t="shared" si="5"/>
        <v>758.69791896758193</v>
      </c>
      <c r="I10" s="670">
        <v>388</v>
      </c>
      <c r="J10" s="702" t="s">
        <v>1006</v>
      </c>
      <c r="K10" s="702">
        <f t="shared" si="6"/>
        <v>10065</v>
      </c>
      <c r="L10" s="671" t="s">
        <v>1007</v>
      </c>
      <c r="M10">
        <v>2.7</v>
      </c>
      <c r="N10" s="672"/>
      <c r="O10" s="672"/>
      <c r="P10" s="672"/>
      <c r="Q10" s="673"/>
      <c r="R10" t="s">
        <v>1008</v>
      </c>
      <c r="S10" s="674">
        <v>2.7</v>
      </c>
      <c r="T10" s="675">
        <v>3.7999999999999999E-2</v>
      </c>
      <c r="U10"/>
    </row>
    <row r="11" spans="1:21" s="678" customFormat="1" x14ac:dyDescent="0.3">
      <c r="A11" s="669" t="s">
        <v>243</v>
      </c>
      <c r="B11" s="679">
        <v>878060.82751439349</v>
      </c>
      <c r="C11" s="670">
        <f t="shared" si="0"/>
        <v>87806.08275143936</v>
      </c>
      <c r="D11" s="670">
        <f t="shared" si="1"/>
        <v>72879.048683694666</v>
      </c>
      <c r="E11" s="670">
        <f t="shared" si="2"/>
        <v>65591.143815325195</v>
      </c>
      <c r="F11" s="670">
        <f t="shared" si="3"/>
        <v>40666.509165501622</v>
      </c>
      <c r="G11" s="670">
        <f t="shared" si="4"/>
        <v>3935.4686289195115</v>
      </c>
      <c r="H11" s="670">
        <f t="shared" si="5"/>
        <v>1298.7046475434388</v>
      </c>
      <c r="I11" s="679">
        <v>1505.3333333333333</v>
      </c>
      <c r="J11" s="702" t="s">
        <v>1009</v>
      </c>
      <c r="K11" s="702">
        <f t="shared" si="6"/>
        <v>11604</v>
      </c>
      <c r="L11" s="671" t="s">
        <v>1010</v>
      </c>
      <c r="M11">
        <v>2.6</v>
      </c>
      <c r="N11" s="680"/>
      <c r="O11" s="680"/>
      <c r="P11" s="680"/>
      <c r="Q11" s="681"/>
      <c r="R11" t="s">
        <v>1011</v>
      </c>
      <c r="S11" s="674">
        <v>2.7</v>
      </c>
      <c r="T11" s="675">
        <v>3.7999999999999999E-2</v>
      </c>
      <c r="U11"/>
    </row>
    <row r="12" spans="1:21" x14ac:dyDescent="0.3">
      <c r="A12" s="669" t="s">
        <v>244</v>
      </c>
      <c r="B12" s="682">
        <v>932629.60497904697</v>
      </c>
      <c r="C12" s="670">
        <f t="shared" si="0"/>
        <v>93262.9604979047</v>
      </c>
      <c r="D12" s="670">
        <f t="shared" si="1"/>
        <v>77408.257213260891</v>
      </c>
      <c r="E12" s="670">
        <f t="shared" si="2"/>
        <v>69667.431491934811</v>
      </c>
      <c r="F12" s="670">
        <f t="shared" si="3"/>
        <v>43193.807524999582</v>
      </c>
      <c r="G12" s="670">
        <f t="shared" si="4"/>
        <v>4180.0458895160882</v>
      </c>
      <c r="H12" s="670">
        <f t="shared" si="5"/>
        <v>1379.4151435403091</v>
      </c>
      <c r="I12" s="682">
        <v>1352.3333333333333</v>
      </c>
      <c r="J12" s="702" t="s">
        <v>1012</v>
      </c>
      <c r="K12" s="702">
        <f t="shared" si="6"/>
        <v>10955</v>
      </c>
      <c r="L12" s="671" t="s">
        <v>1013</v>
      </c>
      <c r="M12">
        <v>4.0999999999999996</v>
      </c>
      <c r="N12" s="683"/>
      <c r="O12" s="683"/>
      <c r="P12" s="683"/>
      <c r="Q12" s="684"/>
      <c r="R12" t="s">
        <v>1014</v>
      </c>
      <c r="S12" s="674">
        <v>2.7</v>
      </c>
      <c r="T12" s="675">
        <v>3.7999999999999999E-2</v>
      </c>
      <c r="U12"/>
    </row>
    <row r="13" spans="1:21" x14ac:dyDescent="0.3">
      <c r="A13" s="669" t="s">
        <v>245</v>
      </c>
      <c r="B13" s="682">
        <v>1085769.2835649936</v>
      </c>
      <c r="C13" s="670">
        <f t="shared" si="0"/>
        <v>108576.92835649937</v>
      </c>
      <c r="D13" s="670">
        <f t="shared" si="1"/>
        <v>90118.850535894468</v>
      </c>
      <c r="E13" s="670">
        <f t="shared" si="2"/>
        <v>81106.965482305022</v>
      </c>
      <c r="F13" s="670">
        <f t="shared" si="3"/>
        <v>50286.318599029117</v>
      </c>
      <c r="G13" s="670">
        <f t="shared" si="4"/>
        <v>4866.417928938301</v>
      </c>
      <c r="H13" s="670">
        <f t="shared" si="5"/>
        <v>1605.9179165496394</v>
      </c>
      <c r="I13" s="682">
        <v>1141</v>
      </c>
      <c r="J13" s="702" t="s">
        <v>1015</v>
      </c>
      <c r="K13" s="702">
        <f t="shared" si="6"/>
        <v>11681</v>
      </c>
      <c r="L13" s="671" t="s">
        <v>1016</v>
      </c>
      <c r="M13">
        <v>2</v>
      </c>
      <c r="N13" s="685"/>
      <c r="O13" s="685"/>
      <c r="P13" s="685"/>
      <c r="Q13" s="686"/>
      <c r="R13" t="s">
        <v>1017</v>
      </c>
      <c r="S13" s="674">
        <v>2.7</v>
      </c>
      <c r="T13" s="675">
        <v>3.7999999999999999E-2</v>
      </c>
      <c r="U13"/>
    </row>
    <row r="14" spans="1:21" x14ac:dyDescent="0.3">
      <c r="A14" s="669" t="s">
        <v>246</v>
      </c>
      <c r="B14" s="682">
        <v>702690.44459568686</v>
      </c>
      <c r="C14" s="670">
        <f t="shared" si="0"/>
        <v>70269.044459568686</v>
      </c>
      <c r="D14" s="670">
        <f t="shared" si="1"/>
        <v>58323.306901442003</v>
      </c>
      <c r="E14" s="670">
        <f t="shared" si="2"/>
        <v>52490.976211297806</v>
      </c>
      <c r="F14" s="670">
        <f t="shared" si="3"/>
        <v>32544.405251004639</v>
      </c>
      <c r="G14" s="670">
        <f t="shared" si="4"/>
        <v>3149.4585726778682</v>
      </c>
      <c r="H14" s="670">
        <f t="shared" si="5"/>
        <v>1039.3213289836965</v>
      </c>
      <c r="I14" s="682">
        <v>846</v>
      </c>
      <c r="J14" s="702" t="s">
        <v>1018</v>
      </c>
      <c r="K14" s="702">
        <f t="shared" si="6"/>
        <v>8339</v>
      </c>
      <c r="L14" s="671" t="s">
        <v>1019</v>
      </c>
      <c r="M14">
        <v>3.8</v>
      </c>
      <c r="N14" s="685"/>
      <c r="O14" s="685"/>
      <c r="P14" s="685"/>
      <c r="Q14" s="686"/>
      <c r="R14" t="s">
        <v>1020</v>
      </c>
      <c r="S14" s="674">
        <v>2.7</v>
      </c>
      <c r="T14" s="675">
        <v>3.7999999999999999E-2</v>
      </c>
      <c r="U14"/>
    </row>
    <row r="15" spans="1:21" x14ac:dyDescent="0.3">
      <c r="A15" s="669" t="s">
        <v>247</v>
      </c>
      <c r="B15" s="682">
        <v>661657.97681094334</v>
      </c>
      <c r="C15" s="670">
        <f t="shared" si="0"/>
        <v>66165.797681094336</v>
      </c>
      <c r="D15" s="670">
        <f t="shared" si="1"/>
        <v>54917.612075308294</v>
      </c>
      <c r="E15" s="670">
        <f t="shared" si="2"/>
        <v>49425.850867777466</v>
      </c>
      <c r="F15" s="670">
        <f t="shared" si="3"/>
        <v>30644.02753802203</v>
      </c>
      <c r="G15" s="670">
        <f t="shared" si="4"/>
        <v>2965.551052066648</v>
      </c>
      <c r="H15" s="670">
        <f t="shared" si="5"/>
        <v>978.63184718199386</v>
      </c>
      <c r="I15" s="682">
        <v>986</v>
      </c>
      <c r="J15" s="687">
        <v>3553</v>
      </c>
      <c r="K15" s="702">
        <f t="shared" si="6"/>
        <v>3553</v>
      </c>
      <c r="L15" s="671" t="s">
        <v>1021</v>
      </c>
      <c r="M15">
        <v>3</v>
      </c>
      <c r="N15" s="685"/>
      <c r="O15" s="685"/>
      <c r="P15" s="685"/>
      <c r="Q15" s="686"/>
      <c r="R15" t="s">
        <v>1022</v>
      </c>
      <c r="S15" s="674">
        <v>2.7</v>
      </c>
      <c r="T15" s="675">
        <v>3.7999999999999999E-2</v>
      </c>
    </row>
    <row r="16" spans="1:21" x14ac:dyDescent="0.3">
      <c r="A16" s="669" t="s">
        <v>248</v>
      </c>
      <c r="B16" s="682">
        <v>568568.38269390259</v>
      </c>
      <c r="C16" s="670">
        <f t="shared" si="0"/>
        <v>56856.83826939026</v>
      </c>
      <c r="D16" s="670">
        <f t="shared" si="1"/>
        <v>47191.175763593914</v>
      </c>
      <c r="E16" s="670">
        <f t="shared" si="2"/>
        <v>42472.058187234521</v>
      </c>
      <c r="F16" s="670">
        <f t="shared" si="3"/>
        <v>26332.676076085401</v>
      </c>
      <c r="G16" s="670">
        <f t="shared" si="4"/>
        <v>2548.3234912340713</v>
      </c>
      <c r="H16" s="670">
        <f t="shared" si="5"/>
        <v>840.94675210724358</v>
      </c>
      <c r="I16" s="682">
        <v>691.33333333333337</v>
      </c>
      <c r="J16" s="702" t="s">
        <v>1023</v>
      </c>
      <c r="K16" s="702">
        <f t="shared" si="6"/>
        <v>9093</v>
      </c>
      <c r="L16" s="671" t="s">
        <v>1024</v>
      </c>
      <c r="M16">
        <v>4.0999999999999996</v>
      </c>
      <c r="N16" s="685"/>
      <c r="O16" s="685"/>
      <c r="P16" s="685"/>
      <c r="Q16" s="686"/>
      <c r="R16" t="s">
        <v>1025</v>
      </c>
      <c r="S16" s="674">
        <v>2.7</v>
      </c>
      <c r="T16" s="675">
        <v>3.7999999999999999E-2</v>
      </c>
      <c r="U16"/>
    </row>
    <row r="17" spans="1:21" x14ac:dyDescent="0.3">
      <c r="A17" s="669" t="s">
        <v>249</v>
      </c>
      <c r="B17" s="682">
        <v>2572022.6099151829</v>
      </c>
      <c r="C17" s="670">
        <f t="shared" si="0"/>
        <v>257202.2609915183</v>
      </c>
      <c r="D17" s="670">
        <f t="shared" si="1"/>
        <v>213477.87662296018</v>
      </c>
      <c r="E17" s="670">
        <f t="shared" si="2"/>
        <v>192130.08896066417</v>
      </c>
      <c r="F17" s="670">
        <f t="shared" si="3"/>
        <v>119120.65515561179</v>
      </c>
      <c r="G17" s="670">
        <f t="shared" si="4"/>
        <v>11527.805337639849</v>
      </c>
      <c r="H17" s="670">
        <f t="shared" si="5"/>
        <v>3804.1757614211506</v>
      </c>
      <c r="I17" s="682">
        <v>3079.6666666666665</v>
      </c>
      <c r="J17" s="702" t="s">
        <v>1026</v>
      </c>
      <c r="K17" s="702">
        <f t="shared" si="6"/>
        <v>9353</v>
      </c>
      <c r="L17" s="671" t="s">
        <v>1027</v>
      </c>
      <c r="M17">
        <v>3.5</v>
      </c>
      <c r="N17" s="685"/>
      <c r="O17" s="685"/>
      <c r="P17" s="685"/>
      <c r="Q17" s="686"/>
      <c r="R17" t="s">
        <v>1028</v>
      </c>
      <c r="S17" s="674">
        <v>2.7</v>
      </c>
      <c r="T17" s="675">
        <v>3.7999999999999999E-2</v>
      </c>
      <c r="U17"/>
    </row>
    <row r="18" spans="1:21" x14ac:dyDescent="0.3">
      <c r="A18" s="669" t="s">
        <v>250</v>
      </c>
      <c r="B18" s="682">
        <v>1611990.6364608002</v>
      </c>
      <c r="C18" s="670">
        <f t="shared" si="0"/>
        <v>161199.06364608003</v>
      </c>
      <c r="D18" s="670">
        <f t="shared" si="1"/>
        <v>133795.22282624641</v>
      </c>
      <c r="E18" s="670">
        <f t="shared" si="2"/>
        <v>120415.70054362177</v>
      </c>
      <c r="F18" s="670">
        <f t="shared" si="3"/>
        <v>74657.734337045506</v>
      </c>
      <c r="G18" s="670">
        <f t="shared" si="4"/>
        <v>7224.9420326173058</v>
      </c>
      <c r="H18" s="670">
        <f t="shared" si="5"/>
        <v>2384.2308707637112</v>
      </c>
      <c r="I18" s="682">
        <v>1671.6666666666667</v>
      </c>
      <c r="J18" s="702" t="s">
        <v>1029</v>
      </c>
      <c r="K18" s="702">
        <f t="shared" si="6"/>
        <v>8608</v>
      </c>
      <c r="L18" s="671" t="s">
        <v>1021</v>
      </c>
      <c r="M18">
        <v>3.4</v>
      </c>
      <c r="N18" s="685"/>
      <c r="O18" s="685"/>
      <c r="P18" s="685"/>
      <c r="Q18" s="686"/>
      <c r="R18" t="s">
        <v>1030</v>
      </c>
      <c r="S18" s="674">
        <v>2.7</v>
      </c>
      <c r="T18" s="675">
        <v>3.7999999999999999E-2</v>
      </c>
      <c r="U18"/>
    </row>
    <row r="19" spans="1:21" x14ac:dyDescent="0.3">
      <c r="A19" s="669" t="s">
        <v>251</v>
      </c>
      <c r="B19" s="682">
        <v>692113.6333852798</v>
      </c>
      <c r="C19" s="670">
        <f t="shared" si="0"/>
        <v>69211.363338527983</v>
      </c>
      <c r="D19" s="670">
        <f t="shared" si="1"/>
        <v>57445.431570978224</v>
      </c>
      <c r="E19" s="670">
        <f t="shared" si="2"/>
        <v>51700.888413880406</v>
      </c>
      <c r="F19" s="670">
        <f t="shared" si="3"/>
        <v>32054.55081660585</v>
      </c>
      <c r="G19" s="670">
        <f t="shared" si="4"/>
        <v>3102.0533048328243</v>
      </c>
      <c r="H19" s="670">
        <f t="shared" si="5"/>
        <v>1023.6775905948321</v>
      </c>
      <c r="I19" s="682">
        <v>620.66666666666663</v>
      </c>
      <c r="J19" s="702" t="s">
        <v>1031</v>
      </c>
      <c r="K19" s="702">
        <f t="shared" si="6"/>
        <v>9905</v>
      </c>
      <c r="L19" s="671" t="s">
        <v>1032</v>
      </c>
      <c r="M19">
        <v>3.8</v>
      </c>
      <c r="N19" s="685"/>
      <c r="O19" s="685"/>
      <c r="P19" s="685"/>
      <c r="Q19" s="686"/>
      <c r="R19" t="s">
        <v>1033</v>
      </c>
      <c r="S19" s="674">
        <v>2.7</v>
      </c>
      <c r="T19" s="675">
        <v>3.7999999999999999E-2</v>
      </c>
      <c r="U19"/>
    </row>
    <row r="20" spans="1:21" x14ac:dyDescent="0.3">
      <c r="A20" s="669" t="s">
        <v>252</v>
      </c>
      <c r="B20" s="682">
        <v>1322911.7022876949</v>
      </c>
      <c r="C20" s="670">
        <f t="shared" si="0"/>
        <v>132291.17022876951</v>
      </c>
      <c r="D20" s="670">
        <f t="shared" si="1"/>
        <v>109801.67128987868</v>
      </c>
      <c r="E20" s="670">
        <f t="shared" si="2"/>
        <v>98821.504160890807</v>
      </c>
      <c r="F20" s="670">
        <f t="shared" si="3"/>
        <v>61269.332579752299</v>
      </c>
      <c r="G20" s="670">
        <f t="shared" si="4"/>
        <v>5929.290249653448</v>
      </c>
      <c r="H20" s="670">
        <f t="shared" si="5"/>
        <v>1956.6657823856378</v>
      </c>
      <c r="I20" s="682">
        <v>754.66666666666663</v>
      </c>
      <c r="J20" s="702" t="s">
        <v>1034</v>
      </c>
      <c r="K20" s="702">
        <f t="shared" si="6"/>
        <v>8649</v>
      </c>
      <c r="L20" s="671" t="s">
        <v>1035</v>
      </c>
      <c r="M20">
        <v>4.0999999999999996</v>
      </c>
      <c r="N20" s="683"/>
      <c r="O20" s="683"/>
      <c r="P20" s="683"/>
      <c r="Q20" s="684"/>
      <c r="R20" t="s">
        <v>1036</v>
      </c>
      <c r="S20" s="674">
        <v>2.7</v>
      </c>
      <c r="T20" s="675">
        <v>3.7999999999999999E-2</v>
      </c>
      <c r="U20"/>
    </row>
    <row r="21" spans="1:21" x14ac:dyDescent="0.3">
      <c r="A21" s="669" t="s">
        <v>253</v>
      </c>
      <c r="B21" s="682">
        <v>1499123.5654963721</v>
      </c>
      <c r="C21" s="670">
        <f t="shared" si="0"/>
        <v>149912.35654963722</v>
      </c>
      <c r="D21" s="670">
        <f t="shared" si="1"/>
        <v>124427.25593619888</v>
      </c>
      <c r="E21" s="670">
        <f t="shared" si="2"/>
        <v>111984.53034257899</v>
      </c>
      <c r="F21" s="670">
        <f t="shared" si="3"/>
        <v>69430.408812398979</v>
      </c>
      <c r="G21" s="670">
        <f t="shared" si="4"/>
        <v>6719.0718205547391</v>
      </c>
      <c r="H21" s="670">
        <f t="shared" si="5"/>
        <v>2217.2937007830642</v>
      </c>
      <c r="I21" s="682">
        <v>1427.6666666666667</v>
      </c>
      <c r="J21" s="702" t="s">
        <v>1037</v>
      </c>
      <c r="K21" s="702">
        <f t="shared" si="6"/>
        <v>12028</v>
      </c>
      <c r="L21" s="671" t="s">
        <v>1024</v>
      </c>
      <c r="M21">
        <v>2.9</v>
      </c>
      <c r="N21" s="685"/>
      <c r="O21" s="685"/>
      <c r="P21" s="685"/>
      <c r="Q21" s="686"/>
      <c r="R21" t="s">
        <v>1038</v>
      </c>
      <c r="S21" s="674">
        <v>2.7</v>
      </c>
      <c r="T21" s="675">
        <v>3.7999999999999999E-2</v>
      </c>
      <c r="U21"/>
    </row>
    <row r="22" spans="1:21" x14ac:dyDescent="0.3">
      <c r="A22" s="669" t="s">
        <v>254</v>
      </c>
      <c r="B22" s="682">
        <v>1619868.8002861016</v>
      </c>
      <c r="C22" s="670">
        <f t="shared" si="0"/>
        <v>161986.88002861018</v>
      </c>
      <c r="D22" s="670">
        <f t="shared" si="1"/>
        <v>134449.11042374643</v>
      </c>
      <c r="E22" s="670">
        <f t="shared" si="2"/>
        <v>121004.19938137179</v>
      </c>
      <c r="F22" s="670">
        <f t="shared" si="3"/>
        <v>75022.603616450506</v>
      </c>
      <c r="G22" s="670">
        <f t="shared" si="4"/>
        <v>7260.2519628823065</v>
      </c>
      <c r="H22" s="670">
        <f t="shared" si="5"/>
        <v>2395.8831477511612</v>
      </c>
      <c r="I22" s="682">
        <v>1755.6666666666667</v>
      </c>
      <c r="J22" s="702" t="s">
        <v>1039</v>
      </c>
      <c r="K22" s="702">
        <f t="shared" si="6"/>
        <v>13938</v>
      </c>
      <c r="L22" s="671" t="s">
        <v>1013</v>
      </c>
      <c r="M22">
        <v>3.1</v>
      </c>
      <c r="N22" s="685"/>
      <c r="O22" s="685"/>
      <c r="P22" s="685"/>
      <c r="Q22" s="686"/>
      <c r="R22" t="s">
        <v>1040</v>
      </c>
      <c r="S22" s="674">
        <v>2.7</v>
      </c>
      <c r="T22" s="675">
        <v>3.7999999999999999E-2</v>
      </c>
      <c r="U22"/>
    </row>
    <row r="23" spans="1:21" x14ac:dyDescent="0.3">
      <c r="A23" s="669" t="s">
        <v>255</v>
      </c>
      <c r="B23" s="682">
        <v>1512400.0937513418</v>
      </c>
      <c r="C23" s="670">
        <f t="shared" si="0"/>
        <v>151240.00937513419</v>
      </c>
      <c r="D23" s="670">
        <f t="shared" si="1"/>
        <v>125529.20778136137</v>
      </c>
      <c r="E23" s="670">
        <f t="shared" si="2"/>
        <v>112976.28700322524</v>
      </c>
      <c r="F23" s="670">
        <f t="shared" si="3"/>
        <v>70045.297941999641</v>
      </c>
      <c r="G23" s="670">
        <f t="shared" si="4"/>
        <v>6778.5772201935142</v>
      </c>
      <c r="H23" s="670">
        <f t="shared" si="5"/>
        <v>2236.9304826638599</v>
      </c>
      <c r="I23" s="682">
        <v>1411.6666666666667</v>
      </c>
      <c r="J23" s="702" t="s">
        <v>1041</v>
      </c>
      <c r="K23" s="702">
        <f t="shared" si="6"/>
        <v>11682</v>
      </c>
      <c r="L23" s="671" t="s">
        <v>1042</v>
      </c>
      <c r="M23">
        <v>3.6</v>
      </c>
      <c r="N23" s="683"/>
      <c r="O23" s="683"/>
      <c r="P23" s="683"/>
      <c r="Q23" s="684"/>
      <c r="R23" t="s">
        <v>1043</v>
      </c>
      <c r="S23" s="674">
        <v>2.7</v>
      </c>
      <c r="T23" s="675">
        <v>3.7999999999999999E-2</v>
      </c>
      <c r="U23"/>
    </row>
    <row r="24" spans="1:21" x14ac:dyDescent="0.3">
      <c r="A24" s="669" t="s">
        <v>256</v>
      </c>
      <c r="B24" s="682">
        <v>984834.81965344795</v>
      </c>
      <c r="C24" s="670">
        <f t="shared" si="0"/>
        <v>98483.481965344807</v>
      </c>
      <c r="D24" s="670">
        <f t="shared" si="1"/>
        <v>81741.290031236189</v>
      </c>
      <c r="E24" s="670">
        <f t="shared" si="2"/>
        <v>73567.161028112576</v>
      </c>
      <c r="F24" s="670">
        <f t="shared" si="3"/>
        <v>45611.639837429793</v>
      </c>
      <c r="G24" s="670">
        <f t="shared" si="4"/>
        <v>4414.0296616867545</v>
      </c>
      <c r="H24" s="670">
        <f t="shared" si="5"/>
        <v>1456.629788356629</v>
      </c>
      <c r="I24" s="682">
        <v>716.33333333333337</v>
      </c>
      <c r="J24" s="702" t="s">
        <v>1044</v>
      </c>
      <c r="K24" s="702">
        <f t="shared" si="6"/>
        <v>11698</v>
      </c>
      <c r="L24" s="671" t="s">
        <v>1045</v>
      </c>
      <c r="M24">
        <v>4.0999999999999996</v>
      </c>
      <c r="N24" s="685"/>
      <c r="O24" s="685"/>
      <c r="P24" s="685"/>
      <c r="Q24" s="686"/>
      <c r="R24" t="s">
        <v>1046</v>
      </c>
      <c r="S24" s="674">
        <v>2.7</v>
      </c>
      <c r="T24" s="675">
        <v>3.7999999999999999E-2</v>
      </c>
      <c r="U24"/>
    </row>
    <row r="25" spans="1:21" x14ac:dyDescent="0.3">
      <c r="A25" s="669" t="s">
        <v>257</v>
      </c>
      <c r="B25" s="682">
        <v>682591.89712466835</v>
      </c>
      <c r="C25" s="670">
        <f t="shared" si="0"/>
        <v>68259.189712466832</v>
      </c>
      <c r="D25" s="670">
        <f t="shared" si="1"/>
        <v>56655.127461347467</v>
      </c>
      <c r="E25" s="670">
        <f t="shared" si="2"/>
        <v>50989.614715212723</v>
      </c>
      <c r="F25" s="670">
        <f t="shared" si="3"/>
        <v>31613.561123431889</v>
      </c>
      <c r="G25" s="670">
        <f t="shared" si="4"/>
        <v>3059.3768829127634</v>
      </c>
      <c r="H25" s="670">
        <f t="shared" si="5"/>
        <v>1009.594371361212</v>
      </c>
      <c r="I25" s="682">
        <v>497</v>
      </c>
      <c r="J25" s="702" t="s">
        <v>1047</v>
      </c>
      <c r="K25" s="702">
        <f t="shared" si="6"/>
        <v>9878</v>
      </c>
      <c r="L25" s="671" t="s">
        <v>1048</v>
      </c>
      <c r="M25">
        <v>2.5</v>
      </c>
      <c r="N25" s="685"/>
      <c r="O25" s="685"/>
      <c r="P25" s="685"/>
      <c r="Q25" s="686"/>
      <c r="R25" t="s">
        <v>1049</v>
      </c>
      <c r="S25" s="674">
        <v>2.7</v>
      </c>
      <c r="T25" s="675">
        <v>3.7999999999999999E-2</v>
      </c>
      <c r="U25"/>
    </row>
    <row r="26" spans="1:21" x14ac:dyDescent="0.3">
      <c r="A26" s="669" t="s">
        <v>258</v>
      </c>
      <c r="B26" s="682">
        <v>1034948.1456810192</v>
      </c>
      <c r="C26" s="670">
        <f t="shared" si="0"/>
        <v>103494.81456810192</v>
      </c>
      <c r="D26" s="670">
        <f t="shared" si="1"/>
        <v>85900.696091524587</v>
      </c>
      <c r="E26" s="670">
        <f t="shared" si="2"/>
        <v>77310.626482372129</v>
      </c>
      <c r="F26" s="670">
        <f t="shared" si="3"/>
        <v>47932.588419070722</v>
      </c>
      <c r="G26" s="670">
        <f t="shared" si="4"/>
        <v>4638.637588942328</v>
      </c>
      <c r="H26" s="670">
        <f t="shared" si="5"/>
        <v>1530.7504043509682</v>
      </c>
      <c r="I26" s="682">
        <v>655.33333333333337</v>
      </c>
      <c r="J26" s="702" t="s">
        <v>1050</v>
      </c>
      <c r="K26" s="702">
        <f t="shared" si="6"/>
        <v>11398</v>
      </c>
      <c r="L26" s="671" t="s">
        <v>1010</v>
      </c>
      <c r="M26">
        <v>4.0999999999999996</v>
      </c>
      <c r="N26" s="685"/>
      <c r="O26" s="685"/>
      <c r="P26" s="685"/>
      <c r="Q26" s="686"/>
      <c r="R26" t="s">
        <v>1051</v>
      </c>
      <c r="S26" s="674">
        <v>2.7</v>
      </c>
      <c r="T26" s="675">
        <v>3.7999999999999999E-2</v>
      </c>
      <c r="U26"/>
    </row>
    <row r="27" spans="1:21" x14ac:dyDescent="0.3">
      <c r="A27" s="669" t="s">
        <v>259</v>
      </c>
      <c r="B27" s="682">
        <v>926529.11081712297</v>
      </c>
      <c r="C27" s="670">
        <f t="shared" si="0"/>
        <v>92652.9110817123</v>
      </c>
      <c r="D27" s="670">
        <f t="shared" si="1"/>
        <v>76901.916197821207</v>
      </c>
      <c r="E27" s="670">
        <f t="shared" si="2"/>
        <v>69211.724578039095</v>
      </c>
      <c r="F27" s="670">
        <f t="shared" si="3"/>
        <v>42911.269238384237</v>
      </c>
      <c r="G27" s="670">
        <f t="shared" si="4"/>
        <v>4152.7034746823456</v>
      </c>
      <c r="H27" s="670">
        <f t="shared" si="5"/>
        <v>1370.3921466451741</v>
      </c>
      <c r="I27" s="682">
        <v>853.66666666666663</v>
      </c>
      <c r="J27" s="702" t="s">
        <v>1052</v>
      </c>
      <c r="K27" s="702">
        <f t="shared" si="6"/>
        <v>8057</v>
      </c>
      <c r="L27" s="671" t="s">
        <v>1053</v>
      </c>
      <c r="M27">
        <v>3.2</v>
      </c>
      <c r="N27" s="683"/>
      <c r="O27" s="683"/>
      <c r="P27" s="683"/>
      <c r="Q27" s="684"/>
      <c r="R27" t="s">
        <v>1054</v>
      </c>
      <c r="S27" s="674">
        <v>2.7</v>
      </c>
      <c r="T27" s="675">
        <v>3.7999999999999999E-2</v>
      </c>
      <c r="U27"/>
    </row>
    <row r="28" spans="1:21" x14ac:dyDescent="0.3">
      <c r="A28" s="669" t="s">
        <v>260</v>
      </c>
      <c r="B28" s="682">
        <v>1461306.4036357887</v>
      </c>
      <c r="C28" s="670">
        <f t="shared" si="0"/>
        <v>146130.64036357889</v>
      </c>
      <c r="D28" s="670">
        <f t="shared" si="1"/>
        <v>121288.43150177046</v>
      </c>
      <c r="E28" s="670">
        <f t="shared" si="2"/>
        <v>109159.58835159343</v>
      </c>
      <c r="F28" s="670">
        <f t="shared" si="3"/>
        <v>67678.944777987926</v>
      </c>
      <c r="G28" s="670">
        <f t="shared" si="4"/>
        <v>6549.575301095605</v>
      </c>
      <c r="H28" s="670">
        <f t="shared" si="5"/>
        <v>2161.3598493615495</v>
      </c>
      <c r="I28" s="682">
        <v>1648</v>
      </c>
      <c r="J28" s="702" t="s">
        <v>1055</v>
      </c>
      <c r="K28" s="702">
        <f t="shared" si="6"/>
        <v>6132</v>
      </c>
      <c r="L28" s="671" t="s">
        <v>1056</v>
      </c>
      <c r="M28">
        <v>4.2</v>
      </c>
      <c r="N28" s="685"/>
      <c r="O28" s="685"/>
      <c r="P28" s="685"/>
      <c r="Q28" s="686"/>
      <c r="R28" t="s">
        <v>1057</v>
      </c>
      <c r="S28" s="674">
        <v>2.7</v>
      </c>
      <c r="T28" s="675">
        <v>3.7999999999999999E-2</v>
      </c>
      <c r="U28"/>
    </row>
    <row r="29" spans="1:21" x14ac:dyDescent="0.3">
      <c r="A29" s="669" t="s">
        <v>261</v>
      </c>
      <c r="B29" s="682">
        <v>2647169.7210000823</v>
      </c>
      <c r="C29" s="670">
        <f t="shared" si="0"/>
        <v>264716.97210000822</v>
      </c>
      <c r="D29" s="670">
        <f t="shared" si="1"/>
        <v>219715.08684300681</v>
      </c>
      <c r="E29" s="670">
        <f t="shared" si="2"/>
        <v>197743.57815870614</v>
      </c>
      <c r="F29" s="670">
        <f t="shared" si="3"/>
        <v>122601.0184583978</v>
      </c>
      <c r="G29" s="670">
        <f t="shared" si="4"/>
        <v>11864.614689522368</v>
      </c>
      <c r="H29" s="670">
        <f t="shared" si="5"/>
        <v>3915.3228475423816</v>
      </c>
      <c r="I29" s="682">
        <v>4631</v>
      </c>
      <c r="J29" s="702" t="s">
        <v>1058</v>
      </c>
      <c r="K29" s="702">
        <f t="shared" si="6"/>
        <v>12653</v>
      </c>
      <c r="L29" s="671" t="s">
        <v>1059</v>
      </c>
      <c r="M29">
        <v>2.8</v>
      </c>
      <c r="N29" s="685"/>
      <c r="O29" s="685"/>
      <c r="P29" s="685"/>
      <c r="Q29" s="686"/>
      <c r="R29" t="s">
        <v>1060</v>
      </c>
      <c r="S29" s="674">
        <v>2.7</v>
      </c>
      <c r="T29" s="675">
        <v>3.7999999999999999E-2</v>
      </c>
      <c r="U29"/>
    </row>
    <row r="30" spans="1:21" x14ac:dyDescent="0.3">
      <c r="A30" s="669" t="s">
        <v>262</v>
      </c>
      <c r="B30" s="682">
        <v>1910177.8994834605</v>
      </c>
      <c r="C30" s="670">
        <f t="shared" si="0"/>
        <v>191017.78994834606</v>
      </c>
      <c r="D30" s="670">
        <f t="shared" si="1"/>
        <v>158544.76565712722</v>
      </c>
      <c r="E30" s="670">
        <f t="shared" si="2"/>
        <v>142690.28909141451</v>
      </c>
      <c r="F30" s="670">
        <f t="shared" si="3"/>
        <v>88467.979236676998</v>
      </c>
      <c r="G30" s="670">
        <f t="shared" si="4"/>
        <v>8561.4173454848697</v>
      </c>
      <c r="H30" s="670">
        <f t="shared" si="5"/>
        <v>2825.267724010007</v>
      </c>
      <c r="I30" s="682">
        <v>828.33333333333337</v>
      </c>
      <c r="J30" s="702" t="s">
        <v>1061</v>
      </c>
      <c r="K30" s="702">
        <f t="shared" si="6"/>
        <v>9181</v>
      </c>
      <c r="L30" s="671" t="s">
        <v>1062</v>
      </c>
      <c r="M30">
        <v>4.0999999999999996</v>
      </c>
      <c r="N30" s="685"/>
      <c r="O30" s="685"/>
      <c r="P30" s="685"/>
      <c r="Q30" s="686"/>
      <c r="R30" t="s">
        <v>1063</v>
      </c>
      <c r="S30" s="674">
        <v>2.7</v>
      </c>
      <c r="T30" s="675">
        <v>3.7999999999999999E-2</v>
      </c>
      <c r="U30"/>
    </row>
    <row r="31" spans="1:21" x14ac:dyDescent="0.3">
      <c r="A31" s="669" t="s">
        <v>263</v>
      </c>
      <c r="B31" s="682">
        <v>2312577.0203038529</v>
      </c>
      <c r="C31" s="670">
        <f t="shared" si="0"/>
        <v>231257.70203038529</v>
      </c>
      <c r="D31" s="670">
        <f t="shared" si="1"/>
        <v>191943.89268521979</v>
      </c>
      <c r="E31" s="670">
        <f t="shared" si="2"/>
        <v>172749.50341669781</v>
      </c>
      <c r="F31" s="670">
        <f t="shared" si="3"/>
        <v>107104.69211835264</v>
      </c>
      <c r="G31" s="670">
        <f t="shared" si="4"/>
        <v>10364.970205001868</v>
      </c>
      <c r="H31" s="670">
        <f t="shared" si="5"/>
        <v>3420.4401676506163</v>
      </c>
      <c r="I31" s="682">
        <v>1400.6666666666667</v>
      </c>
      <c r="J31" s="702" t="s">
        <v>1064</v>
      </c>
      <c r="K31" s="702">
        <f t="shared" si="6"/>
        <v>6332</v>
      </c>
      <c r="L31" s="671" t="s">
        <v>1065</v>
      </c>
      <c r="M31">
        <v>4.2</v>
      </c>
      <c r="N31" s="685"/>
      <c r="O31" s="685"/>
      <c r="P31" s="685"/>
      <c r="Q31" s="686"/>
      <c r="R31" t="s">
        <v>1066</v>
      </c>
      <c r="S31" s="674">
        <v>2.7</v>
      </c>
      <c r="T31" s="675">
        <v>3.7999999999999999E-2</v>
      </c>
      <c r="U31"/>
    </row>
    <row r="32" spans="1:21" x14ac:dyDescent="0.3">
      <c r="A32" s="669" t="s">
        <v>264</v>
      </c>
      <c r="B32" s="682">
        <v>670443.60183400824</v>
      </c>
      <c r="C32" s="670">
        <f t="shared" si="0"/>
        <v>67044.36018340083</v>
      </c>
      <c r="D32" s="670">
        <f t="shared" si="1"/>
        <v>55646.818952222689</v>
      </c>
      <c r="E32" s="670">
        <f t="shared" si="2"/>
        <v>50082.137057000422</v>
      </c>
      <c r="F32" s="670">
        <f t="shared" si="3"/>
        <v>31050.924975340262</v>
      </c>
      <c r="G32" s="670">
        <f t="shared" si="4"/>
        <v>3004.928223420025</v>
      </c>
      <c r="H32" s="670">
        <f t="shared" si="5"/>
        <v>991.62631372860835</v>
      </c>
      <c r="I32" s="682">
        <v>424.66666666666669</v>
      </c>
      <c r="J32" s="702" t="s">
        <v>992</v>
      </c>
      <c r="K32" s="702">
        <f t="shared" si="6"/>
        <v>11597</v>
      </c>
      <c r="L32" s="671" t="s">
        <v>1067</v>
      </c>
      <c r="M32">
        <v>3.4</v>
      </c>
      <c r="N32" s="685"/>
      <c r="O32" s="685"/>
      <c r="P32" s="685"/>
      <c r="Q32" s="686"/>
      <c r="R32" t="s">
        <v>1068</v>
      </c>
      <c r="S32" s="674">
        <v>2.7</v>
      </c>
      <c r="T32" s="675">
        <v>3.7999999999999999E-2</v>
      </c>
      <c r="U32"/>
    </row>
    <row r="33" spans="1:21" x14ac:dyDescent="0.3">
      <c r="A33" s="669" t="s">
        <v>265</v>
      </c>
      <c r="B33" s="682">
        <v>1038404.5955285586</v>
      </c>
      <c r="C33" s="670">
        <f t="shared" si="0"/>
        <v>103840.45955285587</v>
      </c>
      <c r="D33" s="670">
        <f t="shared" si="1"/>
        <v>86187.58142887037</v>
      </c>
      <c r="E33" s="670">
        <f t="shared" si="2"/>
        <v>77568.823285983337</v>
      </c>
      <c r="F33" s="670">
        <f t="shared" si="3"/>
        <v>48092.670437309665</v>
      </c>
      <c r="G33" s="670">
        <f t="shared" si="4"/>
        <v>4654.1293971590003</v>
      </c>
      <c r="H33" s="670">
        <f t="shared" si="5"/>
        <v>1535.8627010624703</v>
      </c>
      <c r="I33" s="682">
        <v>1080.3333333333333</v>
      </c>
      <c r="J33" s="702" t="s">
        <v>1069</v>
      </c>
      <c r="K33" s="702">
        <f t="shared" si="6"/>
        <v>11339</v>
      </c>
      <c r="L33" s="671" t="s">
        <v>1070</v>
      </c>
      <c r="M33">
        <v>3.6</v>
      </c>
      <c r="N33" s="685"/>
      <c r="O33" s="685"/>
      <c r="P33" s="685"/>
      <c r="Q33" s="686"/>
      <c r="R33" t="s">
        <v>1071</v>
      </c>
      <c r="S33" s="674">
        <v>2.7</v>
      </c>
      <c r="T33" s="675">
        <v>3.7999999999999999E-2</v>
      </c>
      <c r="U33"/>
    </row>
    <row r="34" spans="1:21" x14ac:dyDescent="0.3">
      <c r="A34" s="669" t="s">
        <v>266</v>
      </c>
      <c r="B34" s="682">
        <v>439099.35449888842</v>
      </c>
      <c r="C34" s="670">
        <f t="shared" si="0"/>
        <v>43909.935449888842</v>
      </c>
      <c r="D34" s="670">
        <f t="shared" si="1"/>
        <v>36445.246423407734</v>
      </c>
      <c r="E34" s="670">
        <f t="shared" si="2"/>
        <v>32800.721781066961</v>
      </c>
      <c r="F34" s="670">
        <f t="shared" si="3"/>
        <v>20336.447504261516</v>
      </c>
      <c r="G34" s="670">
        <f t="shared" si="4"/>
        <v>1968.0433068640175</v>
      </c>
      <c r="H34" s="670">
        <f t="shared" si="5"/>
        <v>649.45429126512579</v>
      </c>
      <c r="I34" s="682">
        <v>1486.6666666666667</v>
      </c>
      <c r="J34" s="702" t="s">
        <v>1072</v>
      </c>
      <c r="K34" s="702">
        <f t="shared" si="6"/>
        <v>8868</v>
      </c>
      <c r="L34" s="671" t="s">
        <v>1062</v>
      </c>
      <c r="M34">
        <v>3.7</v>
      </c>
      <c r="N34" s="685"/>
      <c r="O34" s="685"/>
      <c r="P34" s="685"/>
      <c r="Q34" s="686"/>
      <c r="R34" t="s">
        <v>1073</v>
      </c>
      <c r="S34" s="674">
        <v>2.7</v>
      </c>
      <c r="T34" s="675">
        <v>3.7999999999999999E-2</v>
      </c>
      <c r="U34"/>
    </row>
    <row r="35" spans="1:21" x14ac:dyDescent="0.3">
      <c r="A35" s="669" t="s">
        <v>267</v>
      </c>
      <c r="B35" s="682">
        <v>505305.50553825113</v>
      </c>
      <c r="C35" s="670">
        <f t="shared" si="0"/>
        <v>50530.550553825116</v>
      </c>
      <c r="D35" s="670">
        <f t="shared" si="1"/>
        <v>41940.356959674842</v>
      </c>
      <c r="E35" s="670">
        <f t="shared" si="2"/>
        <v>37746.321263707359</v>
      </c>
      <c r="F35" s="670">
        <f t="shared" si="3"/>
        <v>23402.719183498564</v>
      </c>
      <c r="G35" s="670">
        <f t="shared" si="4"/>
        <v>2264.7792758224414</v>
      </c>
      <c r="H35" s="670">
        <f t="shared" si="5"/>
        <v>747.37716102140564</v>
      </c>
      <c r="I35" s="682">
        <v>437.33333333333331</v>
      </c>
      <c r="J35" s="702" t="s">
        <v>1074</v>
      </c>
      <c r="K35" s="702">
        <f t="shared" si="6"/>
        <v>11568</v>
      </c>
      <c r="L35" s="671" t="s">
        <v>1075</v>
      </c>
      <c r="M35">
        <v>2.6</v>
      </c>
      <c r="N35" s="683"/>
      <c r="O35" s="683"/>
      <c r="P35" s="683"/>
      <c r="Q35" s="684"/>
      <c r="R35" t="s">
        <v>1076</v>
      </c>
      <c r="S35" s="674">
        <v>2.7</v>
      </c>
      <c r="T35" s="675">
        <v>3.7999999999999999E-2</v>
      </c>
      <c r="U35"/>
    </row>
    <row r="36" spans="1:21" x14ac:dyDescent="0.3">
      <c r="A36" s="669" t="s">
        <v>268</v>
      </c>
      <c r="B36" s="682">
        <v>1715195.2819938255</v>
      </c>
      <c r="C36" s="670">
        <f t="shared" si="0"/>
        <v>171519.52819938256</v>
      </c>
      <c r="D36" s="670">
        <f t="shared" si="1"/>
        <v>142361.20840548753</v>
      </c>
      <c r="E36" s="670">
        <f t="shared" si="2"/>
        <v>128125.08756493877</v>
      </c>
      <c r="F36" s="670">
        <f t="shared" si="3"/>
        <v>79437.554290262036</v>
      </c>
      <c r="G36" s="670">
        <f t="shared" si="4"/>
        <v>7687.5052538963264</v>
      </c>
      <c r="H36" s="670">
        <f t="shared" si="5"/>
        <v>2536.876733785788</v>
      </c>
      <c r="I36" s="682">
        <v>1118.3333333333333</v>
      </c>
      <c r="J36" s="702" t="s">
        <v>1077</v>
      </c>
      <c r="K36" s="702">
        <f t="shared" si="6"/>
        <v>7259</v>
      </c>
      <c r="L36" s="671" t="s">
        <v>1078</v>
      </c>
      <c r="M36">
        <v>4.3</v>
      </c>
      <c r="N36" s="685"/>
      <c r="O36" s="685"/>
      <c r="P36" s="685"/>
      <c r="Q36" s="686"/>
      <c r="R36" t="s">
        <v>1079</v>
      </c>
      <c r="S36" s="674">
        <v>2.7</v>
      </c>
      <c r="T36" s="675">
        <v>3.7999999999999999E-2</v>
      </c>
      <c r="U36"/>
    </row>
    <row r="37" spans="1:21" x14ac:dyDescent="0.3">
      <c r="A37" s="669" t="s">
        <v>269</v>
      </c>
      <c r="B37" s="682">
        <v>1433045.87921684</v>
      </c>
      <c r="C37" s="670">
        <f t="shared" si="0"/>
        <v>143304.587921684</v>
      </c>
      <c r="D37" s="670">
        <f t="shared" si="1"/>
        <v>118942.80797499772</v>
      </c>
      <c r="E37" s="670">
        <f t="shared" si="2"/>
        <v>107048.52717749795</v>
      </c>
      <c r="F37" s="670">
        <f t="shared" si="3"/>
        <v>66370.086850048727</v>
      </c>
      <c r="G37" s="670">
        <f t="shared" si="4"/>
        <v>6422.9116306498763</v>
      </c>
      <c r="H37" s="670">
        <f t="shared" si="5"/>
        <v>2119.5608381144593</v>
      </c>
      <c r="I37" s="682">
        <v>1609.6666666666667</v>
      </c>
      <c r="J37" s="702" t="s">
        <v>1080</v>
      </c>
      <c r="K37" s="702">
        <f t="shared" si="6"/>
        <v>6715</v>
      </c>
      <c r="L37" s="671" t="s">
        <v>1081</v>
      </c>
      <c r="M37">
        <v>2.7</v>
      </c>
      <c r="N37" s="685"/>
      <c r="O37" s="685"/>
      <c r="P37" s="685"/>
      <c r="Q37" s="686"/>
      <c r="R37" t="s">
        <v>1082</v>
      </c>
      <c r="S37" s="674">
        <v>2.7</v>
      </c>
      <c r="T37" s="675">
        <v>3.7999999999999999E-2</v>
      </c>
      <c r="U37"/>
    </row>
    <row r="38" spans="1:21" x14ac:dyDescent="0.3">
      <c r="A38" s="669" t="s">
        <v>270</v>
      </c>
      <c r="B38" s="682">
        <v>1236556.1946813394</v>
      </c>
      <c r="C38" s="670">
        <f t="shared" si="0"/>
        <v>123655.61946813395</v>
      </c>
      <c r="D38" s="670">
        <f t="shared" si="1"/>
        <v>102634.16415855118</v>
      </c>
      <c r="E38" s="670">
        <f t="shared" si="2"/>
        <v>92370.747742696069</v>
      </c>
      <c r="F38" s="670">
        <f t="shared" si="3"/>
        <v>57269.863600471559</v>
      </c>
      <c r="G38" s="670">
        <f t="shared" si="4"/>
        <v>5542.2448645617642</v>
      </c>
      <c r="H38" s="670">
        <f t="shared" si="5"/>
        <v>1828.9408053053824</v>
      </c>
      <c r="I38" s="682">
        <v>1375.6666666666667</v>
      </c>
      <c r="J38" s="702" t="s">
        <v>1083</v>
      </c>
      <c r="K38" s="702">
        <f t="shared" si="6"/>
        <v>12173</v>
      </c>
      <c r="L38" s="671" t="s">
        <v>1042</v>
      </c>
      <c r="M38">
        <v>2.8</v>
      </c>
      <c r="N38" s="685"/>
      <c r="O38" s="685"/>
      <c r="P38" s="685"/>
      <c r="Q38" s="686"/>
      <c r="R38" t="s">
        <v>1084</v>
      </c>
      <c r="S38" s="674">
        <v>2.7</v>
      </c>
      <c r="T38" s="675">
        <v>3.7999999999999999E-2</v>
      </c>
      <c r="U38"/>
    </row>
    <row r="39" spans="1:21" x14ac:dyDescent="0.3">
      <c r="A39" s="669" t="s">
        <v>271</v>
      </c>
      <c r="B39" s="682">
        <v>978996.39299998397</v>
      </c>
      <c r="C39" s="670">
        <f t="shared" si="0"/>
        <v>97899.639299998409</v>
      </c>
      <c r="D39" s="670">
        <f t="shared" si="1"/>
        <v>81256.700618998671</v>
      </c>
      <c r="E39" s="670">
        <f t="shared" si="2"/>
        <v>73131.030557098813</v>
      </c>
      <c r="F39" s="670">
        <f t="shared" si="3"/>
        <v>45341.238945401266</v>
      </c>
      <c r="G39" s="670">
        <f t="shared" si="4"/>
        <v>4387.861833425929</v>
      </c>
      <c r="H39" s="670">
        <f t="shared" si="5"/>
        <v>1447.9944050305567</v>
      </c>
      <c r="I39" s="682">
        <v>490.33333333333331</v>
      </c>
      <c r="J39" s="702" t="s">
        <v>1085</v>
      </c>
      <c r="K39" s="702">
        <f t="shared" si="6"/>
        <v>14048</v>
      </c>
      <c r="L39" s="671" t="s">
        <v>1086</v>
      </c>
      <c r="M39">
        <v>3.9</v>
      </c>
      <c r="N39" s="685"/>
      <c r="O39" s="685"/>
      <c r="P39" s="685"/>
      <c r="Q39" s="686"/>
      <c r="R39" t="s">
        <v>1087</v>
      </c>
      <c r="S39" s="674">
        <v>2.7</v>
      </c>
      <c r="T39" s="675">
        <v>3.7999999999999999E-2</v>
      </c>
      <c r="U39"/>
    </row>
    <row r="40" spans="1:21" x14ac:dyDescent="0.3">
      <c r="A40" s="669" t="s">
        <v>272</v>
      </c>
      <c r="B40" s="682">
        <v>883122.86651259009</v>
      </c>
      <c r="C40" s="670">
        <f t="shared" si="0"/>
        <v>88312.286651259012</v>
      </c>
      <c r="D40" s="670">
        <f t="shared" si="1"/>
        <v>73299.197920544975</v>
      </c>
      <c r="E40" s="670">
        <f t="shared" si="2"/>
        <v>65969.278128490478</v>
      </c>
      <c r="F40" s="670">
        <f t="shared" si="3"/>
        <v>40900.952439664099</v>
      </c>
      <c r="G40" s="670">
        <f t="shared" si="4"/>
        <v>3958.1566877094283</v>
      </c>
      <c r="H40" s="670">
        <f t="shared" si="5"/>
        <v>1306.1917069441115</v>
      </c>
      <c r="I40" s="682">
        <v>935</v>
      </c>
      <c r="J40" s="702" t="s">
        <v>1088</v>
      </c>
      <c r="K40" s="702">
        <f t="shared" si="6"/>
        <v>7792</v>
      </c>
      <c r="L40" s="671" t="s">
        <v>1067</v>
      </c>
      <c r="M40">
        <v>3.3</v>
      </c>
      <c r="N40" s="685"/>
      <c r="O40" s="685"/>
      <c r="P40" s="685"/>
      <c r="Q40" s="686"/>
      <c r="R40" t="s">
        <v>1089</v>
      </c>
      <c r="S40" s="674">
        <v>2.7</v>
      </c>
      <c r="T40" s="675">
        <v>3.7999999999999999E-2</v>
      </c>
      <c r="U40"/>
    </row>
    <row r="41" spans="1:21" x14ac:dyDescent="0.3">
      <c r="A41" s="669" t="s">
        <v>273</v>
      </c>
      <c r="B41" s="682">
        <v>929231.64201484236</v>
      </c>
      <c r="C41" s="670">
        <f t="shared" si="0"/>
        <v>92923.164201484236</v>
      </c>
      <c r="D41" s="670">
        <f t="shared" si="1"/>
        <v>77126.226287231912</v>
      </c>
      <c r="E41" s="670">
        <f t="shared" si="2"/>
        <v>69413.603658508728</v>
      </c>
      <c r="F41" s="670">
        <f t="shared" si="3"/>
        <v>43036.434268275414</v>
      </c>
      <c r="G41" s="670">
        <f t="shared" si="4"/>
        <v>4164.8162195105233</v>
      </c>
      <c r="H41" s="670">
        <f t="shared" si="5"/>
        <v>1374.3893524384728</v>
      </c>
      <c r="I41" s="682">
        <v>738.33333333333337</v>
      </c>
      <c r="J41" s="702" t="s">
        <v>1090</v>
      </c>
      <c r="K41" s="702">
        <f t="shared" si="6"/>
        <v>7315</v>
      </c>
      <c r="L41" s="671" t="s">
        <v>1013</v>
      </c>
      <c r="M41">
        <v>3.9</v>
      </c>
      <c r="N41" s="685"/>
      <c r="O41" s="685"/>
      <c r="P41" s="685"/>
      <c r="Q41" s="686"/>
      <c r="R41" t="s">
        <v>1091</v>
      </c>
      <c r="S41" s="674">
        <v>2.7</v>
      </c>
      <c r="T41" s="675">
        <v>3.7999999999999999E-2</v>
      </c>
      <c r="U41"/>
    </row>
    <row r="42" spans="1:21" x14ac:dyDescent="0.3">
      <c r="A42" s="669" t="s">
        <v>274</v>
      </c>
      <c r="B42" s="682">
        <v>1545867.8037515169</v>
      </c>
      <c r="C42" s="670">
        <f t="shared" si="0"/>
        <v>154586.78037515169</v>
      </c>
      <c r="D42" s="670">
        <f t="shared" si="1"/>
        <v>128307.02771137589</v>
      </c>
      <c r="E42" s="670">
        <f t="shared" si="2"/>
        <v>115476.32494023831</v>
      </c>
      <c r="F42" s="670">
        <f t="shared" si="3"/>
        <v>71595.321462947744</v>
      </c>
      <c r="G42" s="670">
        <f t="shared" si="4"/>
        <v>6928.5794964142979</v>
      </c>
      <c r="H42" s="670">
        <f t="shared" si="5"/>
        <v>2286.4312338167183</v>
      </c>
      <c r="I42" s="682">
        <v>1163.6666666666667</v>
      </c>
      <c r="J42" s="702" t="s">
        <v>1092</v>
      </c>
      <c r="K42" s="702">
        <f t="shared" si="6"/>
        <v>9067</v>
      </c>
      <c r="L42" s="671" t="s">
        <v>1007</v>
      </c>
      <c r="M42">
        <v>4.0999999999999996</v>
      </c>
      <c r="N42" s="685"/>
      <c r="O42" s="685"/>
      <c r="P42" s="685"/>
      <c r="Q42" s="686"/>
      <c r="R42" t="s">
        <v>1093</v>
      </c>
      <c r="S42" s="674">
        <v>2.7</v>
      </c>
      <c r="T42" s="675">
        <v>3.7999999999999999E-2</v>
      </c>
      <c r="U42"/>
    </row>
    <row r="43" spans="1:21" x14ac:dyDescent="0.3">
      <c r="A43" s="669" t="s">
        <v>275</v>
      </c>
      <c r="B43" s="682">
        <v>2148997.8839947302</v>
      </c>
      <c r="C43" s="670">
        <f t="shared" si="0"/>
        <v>214899.78839947304</v>
      </c>
      <c r="D43" s="670">
        <f t="shared" si="1"/>
        <v>178366.8243715626</v>
      </c>
      <c r="E43" s="670">
        <f t="shared" si="2"/>
        <v>160530.14193440633</v>
      </c>
      <c r="F43" s="670">
        <f t="shared" si="3"/>
        <v>99528.687999331931</v>
      </c>
      <c r="G43" s="670">
        <f t="shared" si="4"/>
        <v>9631.8085160643805</v>
      </c>
      <c r="H43" s="670">
        <f t="shared" si="5"/>
        <v>3178.4968103012457</v>
      </c>
      <c r="I43" s="682">
        <v>1630.3333333333333</v>
      </c>
      <c r="J43" s="702" t="s">
        <v>1094</v>
      </c>
      <c r="K43" s="702">
        <f t="shared" si="6"/>
        <v>12273</v>
      </c>
      <c r="L43" s="671" t="s">
        <v>1095</v>
      </c>
      <c r="M43">
        <v>3.6</v>
      </c>
      <c r="N43" s="685"/>
      <c r="O43" s="685"/>
      <c r="P43" s="685"/>
      <c r="Q43" s="686"/>
      <c r="R43" t="s">
        <v>1096</v>
      </c>
      <c r="S43" s="674">
        <v>2.7</v>
      </c>
      <c r="T43" s="675">
        <v>3.7999999999999999E-2</v>
      </c>
      <c r="U43"/>
    </row>
    <row r="44" spans="1:21" x14ac:dyDescent="0.3">
      <c r="A44" s="355" t="s">
        <v>103</v>
      </c>
      <c r="B44" s="688">
        <f>SUM(B2:B43)</f>
        <v>51261241.079009138</v>
      </c>
      <c r="C44" s="688">
        <f t="shared" ref="C44:G44" si="7">SUM(C2:C43)</f>
        <v>5126124.1079009147</v>
      </c>
      <c r="D44" s="688">
        <f t="shared" si="7"/>
        <v>4254683.0095577603</v>
      </c>
      <c r="E44" s="688">
        <f t="shared" si="7"/>
        <v>3829214.7086019828</v>
      </c>
      <c r="F44" s="688">
        <f t="shared" si="7"/>
        <v>2374113.1193332295</v>
      </c>
      <c r="G44" s="688">
        <f t="shared" si="7"/>
        <v>229752.88251611896</v>
      </c>
      <c r="H44" s="688">
        <f>SUM(H2:H43)</f>
        <v>75818.45123031929</v>
      </c>
      <c r="I44" s="688">
        <f>SUM(I2:I43)</f>
        <v>50189.000000000007</v>
      </c>
      <c r="J44" s="702"/>
      <c r="K44" s="702">
        <f>AVERAGE(K2:K43)</f>
        <v>9872.2857142857138</v>
      </c>
      <c r="L44" s="688">
        <f t="shared" ref="L44" si="8">SUM(L2:L43)</f>
        <v>0</v>
      </c>
      <c r="M44" s="689">
        <f>AVERAGE(M2:M43)</f>
        <v>3.5309523809523804</v>
      </c>
    </row>
  </sheetData>
  <sheetProtection algorithmName="SHA-512" hashValue="RbUSb4N6WoN24n7ZR/drW5a4O+eJWRSXD7SI3h26Jaks2G7K2SYBINLLIopUDa7yD9SJ+Pw7zex0kwe6zOCW9A==" saltValue="HRDLD/0StfgZkJO0ldPDeg==" spinCount="100000" sheet="1" objects="1" scenarios="1"/>
  <conditionalFormatting sqref="I2:I43">
    <cfRule type="dataBar" priority="1">
      <dataBar>
        <cfvo type="min"/>
        <cfvo type="max"/>
        <color rgb="FFFFB628"/>
      </dataBar>
      <extLst>
        <ext xmlns:x14="http://schemas.microsoft.com/office/spreadsheetml/2009/9/main" uri="{B025F937-C7B1-47D3-B67F-A62EFF666E3E}">
          <x14:id>{7A767EC1-713B-43A4-B07E-633D9AEDD869}</x14:id>
        </ext>
      </extLst>
    </cfRule>
  </conditionalFormatting>
  <conditionalFormatting sqref="Q2:Q43">
    <cfRule type="dataBar" priority="2">
      <dataBar>
        <cfvo type="min"/>
        <cfvo type="max"/>
        <color rgb="FF008AEF"/>
      </dataBar>
      <extLst>
        <ext xmlns:x14="http://schemas.microsoft.com/office/spreadsheetml/2009/9/main" uri="{B025F937-C7B1-47D3-B67F-A62EFF666E3E}">
          <x14:id>{080491CE-0AC8-4345-B8C5-8B72EF5C85FF}</x14:id>
        </ext>
      </extLst>
    </cfRule>
  </conditionalFormatting>
  <pageMargins left="0.7" right="0.7" top="0.75" bottom="0.75" header="0.3" footer="0.3"/>
  <pageSetup paperSize="9" scale="18" orientation="portrait" r:id="rId1"/>
  <extLst>
    <ext xmlns:x14="http://schemas.microsoft.com/office/spreadsheetml/2009/9/main" uri="{78C0D931-6437-407d-A8EE-F0AAD7539E65}">
      <x14:conditionalFormattings>
        <x14:conditionalFormatting xmlns:xm="http://schemas.microsoft.com/office/excel/2006/main">
          <x14:cfRule type="dataBar" id="{7A767EC1-713B-43A4-B07E-633D9AEDD869}">
            <x14:dataBar minLength="0" maxLength="100" border="1" negativeBarBorderColorSameAsPositive="0">
              <x14:cfvo type="autoMin"/>
              <x14:cfvo type="autoMax"/>
              <x14:borderColor rgb="FFFFB628"/>
              <x14:negativeFillColor rgb="FFFF0000"/>
              <x14:negativeBorderColor rgb="FFFF0000"/>
              <x14:axisColor rgb="FF000000"/>
            </x14:dataBar>
          </x14:cfRule>
          <xm:sqref>I2:I43</xm:sqref>
        </x14:conditionalFormatting>
        <x14:conditionalFormatting xmlns:xm="http://schemas.microsoft.com/office/excel/2006/main">
          <x14:cfRule type="dataBar" id="{080491CE-0AC8-4345-B8C5-8B72EF5C85FF}">
            <x14:dataBar minLength="0" maxLength="100" border="1" negativeBarBorderColorSameAsPositive="0">
              <x14:cfvo type="autoMin"/>
              <x14:cfvo type="autoMax"/>
              <x14:borderColor rgb="FF008AEF"/>
              <x14:negativeFillColor rgb="FFFF0000"/>
              <x14:negativeBorderColor rgb="FFFF0000"/>
              <x14:axisColor rgb="FF000000"/>
            </x14:dataBar>
          </x14:cfRule>
          <xm:sqref>Q2:Q43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4.4" x14ac:dyDescent="0.3"/>
  <cols>
    <col min="1" max="2" width="3.77734375" customWidth="1"/>
    <col min="3" max="3" width="20.5546875" customWidth="1"/>
    <col min="4" max="4" width="3.77734375" customWidth="1"/>
    <col min="5" max="5" width="20.5546875" customWidth="1"/>
    <col min="6" max="6" width="3.77734375" customWidth="1"/>
    <col min="7" max="7" width="20.5546875" customWidth="1"/>
    <col min="8" max="10" width="3.77734375" customWidth="1"/>
    <col min="11" max="11" width="20.5546875" customWidth="1"/>
    <col min="12" max="12" width="3.77734375" customWidth="1"/>
    <col min="13" max="13" width="20.5546875" customWidth="1"/>
    <col min="14" max="14" width="3.77734375" customWidth="1"/>
    <col min="15" max="15" width="20.5546875" customWidth="1"/>
    <col min="16" max="16" width="3.77734375" customWidth="1"/>
  </cols>
  <sheetData>
    <row r="2" spans="2:17" ht="25.8" x14ac:dyDescent="0.5">
      <c r="B2" s="269" t="s">
        <v>16</v>
      </c>
      <c r="C2" s="267"/>
      <c r="D2" s="267"/>
      <c r="E2" s="267"/>
      <c r="F2" s="267"/>
      <c r="G2" s="267"/>
      <c r="H2" s="267"/>
      <c r="I2" s="267"/>
      <c r="J2" s="267"/>
      <c r="K2" s="267"/>
      <c r="L2" s="267"/>
      <c r="M2" s="267"/>
      <c r="N2" s="267"/>
      <c r="O2" s="267"/>
      <c r="P2" s="268"/>
    </row>
    <row r="5" spans="2:17" x14ac:dyDescent="0.3">
      <c r="B5" s="191" t="s">
        <v>17</v>
      </c>
      <c r="C5" s="273"/>
      <c r="D5" s="273"/>
      <c r="E5" s="273"/>
      <c r="F5" s="273"/>
      <c r="G5" s="273"/>
      <c r="H5" s="273"/>
      <c r="I5" s="273"/>
      <c r="J5" s="273"/>
      <c r="K5" s="273"/>
      <c r="L5" s="273"/>
      <c r="M5" s="273"/>
      <c r="N5" s="273"/>
      <c r="O5" s="273"/>
      <c r="P5" s="192"/>
    </row>
    <row r="6" spans="2:17" x14ac:dyDescent="0.3">
      <c r="B6" s="196" t="s">
        <v>18</v>
      </c>
      <c r="C6" s="189"/>
      <c r="D6" s="189"/>
      <c r="E6" s="189"/>
      <c r="F6" s="189"/>
      <c r="G6" s="189"/>
      <c r="H6" s="189"/>
      <c r="I6" s="189"/>
      <c r="J6" s="189"/>
      <c r="K6" s="189"/>
      <c r="L6" s="189"/>
      <c r="M6" s="189"/>
      <c r="N6" s="189"/>
      <c r="O6" s="189"/>
      <c r="P6" s="197"/>
    </row>
    <row r="7" spans="2:17" x14ac:dyDescent="0.3">
      <c r="B7" s="194" t="s">
        <v>19</v>
      </c>
      <c r="C7" s="193"/>
      <c r="D7" s="193"/>
      <c r="E7" s="193"/>
      <c r="F7" s="193"/>
      <c r="G7" s="193"/>
      <c r="H7" s="193"/>
      <c r="I7" s="193"/>
      <c r="J7" s="193"/>
      <c r="K7" s="193"/>
      <c r="L7" s="193"/>
      <c r="M7" s="193"/>
      <c r="N7" s="193"/>
      <c r="O7" s="193"/>
      <c r="P7" s="195"/>
    </row>
    <row r="9" spans="2:17" x14ac:dyDescent="0.3">
      <c r="N9" s="283"/>
      <c r="O9" s="283"/>
      <c r="P9" s="283"/>
    </row>
    <row r="10" spans="2:17" x14ac:dyDescent="0.3">
      <c r="B10" s="191"/>
      <c r="C10" s="273"/>
      <c r="D10" s="273"/>
      <c r="E10" s="273"/>
      <c r="F10" s="273"/>
      <c r="G10" s="273"/>
      <c r="H10" s="192"/>
      <c r="J10" s="191"/>
      <c r="K10" s="273"/>
      <c r="L10" s="273"/>
      <c r="M10" s="273"/>
      <c r="N10" s="189"/>
      <c r="O10" s="189"/>
      <c r="P10" s="189"/>
      <c r="Q10" s="154"/>
    </row>
    <row r="11" spans="2:17" ht="46.8" x14ac:dyDescent="0.3">
      <c r="B11" s="196"/>
      <c r="C11" s="259" t="s">
        <v>20</v>
      </c>
      <c r="D11" s="286"/>
      <c r="E11" s="259" t="s">
        <v>21</v>
      </c>
      <c r="F11" s="286"/>
      <c r="G11" s="282" t="s">
        <v>22</v>
      </c>
      <c r="H11" s="287"/>
      <c r="I11" s="260"/>
      <c r="J11" s="290"/>
      <c r="K11" s="261" t="s">
        <v>23</v>
      </c>
      <c r="L11" s="290"/>
      <c r="M11" s="261" t="s">
        <v>24</v>
      </c>
      <c r="N11" s="286"/>
      <c r="O11" s="261" t="s">
        <v>25</v>
      </c>
      <c r="P11" s="286"/>
      <c r="Q11" s="154"/>
    </row>
    <row r="12" spans="2:17" x14ac:dyDescent="0.3">
      <c r="B12" s="196"/>
      <c r="C12" s="189"/>
      <c r="D12" s="189"/>
      <c r="E12" s="189"/>
      <c r="F12" s="189"/>
      <c r="G12" s="189"/>
      <c r="H12" s="197"/>
      <c r="J12" s="196"/>
      <c r="K12" s="189"/>
      <c r="L12" s="189"/>
      <c r="M12" s="189"/>
      <c r="N12" s="189"/>
      <c r="O12" s="189"/>
      <c r="P12" s="189"/>
      <c r="Q12" s="154"/>
    </row>
    <row r="13" spans="2:17" ht="40.35" customHeight="1" x14ac:dyDescent="0.3">
      <c r="B13" s="196"/>
      <c r="C13" s="284"/>
      <c r="D13" s="181"/>
      <c r="E13" s="326" t="s">
        <v>26</v>
      </c>
      <c r="F13" s="181"/>
      <c r="G13" s="285"/>
      <c r="H13" s="197"/>
      <c r="J13" s="196"/>
      <c r="K13" s="284"/>
      <c r="L13" s="181"/>
      <c r="M13" s="327" t="s">
        <v>27</v>
      </c>
      <c r="N13" s="181"/>
      <c r="O13" s="285"/>
      <c r="P13" s="189"/>
      <c r="Q13" s="154"/>
    </row>
    <row r="14" spans="2:17" x14ac:dyDescent="0.3">
      <c r="B14" s="196"/>
      <c r="C14" s="189"/>
      <c r="D14" s="189"/>
      <c r="E14" s="189"/>
      <c r="F14" s="189"/>
      <c r="G14" s="189"/>
      <c r="H14" s="197"/>
      <c r="J14" s="196"/>
      <c r="K14" s="189"/>
      <c r="L14" s="189"/>
      <c r="M14" s="189"/>
      <c r="N14" s="189"/>
      <c r="O14" s="189"/>
      <c r="P14" s="189"/>
      <c r="Q14" s="154"/>
    </row>
    <row r="15" spans="2:17" ht="213.75" customHeight="1" x14ac:dyDescent="0.3">
      <c r="B15" s="196"/>
      <c r="C15" s="256" t="s">
        <v>28</v>
      </c>
      <c r="D15" s="288"/>
      <c r="E15" s="257" t="s">
        <v>29</v>
      </c>
      <c r="F15" s="288"/>
      <c r="G15" s="255" t="s">
        <v>30</v>
      </c>
      <c r="H15" s="289"/>
      <c r="I15" s="203"/>
      <c r="J15" s="291"/>
      <c r="K15" s="258" t="s">
        <v>31</v>
      </c>
      <c r="L15" s="291"/>
      <c r="M15" s="276" t="s">
        <v>32</v>
      </c>
      <c r="N15" s="288"/>
      <c r="O15" s="276" t="s">
        <v>33</v>
      </c>
      <c r="P15" s="288"/>
      <c r="Q15" s="154"/>
    </row>
    <row r="16" spans="2:17" x14ac:dyDescent="0.3">
      <c r="B16" s="194"/>
      <c r="C16" s="193"/>
      <c r="D16" s="193"/>
      <c r="E16" s="193"/>
      <c r="F16" s="193"/>
      <c r="G16" s="193"/>
      <c r="H16" s="195"/>
      <c r="J16" s="194"/>
      <c r="K16" s="193"/>
      <c r="L16" s="292"/>
      <c r="M16" s="292"/>
      <c r="N16" s="292"/>
      <c r="O16" s="292"/>
      <c r="P16" s="292"/>
      <c r="Q16" s="154"/>
    </row>
    <row r="19" spans="2:16" x14ac:dyDescent="0.3">
      <c r="B19" s="191"/>
      <c r="C19" s="273"/>
      <c r="D19" s="273"/>
      <c r="E19" s="273"/>
      <c r="F19" s="273"/>
      <c r="G19" s="273"/>
      <c r="H19" s="273"/>
      <c r="I19" s="273"/>
      <c r="J19" s="273"/>
      <c r="K19" s="273"/>
      <c r="L19" s="273"/>
      <c r="M19" s="273"/>
      <c r="N19" s="273"/>
      <c r="O19" s="273"/>
      <c r="P19" s="192"/>
    </row>
    <row r="20" spans="2:16" x14ac:dyDescent="0.3">
      <c r="B20" s="196" t="s">
        <v>34</v>
      </c>
      <c r="C20" s="189"/>
      <c r="D20" s="189"/>
      <c r="E20" s="189"/>
      <c r="F20" s="189"/>
      <c r="G20" s="189"/>
      <c r="H20" s="189"/>
      <c r="I20" s="189"/>
      <c r="J20" s="189"/>
      <c r="K20" s="189"/>
      <c r="L20" s="189"/>
      <c r="M20" s="189"/>
      <c r="N20" s="189"/>
      <c r="O20" s="189"/>
      <c r="P20" s="197"/>
    </row>
    <row r="21" spans="2:16" x14ac:dyDescent="0.3">
      <c r="B21" s="293" t="s">
        <v>35</v>
      </c>
      <c r="C21" s="189"/>
      <c r="D21" s="189"/>
      <c r="E21" s="189"/>
      <c r="F21" s="189"/>
      <c r="G21" s="189"/>
      <c r="H21" s="189"/>
      <c r="I21" s="189"/>
      <c r="J21" s="189"/>
      <c r="K21" s="189"/>
      <c r="L21" s="189"/>
      <c r="M21" s="189"/>
      <c r="N21" s="189"/>
      <c r="O21" s="189"/>
      <c r="P21" s="197"/>
    </row>
    <row r="22" spans="2:16" x14ac:dyDescent="0.3">
      <c r="B22" s="294" t="s">
        <v>36</v>
      </c>
      <c r="C22" s="189"/>
      <c r="D22" s="189"/>
      <c r="E22" s="189"/>
      <c r="F22" s="189"/>
      <c r="G22" s="189"/>
      <c r="H22" s="189"/>
      <c r="I22" s="189"/>
      <c r="J22" s="189"/>
      <c r="K22" s="189"/>
      <c r="L22" s="189"/>
      <c r="M22" s="189"/>
      <c r="N22" s="189"/>
      <c r="O22" s="189"/>
      <c r="P22" s="197"/>
    </row>
    <row r="23" spans="2:16" x14ac:dyDescent="0.3">
      <c r="B23" s="295" t="s">
        <v>37</v>
      </c>
      <c r="C23" s="189"/>
      <c r="D23" s="189"/>
      <c r="E23" s="189"/>
      <c r="F23" s="189"/>
      <c r="G23" s="189"/>
      <c r="H23" s="189"/>
      <c r="I23" s="189"/>
      <c r="J23" s="189"/>
      <c r="K23" s="189"/>
      <c r="L23" s="189"/>
      <c r="M23" s="189"/>
      <c r="N23" s="189"/>
      <c r="O23" s="189"/>
      <c r="P23" s="197"/>
    </row>
    <row r="24" spans="2:16" x14ac:dyDescent="0.3">
      <c r="B24" s="294" t="s">
        <v>38</v>
      </c>
      <c r="C24" s="189"/>
      <c r="D24" s="189"/>
      <c r="E24" s="189"/>
      <c r="F24" s="189"/>
      <c r="G24" s="189"/>
      <c r="H24" s="189"/>
      <c r="I24" s="189"/>
      <c r="J24" s="189"/>
      <c r="K24" s="189"/>
      <c r="L24" s="189"/>
      <c r="M24" s="189"/>
      <c r="N24" s="189"/>
      <c r="O24" s="189"/>
      <c r="P24" s="197"/>
    </row>
    <row r="25" spans="2:16" x14ac:dyDescent="0.3">
      <c r="B25" s="294" t="s">
        <v>39</v>
      </c>
      <c r="C25" s="189"/>
      <c r="D25" s="189"/>
      <c r="E25" s="189"/>
      <c r="F25" s="189"/>
      <c r="G25" s="189"/>
      <c r="H25" s="189"/>
      <c r="I25" s="189"/>
      <c r="J25" s="189"/>
      <c r="K25" s="189"/>
      <c r="L25" s="189"/>
      <c r="M25" s="189"/>
      <c r="N25" s="189"/>
      <c r="O25" s="189"/>
      <c r="P25" s="197"/>
    </row>
    <row r="26" spans="2:16" x14ac:dyDescent="0.3">
      <c r="B26" s="196"/>
      <c r="C26" s="189"/>
      <c r="D26" s="189"/>
      <c r="E26" s="189"/>
      <c r="F26" s="189"/>
      <c r="G26" s="189"/>
      <c r="H26" s="189"/>
      <c r="I26" s="189"/>
      <c r="J26" s="189"/>
      <c r="K26" s="189"/>
      <c r="L26" s="189"/>
      <c r="M26" s="189"/>
      <c r="N26" s="189"/>
      <c r="O26" s="189"/>
      <c r="P26" s="197"/>
    </row>
    <row r="27" spans="2:16" x14ac:dyDescent="0.3">
      <c r="B27" s="296" t="s">
        <v>40</v>
      </c>
      <c r="C27" s="189"/>
      <c r="D27" s="189"/>
      <c r="E27" s="189"/>
      <c r="F27" s="189"/>
      <c r="G27" s="189"/>
      <c r="H27" s="189"/>
      <c r="I27" s="189"/>
      <c r="J27" s="189"/>
      <c r="K27" s="189"/>
      <c r="L27" s="189"/>
      <c r="M27" s="189"/>
      <c r="N27" s="189"/>
      <c r="O27" s="189"/>
      <c r="P27" s="197"/>
    </row>
    <row r="28" spans="2:16" x14ac:dyDescent="0.3">
      <c r="B28" s="194"/>
      <c r="C28" s="193"/>
      <c r="D28" s="193"/>
      <c r="E28" s="193"/>
      <c r="F28" s="193"/>
      <c r="G28" s="193"/>
      <c r="H28" s="193"/>
      <c r="I28" s="193"/>
      <c r="J28" s="193"/>
      <c r="K28" s="193"/>
      <c r="L28" s="193"/>
      <c r="M28" s="193"/>
      <c r="N28" s="193"/>
      <c r="O28" s="193"/>
      <c r="P28" s="195"/>
    </row>
  </sheetData>
  <sheetProtection algorithmName="SHA-512" hashValue="3OdGe/3FesEEMxhpFu/BHIEJW7BLxtaMWkGUos4mbujE7dbHwhzv9KV1McQfZC1oz9C2L3CLVq5p9NNH5w4j2w==" saltValue="5SHnl0Rh3LhwyUP2+RnT6g==" spinCount="100000" sheet="1" objects="1" scenarios="1"/>
  <hyperlinks>
    <hyperlink ref="B27" r:id="rId1" xr:uid="{A9028629-3EA9-424F-9115-3A028530777C}"/>
  </hyperlinks>
  <pageMargins left="0.7" right="0.7" top="0.75" bottom="0.75" header="0.3" footer="0.3"/>
  <pageSetup paperSize="9" scale="54"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A128" zoomScale="55" zoomScaleNormal="55" workbookViewId="0">
      <selection activeCell="B158" sqref="B158:B199"/>
    </sheetView>
  </sheetViews>
  <sheetFormatPr defaultColWidth="9.21875" defaultRowHeight="13.8" x14ac:dyDescent="0.25"/>
  <cols>
    <col min="1" max="1" width="24.44140625" style="11" customWidth="1"/>
    <col min="2" max="2" width="49.44140625" style="11" customWidth="1"/>
    <col min="3" max="3" width="63.5546875" style="15" customWidth="1"/>
    <col min="4" max="4" width="20.44140625" style="11" customWidth="1"/>
    <col min="5" max="12" width="21" style="11" customWidth="1"/>
    <col min="13" max="13" width="22.77734375" style="11" customWidth="1"/>
    <col min="14" max="14" width="22.5546875" style="11" customWidth="1"/>
    <col min="15" max="15" width="25.77734375" style="11" customWidth="1"/>
    <col min="16" max="16" width="10.77734375" style="11" customWidth="1"/>
    <col min="17" max="17" width="15.21875" style="12" customWidth="1"/>
    <col min="18" max="18" width="20.21875" style="12" customWidth="1"/>
    <col min="19" max="23" width="10.77734375" style="12" customWidth="1"/>
    <col min="24" max="42" width="10.77734375" style="12" hidden="1" customWidth="1"/>
    <col min="43" max="50" width="10.77734375" style="13" hidden="1" customWidth="1"/>
    <col min="51" max="100" width="10.77734375" style="1" hidden="1" customWidth="1"/>
    <col min="101" max="106" width="10.77734375" style="1" customWidth="1"/>
    <col min="107" max="190" width="10.77734375" style="11" hidden="1" customWidth="1"/>
    <col min="191" max="193" width="10.77734375" style="11" customWidth="1"/>
    <col min="194" max="194" width="10.44140625" style="11" customWidth="1"/>
    <col min="195" max="16384" width="9.21875" style="11"/>
  </cols>
  <sheetData>
    <row r="1" spans="2:106" x14ac:dyDescent="0.25">
      <c r="B1" s="9" t="s">
        <v>41</v>
      </c>
      <c r="C1" s="102"/>
      <c r="D1" s="22"/>
      <c r="E1" s="10" t="s">
        <v>42</v>
      </c>
      <c r="F1" s="7"/>
      <c r="G1" s="7"/>
    </row>
    <row r="3" spans="2:106" x14ac:dyDescent="0.25">
      <c r="B3" s="92" t="s">
        <v>43</v>
      </c>
      <c r="C3" s="331"/>
      <c r="D3" s="332"/>
      <c r="E3" s="332"/>
      <c r="F3" s="332"/>
      <c r="G3" s="93"/>
    </row>
    <row r="4" spans="2:106" x14ac:dyDescent="0.25">
      <c r="B4" s="94"/>
      <c r="C4" s="95"/>
      <c r="D4" s="7"/>
      <c r="E4" s="7"/>
      <c r="F4" s="7"/>
      <c r="G4" s="96"/>
      <c r="L4" s="9" t="s">
        <v>44</v>
      </c>
      <c r="M4" s="9" t="s">
        <v>44</v>
      </c>
      <c r="N4" s="9" t="s">
        <v>45</v>
      </c>
      <c r="O4" s="9" t="s">
        <v>45</v>
      </c>
      <c r="P4" s="9" t="s">
        <v>46</v>
      </c>
      <c r="R4" s="161" t="s">
        <v>47</v>
      </c>
      <c r="S4" s="161" t="s">
        <v>48</v>
      </c>
      <c r="T4" s="161" t="s">
        <v>49</v>
      </c>
      <c r="V4" s="161" t="s">
        <v>50</v>
      </c>
    </row>
    <row r="5" spans="2:106" ht="27.6" x14ac:dyDescent="0.25">
      <c r="B5" s="97" t="s">
        <v>51</v>
      </c>
      <c r="C5" s="95"/>
      <c r="D5" s="7"/>
      <c r="E5" s="7"/>
      <c r="F5" s="7"/>
      <c r="G5" s="96"/>
      <c r="L5" s="16" t="s">
        <v>52</v>
      </c>
      <c r="M5" s="16" t="s">
        <v>53</v>
      </c>
      <c r="N5" s="16" t="s">
        <v>54</v>
      </c>
      <c r="O5" s="16" t="s">
        <v>55</v>
      </c>
      <c r="P5" s="19"/>
      <c r="Q5" s="17"/>
      <c r="R5" s="16" t="s">
        <v>55</v>
      </c>
      <c r="S5" s="138" t="s">
        <v>56</v>
      </c>
      <c r="V5" s="139">
        <v>4</v>
      </c>
    </row>
    <row r="6" spans="2:106" x14ac:dyDescent="0.25">
      <c r="B6" s="97" t="s">
        <v>57</v>
      </c>
      <c r="C6" s="95"/>
      <c r="D6" s="7"/>
      <c r="E6" s="7"/>
      <c r="F6" s="7"/>
      <c r="G6" s="96"/>
      <c r="J6" s="134"/>
      <c r="L6" s="21" t="s">
        <v>58</v>
      </c>
      <c r="M6" s="21" t="s">
        <v>59</v>
      </c>
      <c r="N6" s="21" t="str">
        <f>'Inputs and eligible population'!$E$11</f>
        <v>National</v>
      </c>
      <c r="O6" s="21" t="str">
        <f>IFERROR(VLOOKUP('Inputs and eligible population'!$E$11, $L$5:$M$14, 2, FALSE), "-")</f>
        <v>NATIONAL</v>
      </c>
      <c r="P6" s="16" t="b">
        <f>ISTEXT('Inputs and eligible population'!$E$12)</f>
        <v>1</v>
      </c>
      <c r="R6" s="178" t="s">
        <v>60</v>
      </c>
      <c r="S6" s="138" t="s">
        <v>61</v>
      </c>
      <c r="V6" s="139">
        <v>5</v>
      </c>
    </row>
    <row r="7" spans="2:106" x14ac:dyDescent="0.25">
      <c r="B7" s="94"/>
      <c r="C7" s="95"/>
      <c r="D7" s="7"/>
      <c r="E7" s="7"/>
      <c r="F7" s="7"/>
      <c r="G7" s="96"/>
      <c r="L7" s="21" t="s">
        <v>62</v>
      </c>
      <c r="M7" s="21" t="s">
        <v>63</v>
      </c>
      <c r="N7" s="21" t="str">
        <f>'Inputs and eligible population'!$E$11</f>
        <v>National</v>
      </c>
      <c r="O7" s="21" t="str">
        <f>IFERROR(VLOOKUP('Inputs and eligible population'!$E$11, $L$5:$M$14, 2, FALSE), "-")</f>
        <v>NATIONAL</v>
      </c>
      <c r="P7" s="16" t="b">
        <f>ISTEXT('Inputs and eligible population'!$E$12)</f>
        <v>1</v>
      </c>
      <c r="R7" s="178" t="s">
        <v>64</v>
      </c>
      <c r="S7" s="272"/>
      <c r="V7" s="139">
        <v>6</v>
      </c>
    </row>
    <row r="8" spans="2:106" ht="19.5" customHeight="1" x14ac:dyDescent="0.25">
      <c r="B8" s="98" t="s">
        <v>65</v>
      </c>
      <c r="C8" s="99"/>
      <c r="D8" s="100"/>
      <c r="E8" s="100"/>
      <c r="F8" s="100"/>
      <c r="G8" s="101"/>
      <c r="L8" s="21" t="s">
        <v>66</v>
      </c>
      <c r="M8" s="21" t="s">
        <v>67</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3">
      <c r="B9" s="14"/>
      <c r="L9" s="21" t="s">
        <v>68</v>
      </c>
      <c r="M9" s="21" t="s">
        <v>69</v>
      </c>
      <c r="N9" s="21" t="str">
        <f>'Inputs and eligible population'!$E$11</f>
        <v>National</v>
      </c>
      <c r="O9" s="21" t="str">
        <f>IFERROR(VLOOKUP('Inputs and eligible population'!$E$11, $L$5:$M$14, 2, FALSE), "-")</f>
        <v>NATIONAL</v>
      </c>
      <c r="P9" s="16" t="b">
        <f>ISTEXT('Inputs and eligible population'!$E$12)</f>
        <v>1</v>
      </c>
      <c r="V9" s="139" t="s">
        <v>70</v>
      </c>
    </row>
    <row r="10" spans="2:106" ht="14.4" x14ac:dyDescent="0.3">
      <c r="B10" s="14"/>
      <c r="K10" s="24"/>
      <c r="L10" s="21" t="s">
        <v>71</v>
      </c>
      <c r="M10" s="21" t="s">
        <v>72</v>
      </c>
      <c r="N10" s="21" t="str">
        <f>'Inputs and eligible population'!$E$11</f>
        <v>National</v>
      </c>
      <c r="O10" s="21" t="str">
        <f>IFERROR(VLOOKUP('Inputs and eligible population'!$E$11, $L$5:$M$14, 2, FALSE), "-")</f>
        <v>NATIONAL</v>
      </c>
      <c r="P10" s="16" t="b">
        <f>ISTEXT('Inputs and eligible population'!$E$12)</f>
        <v>1</v>
      </c>
      <c r="V10" s="139" t="s">
        <v>73</v>
      </c>
    </row>
    <row r="11" spans="2:106" x14ac:dyDescent="0.25">
      <c r="B11" s="9" t="s">
        <v>74</v>
      </c>
      <c r="C11" s="24"/>
      <c r="D11" s="24"/>
      <c r="E11" s="24"/>
      <c r="K11" s="24"/>
      <c r="L11" s="111" t="s">
        <v>75</v>
      </c>
      <c r="M11" s="21" t="s">
        <v>76</v>
      </c>
      <c r="N11" s="21" t="str">
        <f>'Inputs and eligible population'!$E$11</f>
        <v>National</v>
      </c>
      <c r="O11" s="21" t="str">
        <f>IFERROR(VLOOKUP('Inputs and eligible population'!$E$11, $L$5:$M$14, 2, FALSE), "-")</f>
        <v>NATIONAL</v>
      </c>
      <c r="P11" s="16" t="b">
        <f>ISTEXT('Inputs and eligible population'!$E$12)</f>
        <v>1</v>
      </c>
      <c r="V11" s="139" t="s">
        <v>77</v>
      </c>
    </row>
    <row r="12" spans="2:106" ht="43.5" customHeight="1" x14ac:dyDescent="0.25">
      <c r="B12" s="15"/>
      <c r="D12" s="182" t="s">
        <v>78</v>
      </c>
      <c r="E12" s="182" t="s">
        <v>78</v>
      </c>
      <c r="L12" s="21" t="s">
        <v>79</v>
      </c>
      <c r="M12" s="21" t="s">
        <v>80</v>
      </c>
      <c r="N12" s="21" t="str">
        <f>'Inputs and eligible population'!$E$11</f>
        <v>National</v>
      </c>
      <c r="O12" s="21" t="str">
        <f>IFERROR(VLOOKUP('Inputs and eligible population'!$E$11, $L$5:$M$14, 2, FALSE), "-")</f>
        <v>NATIONAL</v>
      </c>
      <c r="P12" s="16" t="b">
        <f>ISTEXT('Inputs and eligible population'!$E$12)</f>
        <v>1</v>
      </c>
      <c r="V12" s="139" t="s">
        <v>81</v>
      </c>
    </row>
    <row r="13" spans="2:106" s="19" customFormat="1" ht="46.35" customHeight="1" x14ac:dyDescent="0.25">
      <c r="B13" s="183" t="s">
        <v>82</v>
      </c>
      <c r="C13" s="183" t="s">
        <v>83</v>
      </c>
      <c r="D13" s="26" t="s">
        <v>84</v>
      </c>
      <c r="E13" s="26" t="s">
        <v>85</v>
      </c>
      <c r="F13" s="183" t="s">
        <v>86</v>
      </c>
      <c r="G13" s="11"/>
      <c r="H13" s="11"/>
      <c r="I13" s="11"/>
      <c r="K13" s="11"/>
      <c r="L13" s="21" t="s">
        <v>87</v>
      </c>
      <c r="M13" s="21" t="s">
        <v>88</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278">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184"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89</v>
      </c>
      <c r="M14" s="21" t="s">
        <v>90</v>
      </c>
      <c r="N14" s="21" t="str">
        <f>'Inputs and eligible population'!$E$11</f>
        <v>National</v>
      </c>
      <c r="O14" s="21" t="str">
        <f>IFERROR(VLOOKUP('Inputs and eligible population'!$E$11, $L$5:$M$14, 2, FALSE), "-")</f>
        <v>NATIONAL</v>
      </c>
      <c r="P14" s="16" t="b">
        <f>ISTEXT('Inputs and eligible population'!$E$12)</f>
        <v>1</v>
      </c>
      <c r="V14" s="139" t="s">
        <v>91</v>
      </c>
    </row>
    <row r="15" spans="2:106" x14ac:dyDescent="0.25">
      <c r="B15" s="184" t="str">
        <f>'Inputs and eligible population'!C17</f>
        <v xml:space="preserve">Manually entered current locality population </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92</v>
      </c>
    </row>
    <row r="16" spans="2:106" x14ac:dyDescent="0.25">
      <c r="B16" s="185" t="s">
        <v>93</v>
      </c>
      <c r="C16" s="186">
        <f>IF(C15&gt;0,C14,C15)</f>
        <v>57106398</v>
      </c>
      <c r="D16" s="186">
        <f>IF(D15&gt;0,D14,D15)</f>
        <v>21895402</v>
      </c>
      <c r="E16" s="186">
        <f>IF(E15&gt;0,E14,E15)</f>
        <v>23324090</v>
      </c>
      <c r="F16" s="186">
        <f>SUM(F15)</f>
        <v>45219492</v>
      </c>
      <c r="L16" s="22"/>
      <c r="M16" s="22"/>
      <c r="P16" s="270">
        <f>COUNTIF(P6:P14, TRUE)</f>
        <v>9</v>
      </c>
    </row>
    <row r="17" spans="1:194" x14ac:dyDescent="0.25">
      <c r="Q17" s="23"/>
      <c r="R17" s="23"/>
    </row>
    <row r="18" spans="1:194" ht="45.6" customHeight="1" x14ac:dyDescent="0.25">
      <c r="B18" s="90"/>
      <c r="C18" s="143"/>
      <c r="D18" s="26" t="s">
        <v>78</v>
      </c>
      <c r="E18" s="26" t="s">
        <v>78</v>
      </c>
      <c r="F18" s="90"/>
      <c r="I18" s="90"/>
      <c r="J18" s="90"/>
      <c r="K18" s="24"/>
      <c r="N18" s="24"/>
    </row>
    <row r="19" spans="1:194" ht="23.1" customHeight="1" x14ac:dyDescent="0.25">
      <c r="D19" s="187">
        <v>2</v>
      </c>
      <c r="E19" s="187">
        <v>3</v>
      </c>
      <c r="F19" s="187">
        <v>4</v>
      </c>
      <c r="G19" s="187">
        <v>5</v>
      </c>
      <c r="H19" s="187">
        <v>6</v>
      </c>
      <c r="K19" s="24"/>
    </row>
    <row r="20" spans="1:194" s="1" customFormat="1" ht="48" customHeight="1" x14ac:dyDescent="0.25">
      <c r="A20" s="124" t="s">
        <v>54</v>
      </c>
      <c r="B20" s="123" t="s">
        <v>94</v>
      </c>
      <c r="C20" s="123" t="s">
        <v>95</v>
      </c>
      <c r="D20" s="82" t="s">
        <v>96</v>
      </c>
      <c r="E20" s="82" t="s">
        <v>96</v>
      </c>
      <c r="F20" s="82" t="s">
        <v>97</v>
      </c>
      <c r="G20" s="82" t="s">
        <v>97</v>
      </c>
      <c r="H20" s="82" t="s">
        <v>97</v>
      </c>
      <c r="I20" s="123" t="s">
        <v>96</v>
      </c>
      <c r="J20" s="123" t="s">
        <v>96</v>
      </c>
      <c r="K20" s="123" t="s">
        <v>98</v>
      </c>
      <c r="L20" s="123" t="s">
        <v>98</v>
      </c>
      <c r="M20" s="125" t="s">
        <v>99</v>
      </c>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333"/>
      <c r="AX20" s="333"/>
      <c r="AY20" s="333"/>
      <c r="AZ20" s="333"/>
      <c r="BA20" s="333"/>
      <c r="BB20" s="333"/>
      <c r="BC20" s="333"/>
      <c r="BD20" s="333"/>
      <c r="BE20" s="333"/>
      <c r="BF20" s="333"/>
      <c r="BG20" s="333"/>
      <c r="BH20" s="333"/>
      <c r="BI20" s="333"/>
      <c r="BJ20" s="333"/>
      <c r="BK20" s="333"/>
      <c r="BL20" s="333"/>
      <c r="BM20" s="333"/>
      <c r="BN20" s="333"/>
      <c r="BO20" s="333"/>
      <c r="BP20" s="333"/>
      <c r="BQ20" s="333"/>
      <c r="BR20" s="333"/>
      <c r="BS20" s="333"/>
      <c r="BT20" s="333"/>
      <c r="BU20" s="333"/>
      <c r="BV20" s="333"/>
      <c r="BW20" s="333"/>
      <c r="BX20" s="333"/>
      <c r="BY20" s="333"/>
      <c r="BZ20" s="333"/>
      <c r="CA20" s="333"/>
      <c r="CB20" s="333"/>
      <c r="CC20" s="333"/>
      <c r="CD20" s="333"/>
      <c r="CE20" s="333"/>
      <c r="CF20" s="333"/>
      <c r="CG20" s="333"/>
      <c r="CH20" s="333"/>
      <c r="CI20" s="333"/>
      <c r="CJ20" s="333"/>
      <c r="CK20" s="333"/>
      <c r="CL20" s="333"/>
      <c r="CM20" s="333"/>
      <c r="CN20" s="333"/>
      <c r="CO20" s="333"/>
      <c r="CP20" s="333"/>
      <c r="CQ20" s="333"/>
      <c r="CR20" s="333"/>
      <c r="CS20" s="333"/>
      <c r="CT20" s="333"/>
      <c r="CU20" s="333"/>
      <c r="CV20" s="333"/>
      <c r="CW20" s="333"/>
      <c r="CX20" s="333"/>
      <c r="CY20" s="126"/>
      <c r="CZ20" s="334" t="s">
        <v>100</v>
      </c>
      <c r="DA20" s="334"/>
      <c r="DB20" s="334"/>
      <c r="DC20" s="334"/>
      <c r="DD20" s="334"/>
      <c r="DE20" s="334"/>
      <c r="DF20" s="334"/>
      <c r="DG20" s="334"/>
      <c r="DH20" s="334"/>
      <c r="DI20" s="334"/>
      <c r="DJ20" s="334"/>
      <c r="DK20" s="334"/>
      <c r="DL20" s="334"/>
      <c r="DM20" s="334"/>
      <c r="DN20" s="334"/>
      <c r="DO20" s="334"/>
      <c r="DP20" s="334"/>
      <c r="DQ20" s="334"/>
      <c r="DR20" s="334"/>
      <c r="DS20" s="334"/>
      <c r="DT20" s="334"/>
      <c r="DU20" s="334"/>
      <c r="DV20" s="334"/>
      <c r="DW20" s="334"/>
      <c r="DX20" s="334"/>
      <c r="DY20" s="334"/>
      <c r="DZ20" s="334"/>
      <c r="EA20" s="334"/>
      <c r="EB20" s="334"/>
      <c r="EC20" s="334"/>
      <c r="ED20" s="334"/>
      <c r="EE20" s="334"/>
      <c r="EF20" s="334"/>
      <c r="EG20" s="334"/>
      <c r="EH20" s="334"/>
      <c r="EI20" s="334"/>
      <c r="EJ20" s="334"/>
      <c r="EK20" s="334"/>
      <c r="EL20" s="334"/>
      <c r="EM20" s="334"/>
      <c r="EN20" s="334"/>
      <c r="EO20" s="334"/>
      <c r="EP20" s="334"/>
      <c r="EQ20" s="334"/>
      <c r="ER20" s="334"/>
      <c r="ES20" s="334"/>
      <c r="ET20" s="334"/>
      <c r="EU20" s="334"/>
      <c r="EV20" s="334"/>
      <c r="EW20" s="334"/>
      <c r="EX20" s="334"/>
      <c r="EY20" s="334"/>
      <c r="EZ20" s="334"/>
      <c r="FA20" s="334"/>
      <c r="FB20" s="334"/>
      <c r="FC20" s="334"/>
      <c r="FD20" s="334"/>
      <c r="FE20" s="334"/>
      <c r="FF20" s="334"/>
      <c r="FG20" s="334"/>
      <c r="FH20" s="334"/>
      <c r="FI20" s="334"/>
      <c r="FJ20" s="334"/>
      <c r="FK20" s="334"/>
      <c r="FL20" s="334"/>
      <c r="FM20" s="334"/>
      <c r="FN20" s="334"/>
      <c r="FO20" s="334"/>
      <c r="FP20" s="334"/>
      <c r="FQ20" s="334"/>
      <c r="FR20" s="334"/>
      <c r="FS20" s="334"/>
      <c r="FT20" s="334"/>
      <c r="FU20" s="334"/>
      <c r="FV20" s="334"/>
      <c r="FW20" s="334"/>
      <c r="FX20" s="334"/>
      <c r="FY20" s="334"/>
      <c r="FZ20" s="334"/>
      <c r="GA20" s="334"/>
      <c r="GB20" s="334"/>
      <c r="GC20" s="334"/>
      <c r="GD20" s="334"/>
      <c r="GE20" s="334"/>
      <c r="GF20" s="334"/>
      <c r="GG20" s="334"/>
      <c r="GH20" s="334"/>
      <c r="GI20" s="334"/>
      <c r="GJ20" s="334"/>
      <c r="GK20" s="334"/>
      <c r="GL20" s="122"/>
    </row>
    <row r="21" spans="1:194" s="8" customFormat="1" ht="27.6" x14ac:dyDescent="0.25">
      <c r="A21" s="124"/>
      <c r="B21" s="123"/>
      <c r="C21" s="123"/>
      <c r="D21" s="25" t="s">
        <v>84</v>
      </c>
      <c r="E21" s="26" t="s">
        <v>85</v>
      </c>
      <c r="F21" s="82" t="s">
        <v>101</v>
      </c>
      <c r="G21" s="81" t="s">
        <v>99</v>
      </c>
      <c r="H21" s="81" t="s">
        <v>100</v>
      </c>
      <c r="I21" s="82" t="s">
        <v>99</v>
      </c>
      <c r="J21" s="81" t="s">
        <v>100</v>
      </c>
      <c r="K21" s="82" t="s">
        <v>99</v>
      </c>
      <c r="L21" s="27" t="s">
        <v>100</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102</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102</v>
      </c>
    </row>
    <row r="22" spans="1:194" s="1" customFormat="1" x14ac:dyDescent="0.25">
      <c r="A22" s="30"/>
      <c r="B22" s="72"/>
      <c r="C22" s="60"/>
      <c r="D22" s="78"/>
      <c r="E22" s="78"/>
      <c r="F22" s="335"/>
      <c r="G22" s="335"/>
      <c r="H22" s="78"/>
      <c r="I22" s="78"/>
      <c r="J22" s="78"/>
      <c r="K22" s="335"/>
      <c r="L22" s="78"/>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5"/>
      <c r="AM22" s="335"/>
      <c r="AN22" s="335"/>
      <c r="AO22" s="335"/>
      <c r="AP22" s="335"/>
      <c r="AQ22" s="335"/>
      <c r="AR22" s="335"/>
      <c r="AS22" s="335"/>
      <c r="AT22" s="335"/>
      <c r="AU22" s="335"/>
      <c r="AV22" s="335"/>
      <c r="AW22" s="335"/>
      <c r="AX22" s="335"/>
      <c r="AY22" s="335"/>
      <c r="AZ22" s="335"/>
      <c r="BA22" s="335"/>
      <c r="BB22" s="335"/>
      <c r="BC22" s="335"/>
      <c r="BD22" s="335"/>
      <c r="BE22" s="335"/>
      <c r="BF22" s="335"/>
      <c r="BG22" s="335"/>
      <c r="BH22" s="335"/>
      <c r="BI22" s="335"/>
      <c r="BJ22" s="335"/>
      <c r="BK22" s="335"/>
      <c r="BL22" s="335"/>
      <c r="BM22" s="335"/>
      <c r="BN22" s="335"/>
      <c r="BO22" s="335"/>
      <c r="BP22" s="335"/>
      <c r="BQ22" s="335"/>
      <c r="BR22" s="335"/>
      <c r="BS22" s="335"/>
      <c r="BT22" s="335"/>
      <c r="BU22" s="335"/>
      <c r="BV22" s="335"/>
      <c r="BW22" s="335"/>
      <c r="BX22" s="335"/>
      <c r="BY22" s="335"/>
      <c r="BZ22" s="335"/>
      <c r="CA22" s="335"/>
      <c r="CB22" s="335"/>
      <c r="CC22" s="335"/>
      <c r="CD22" s="335"/>
      <c r="CE22" s="335"/>
      <c r="CF22" s="335"/>
      <c r="CG22" s="335"/>
      <c r="CH22" s="335"/>
      <c r="CI22" s="335"/>
      <c r="CJ22" s="335"/>
      <c r="CK22" s="335"/>
      <c r="CL22" s="335"/>
      <c r="CM22" s="335"/>
      <c r="CN22" s="335"/>
      <c r="CO22" s="335"/>
      <c r="CP22" s="335"/>
      <c r="CQ22" s="335"/>
      <c r="CR22" s="335"/>
      <c r="CS22" s="335"/>
      <c r="CT22" s="335"/>
      <c r="CU22" s="335"/>
      <c r="CV22" s="335"/>
      <c r="CW22" s="335"/>
      <c r="CX22" s="335"/>
      <c r="CY22" s="78"/>
      <c r="CZ22" s="335"/>
      <c r="DA22" s="335"/>
      <c r="DB22" s="335"/>
      <c r="DC22" s="335"/>
      <c r="DD22" s="335"/>
      <c r="DE22" s="335"/>
      <c r="DF22" s="335"/>
      <c r="DG22" s="335"/>
      <c r="DH22" s="335"/>
      <c r="DI22" s="335"/>
      <c r="DJ22" s="335"/>
      <c r="DK22" s="335"/>
      <c r="DL22" s="335"/>
      <c r="DM22" s="335"/>
      <c r="DN22" s="335"/>
      <c r="DO22" s="335"/>
      <c r="DP22" s="335"/>
      <c r="DQ22" s="335"/>
      <c r="DR22" s="335"/>
      <c r="DS22" s="335"/>
      <c r="DT22" s="335"/>
      <c r="DU22" s="335"/>
      <c r="DV22" s="335"/>
      <c r="DW22" s="335"/>
      <c r="DX22" s="335"/>
      <c r="DY22" s="335"/>
      <c r="DZ22" s="335"/>
      <c r="EA22" s="335"/>
      <c r="EB22" s="335"/>
      <c r="EC22" s="335"/>
      <c r="ED22" s="335"/>
      <c r="EE22" s="335"/>
      <c r="EF22" s="335"/>
      <c r="EG22" s="335"/>
      <c r="EH22" s="335"/>
      <c r="EI22" s="335"/>
      <c r="EJ22" s="335"/>
      <c r="EK22" s="335"/>
      <c r="EL22" s="335"/>
      <c r="EM22" s="335"/>
      <c r="EN22" s="335"/>
      <c r="EO22" s="335"/>
      <c r="EP22" s="335"/>
      <c r="EQ22" s="335"/>
      <c r="ER22" s="335"/>
      <c r="ES22" s="335"/>
      <c r="ET22" s="335"/>
      <c r="EU22" s="335"/>
      <c r="EV22" s="335"/>
      <c r="EW22" s="335"/>
      <c r="EX22" s="335"/>
      <c r="EY22" s="335"/>
      <c r="EZ22" s="335"/>
      <c r="FA22" s="335"/>
      <c r="FB22" s="335"/>
      <c r="FC22" s="335"/>
      <c r="FD22" s="335"/>
      <c r="FE22" s="335"/>
      <c r="FF22" s="335"/>
      <c r="FG22" s="335"/>
      <c r="FH22" s="335"/>
      <c r="FI22" s="335"/>
      <c r="FJ22" s="335"/>
      <c r="FK22" s="335"/>
      <c r="FL22" s="335"/>
      <c r="FM22" s="335"/>
      <c r="FN22" s="335"/>
      <c r="FO22" s="335"/>
      <c r="FP22" s="335"/>
      <c r="FQ22" s="335"/>
      <c r="FR22" s="335"/>
      <c r="FS22" s="335"/>
      <c r="FT22" s="335"/>
      <c r="FU22" s="335"/>
      <c r="FV22" s="335"/>
      <c r="FW22" s="335"/>
      <c r="FX22" s="335"/>
      <c r="FY22" s="335"/>
      <c r="FZ22" s="335"/>
      <c r="GA22" s="335"/>
      <c r="GB22" s="335"/>
      <c r="GC22" s="335"/>
      <c r="GD22" s="335"/>
      <c r="GE22" s="335"/>
      <c r="GF22" s="335"/>
      <c r="GG22" s="335"/>
      <c r="GH22" s="335"/>
      <c r="GI22" s="335"/>
      <c r="GJ22" s="335"/>
      <c r="GK22" s="335"/>
      <c r="GL22" s="78"/>
    </row>
    <row r="23" spans="1:194" s="70" customFormat="1" ht="21.75" customHeight="1" x14ac:dyDescent="0.25">
      <c r="A23" s="65" t="s">
        <v>52</v>
      </c>
      <c r="B23" s="66" t="s">
        <v>52</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5">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25">
      <c r="A25" s="74" t="s">
        <v>62</v>
      </c>
      <c r="B25" s="355" t="s">
        <v>103</v>
      </c>
      <c r="C25" s="75" t="s">
        <v>104</v>
      </c>
      <c r="D25" s="77">
        <f t="shared" ref="D25:E27" si="3">I25</f>
        <v>21895402</v>
      </c>
      <c r="E25" s="77">
        <f t="shared" si="3"/>
        <v>23324090</v>
      </c>
      <c r="F25" s="336">
        <f>G25+H25</f>
        <v>57106398</v>
      </c>
      <c r="G25" s="336">
        <f>SUM(M25:CY25)</f>
        <v>27983290</v>
      </c>
      <c r="H25" s="76">
        <f>SUM(CZ25:GL25)</f>
        <v>29123108</v>
      </c>
      <c r="I25" s="76">
        <f>SUM(AE25:CY25)</f>
        <v>21895402</v>
      </c>
      <c r="J25" s="76">
        <f>SUM(DR25:GL25)</f>
        <v>23324090</v>
      </c>
      <c r="K25" s="337">
        <f>SUM(M25:AD25)</f>
        <v>6087888</v>
      </c>
      <c r="L25" s="77">
        <f>SUM(CZ25:DQ25)</f>
        <v>5799018</v>
      </c>
      <c r="M25" s="336">
        <v>305120</v>
      </c>
      <c r="N25" s="336">
        <v>303019</v>
      </c>
      <c r="O25" s="336">
        <v>314737</v>
      </c>
      <c r="P25" s="336">
        <v>321299</v>
      </c>
      <c r="Q25" s="336">
        <v>325230</v>
      </c>
      <c r="R25" s="336">
        <v>333023</v>
      </c>
      <c r="S25" s="336">
        <v>343154</v>
      </c>
      <c r="T25" s="336">
        <v>339729</v>
      </c>
      <c r="U25" s="336">
        <v>341966</v>
      </c>
      <c r="V25" s="336">
        <v>351482</v>
      </c>
      <c r="W25" s="336">
        <v>360539</v>
      </c>
      <c r="X25" s="336">
        <v>361688</v>
      </c>
      <c r="Y25" s="336">
        <v>356777</v>
      </c>
      <c r="Z25" s="336">
        <v>354079</v>
      </c>
      <c r="AA25" s="336">
        <v>357199</v>
      </c>
      <c r="AB25" s="336">
        <v>344190</v>
      </c>
      <c r="AC25" s="336">
        <v>336612</v>
      </c>
      <c r="AD25" s="336">
        <v>338045</v>
      </c>
      <c r="AE25" s="336">
        <v>339142</v>
      </c>
      <c r="AF25" s="336">
        <v>339234</v>
      </c>
      <c r="AG25" s="336">
        <v>338398</v>
      </c>
      <c r="AH25" s="336">
        <v>338465</v>
      </c>
      <c r="AI25" s="336">
        <v>345338</v>
      </c>
      <c r="AJ25" s="336">
        <v>358287</v>
      </c>
      <c r="AK25" s="336">
        <v>360304</v>
      </c>
      <c r="AL25" s="336">
        <v>365799</v>
      </c>
      <c r="AM25" s="336">
        <v>360324</v>
      </c>
      <c r="AN25" s="336">
        <v>364086</v>
      </c>
      <c r="AO25" s="336">
        <v>372653</v>
      </c>
      <c r="AP25" s="336">
        <v>372807</v>
      </c>
      <c r="AQ25" s="336">
        <v>383710</v>
      </c>
      <c r="AR25" s="336">
        <v>389563</v>
      </c>
      <c r="AS25" s="336">
        <v>387640</v>
      </c>
      <c r="AT25" s="336">
        <v>384620</v>
      </c>
      <c r="AU25" s="336">
        <v>387905</v>
      </c>
      <c r="AV25" s="336">
        <v>378829</v>
      </c>
      <c r="AW25" s="336">
        <v>378199</v>
      </c>
      <c r="AX25" s="336">
        <v>377186</v>
      </c>
      <c r="AY25" s="336">
        <v>365502</v>
      </c>
      <c r="AZ25" s="336">
        <v>366111</v>
      </c>
      <c r="BA25" s="336">
        <v>365728</v>
      </c>
      <c r="BB25" s="336">
        <v>369097</v>
      </c>
      <c r="BC25" s="336">
        <v>371802</v>
      </c>
      <c r="BD25" s="336">
        <v>357560</v>
      </c>
      <c r="BE25" s="336">
        <v>334069</v>
      </c>
      <c r="BF25" s="336">
        <v>328458</v>
      </c>
      <c r="BG25" s="336">
        <v>335746</v>
      </c>
      <c r="BH25" s="336">
        <v>342585</v>
      </c>
      <c r="BI25" s="336">
        <v>346685</v>
      </c>
      <c r="BJ25" s="336">
        <v>360442</v>
      </c>
      <c r="BK25" s="336">
        <v>373390</v>
      </c>
      <c r="BL25" s="336">
        <v>385375</v>
      </c>
      <c r="BM25" s="336">
        <v>375807</v>
      </c>
      <c r="BN25" s="336">
        <v>383988</v>
      </c>
      <c r="BO25" s="336">
        <v>382566</v>
      </c>
      <c r="BP25" s="336">
        <v>385629</v>
      </c>
      <c r="BQ25" s="336">
        <v>381742</v>
      </c>
      <c r="BR25" s="336">
        <v>381998</v>
      </c>
      <c r="BS25" s="336">
        <v>376164</v>
      </c>
      <c r="BT25" s="336">
        <v>367036</v>
      </c>
      <c r="BU25" s="336">
        <v>357672</v>
      </c>
      <c r="BV25" s="336">
        <v>344928</v>
      </c>
      <c r="BW25" s="336">
        <v>329857</v>
      </c>
      <c r="BX25" s="336">
        <v>319451</v>
      </c>
      <c r="BY25" s="336">
        <v>309724</v>
      </c>
      <c r="BZ25" s="336">
        <v>294558</v>
      </c>
      <c r="CA25" s="336">
        <v>282293</v>
      </c>
      <c r="CB25" s="336">
        <v>268536</v>
      </c>
      <c r="CC25" s="336">
        <v>266443</v>
      </c>
      <c r="CD25" s="336">
        <v>260410</v>
      </c>
      <c r="CE25" s="336">
        <v>249450</v>
      </c>
      <c r="CF25" s="336">
        <v>249080</v>
      </c>
      <c r="CG25" s="336">
        <v>249070</v>
      </c>
      <c r="CH25" s="336">
        <v>252982</v>
      </c>
      <c r="CI25" s="336">
        <v>263625</v>
      </c>
      <c r="CJ25" s="336">
        <v>283090</v>
      </c>
      <c r="CK25" s="336">
        <v>211587</v>
      </c>
      <c r="CL25" s="336">
        <v>200401</v>
      </c>
      <c r="CM25" s="336">
        <v>195036</v>
      </c>
      <c r="CN25" s="336">
        <v>174093</v>
      </c>
      <c r="CO25" s="336">
        <v>149572</v>
      </c>
      <c r="CP25" s="336">
        <v>127665</v>
      </c>
      <c r="CQ25" s="336">
        <v>127183</v>
      </c>
      <c r="CR25" s="336">
        <v>120061</v>
      </c>
      <c r="CS25" s="336">
        <v>109873</v>
      </c>
      <c r="CT25" s="336">
        <v>97456</v>
      </c>
      <c r="CU25" s="336">
        <v>84705</v>
      </c>
      <c r="CV25" s="336">
        <v>73428</v>
      </c>
      <c r="CW25" s="336">
        <v>60864</v>
      </c>
      <c r="CX25" s="336">
        <v>51376</v>
      </c>
      <c r="CY25" s="336">
        <v>170964</v>
      </c>
      <c r="CZ25" s="336">
        <v>291186</v>
      </c>
      <c r="DA25" s="336">
        <v>289546</v>
      </c>
      <c r="DB25" s="336">
        <v>300800</v>
      </c>
      <c r="DC25" s="336">
        <v>305906</v>
      </c>
      <c r="DD25" s="336">
        <v>310539</v>
      </c>
      <c r="DE25" s="336">
        <v>318263</v>
      </c>
      <c r="DF25" s="336">
        <v>326932</v>
      </c>
      <c r="DG25" s="336">
        <v>324633</v>
      </c>
      <c r="DH25" s="336">
        <v>326780</v>
      </c>
      <c r="DI25" s="336">
        <v>334543</v>
      </c>
      <c r="DJ25" s="336">
        <v>344341</v>
      </c>
      <c r="DK25" s="336">
        <v>343967</v>
      </c>
      <c r="DL25" s="336">
        <v>339949</v>
      </c>
      <c r="DM25" s="336">
        <v>337345</v>
      </c>
      <c r="DN25" s="336">
        <v>340474</v>
      </c>
      <c r="DO25" s="336">
        <v>326885</v>
      </c>
      <c r="DP25" s="336">
        <v>319023</v>
      </c>
      <c r="DQ25" s="336">
        <v>317906</v>
      </c>
      <c r="DR25" s="336">
        <v>318297</v>
      </c>
      <c r="DS25" s="336">
        <v>319325</v>
      </c>
      <c r="DT25" s="336">
        <v>325075</v>
      </c>
      <c r="DU25" s="336">
        <v>327194</v>
      </c>
      <c r="DV25" s="336">
        <v>333614</v>
      </c>
      <c r="DW25" s="336">
        <v>350669</v>
      </c>
      <c r="DX25" s="336">
        <v>358581</v>
      </c>
      <c r="DY25" s="336">
        <v>367839</v>
      </c>
      <c r="DZ25" s="336">
        <v>363988</v>
      </c>
      <c r="EA25" s="336">
        <v>374022</v>
      </c>
      <c r="EB25" s="336">
        <v>387522</v>
      </c>
      <c r="EC25" s="336">
        <v>390671</v>
      </c>
      <c r="ED25" s="336">
        <v>404331</v>
      </c>
      <c r="EE25" s="336">
        <v>410921</v>
      </c>
      <c r="EF25" s="336">
        <v>413176</v>
      </c>
      <c r="EG25" s="336">
        <v>411450</v>
      </c>
      <c r="EH25" s="336">
        <v>417983</v>
      </c>
      <c r="EI25" s="336">
        <v>409203</v>
      </c>
      <c r="EJ25" s="336">
        <v>404000</v>
      </c>
      <c r="EK25" s="336">
        <v>401928</v>
      </c>
      <c r="EL25" s="336">
        <v>389436</v>
      </c>
      <c r="EM25" s="336">
        <v>389518</v>
      </c>
      <c r="EN25" s="336">
        <v>386124</v>
      </c>
      <c r="EO25" s="336">
        <v>390735</v>
      </c>
      <c r="EP25" s="336">
        <v>390956</v>
      </c>
      <c r="EQ25" s="336">
        <v>373536</v>
      </c>
      <c r="ER25" s="336">
        <v>346385</v>
      </c>
      <c r="ES25" s="336">
        <v>339293</v>
      </c>
      <c r="ET25" s="336">
        <v>345871</v>
      </c>
      <c r="EU25" s="336">
        <v>353016</v>
      </c>
      <c r="EV25" s="336">
        <v>356906</v>
      </c>
      <c r="EW25" s="336">
        <v>370244</v>
      </c>
      <c r="EX25" s="336">
        <v>384214</v>
      </c>
      <c r="EY25" s="336">
        <v>399644</v>
      </c>
      <c r="EZ25" s="336">
        <v>389031</v>
      </c>
      <c r="FA25" s="336">
        <v>397139</v>
      </c>
      <c r="FB25" s="336">
        <v>395547</v>
      </c>
      <c r="FC25" s="336">
        <v>396676</v>
      </c>
      <c r="FD25" s="336">
        <v>396578</v>
      </c>
      <c r="FE25" s="336">
        <v>396708</v>
      </c>
      <c r="FF25" s="336">
        <v>390539</v>
      </c>
      <c r="FG25" s="336">
        <v>380695</v>
      </c>
      <c r="FH25" s="336">
        <v>371143</v>
      </c>
      <c r="FI25" s="336">
        <v>355407</v>
      </c>
      <c r="FJ25" s="336">
        <v>340408</v>
      </c>
      <c r="FK25" s="336">
        <v>331322</v>
      </c>
      <c r="FL25" s="336">
        <v>321164</v>
      </c>
      <c r="FM25" s="336">
        <v>308551</v>
      </c>
      <c r="FN25" s="336">
        <v>295719</v>
      </c>
      <c r="FO25" s="336">
        <v>284931</v>
      </c>
      <c r="FP25" s="336">
        <v>285437</v>
      </c>
      <c r="FQ25" s="336">
        <v>278929</v>
      </c>
      <c r="FR25" s="336">
        <v>271460</v>
      </c>
      <c r="FS25" s="336">
        <v>271487</v>
      </c>
      <c r="FT25" s="336">
        <v>275610</v>
      </c>
      <c r="FU25" s="336">
        <v>280129</v>
      </c>
      <c r="FV25" s="336">
        <v>294843</v>
      </c>
      <c r="FW25" s="336">
        <v>316380</v>
      </c>
      <c r="FX25" s="336">
        <v>240292</v>
      </c>
      <c r="FY25" s="336">
        <v>230370</v>
      </c>
      <c r="FZ25" s="336">
        <v>225985</v>
      </c>
      <c r="GA25" s="336">
        <v>206546</v>
      </c>
      <c r="GB25" s="336">
        <v>181398</v>
      </c>
      <c r="GC25" s="336">
        <v>159103</v>
      </c>
      <c r="GD25" s="336">
        <v>161482</v>
      </c>
      <c r="GE25" s="336">
        <v>155577</v>
      </c>
      <c r="GF25" s="336">
        <v>145759</v>
      </c>
      <c r="GG25" s="336">
        <v>132931</v>
      </c>
      <c r="GH25" s="336">
        <v>120255</v>
      </c>
      <c r="GI25" s="336">
        <v>107758</v>
      </c>
      <c r="GJ25" s="336">
        <v>93505</v>
      </c>
      <c r="GK25" s="336">
        <v>82264</v>
      </c>
      <c r="GL25" s="336">
        <v>349365</v>
      </c>
    </row>
    <row r="26" spans="1:194" s="8" customFormat="1" x14ac:dyDescent="0.25">
      <c r="A26" s="32" t="s">
        <v>62</v>
      </c>
      <c r="B26" s="356" t="s">
        <v>105</v>
      </c>
      <c r="C26" s="33" t="s">
        <v>106</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25">
      <c r="A27" s="38" t="s">
        <v>62</v>
      </c>
      <c r="B27" s="357" t="s">
        <v>107</v>
      </c>
      <c r="C27" s="39" t="s">
        <v>108</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5">
      <c r="A28" s="44"/>
      <c r="B28" s="358"/>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5">
      <c r="A29" s="83" t="s">
        <v>89</v>
      </c>
      <c r="B29" s="359" t="s">
        <v>109</v>
      </c>
      <c r="C29" s="72" t="str">
        <f t="shared" ref="C29:C92" si="4">CONCATENATE(A29," - ",B29)</f>
        <v xml:space="preserve">England – CCGs - Barnsley </v>
      </c>
      <c r="D29" s="61">
        <f>I29</f>
        <v>95316</v>
      </c>
      <c r="E29" s="61">
        <f>J29</f>
        <v>100485</v>
      </c>
      <c r="F29" s="338">
        <f>G29+H29</f>
        <v>246482</v>
      </c>
      <c r="G29" s="338">
        <f>SUM(M29:CY29)</f>
        <v>121223</v>
      </c>
      <c r="H29" s="62">
        <f>SUM(CZ29:GL29)</f>
        <v>125259</v>
      </c>
      <c r="I29" s="62">
        <f>SUM(AE29:CY29)</f>
        <v>95316</v>
      </c>
      <c r="J29" s="62">
        <f>SUM(DR29:GL29)</f>
        <v>100485</v>
      </c>
      <c r="K29" s="339">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25">
      <c r="A30" s="87" t="s">
        <v>89</v>
      </c>
      <c r="B30" s="359" t="s">
        <v>110</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25">
      <c r="A31" s="87" t="s">
        <v>89</v>
      </c>
      <c r="B31" s="359" t="s">
        <v>111</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25">
      <c r="A32" s="87" t="s">
        <v>89</v>
      </c>
      <c r="B32" s="359" t="s">
        <v>112</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25">
      <c r="A33" s="87" t="s">
        <v>89</v>
      </c>
      <c r="B33" s="359" t="s">
        <v>113</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25">
      <c r="A34" s="87" t="s">
        <v>89</v>
      </c>
      <c r="B34" s="359" t="s">
        <v>114</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25">
      <c r="A35" s="87" t="s">
        <v>89</v>
      </c>
      <c r="B35" s="359" t="s">
        <v>115</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25">
      <c r="A36" s="87" t="s">
        <v>89</v>
      </c>
      <c r="B36" s="359" t="s">
        <v>116</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25">
      <c r="A37" s="87" t="s">
        <v>89</v>
      </c>
      <c r="B37" s="359" t="s">
        <v>117</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25">
      <c r="A38" s="87" t="s">
        <v>89</v>
      </c>
      <c r="B38" s="359" t="s">
        <v>118</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25">
      <c r="A39" s="87" t="s">
        <v>89</v>
      </c>
      <c r="B39" s="359" t="s">
        <v>119</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25">
      <c r="A40" s="87" t="s">
        <v>89</v>
      </c>
      <c r="B40" s="359" t="s">
        <v>120</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25">
      <c r="A41" s="87" t="s">
        <v>89</v>
      </c>
      <c r="B41" s="359" t="s">
        <v>121</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25">
      <c r="A42" s="87" t="s">
        <v>89</v>
      </c>
      <c r="B42" s="359" t="s">
        <v>122</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25">
      <c r="A43" s="87" t="s">
        <v>89</v>
      </c>
      <c r="B43" s="359" t="s">
        <v>123</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25">
      <c r="A44" s="87" t="s">
        <v>89</v>
      </c>
      <c r="B44" s="359" t="s">
        <v>124</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25">
      <c r="A45" s="87" t="s">
        <v>89</v>
      </c>
      <c r="B45" s="359" t="s">
        <v>125</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25">
      <c r="A46" s="87" t="s">
        <v>89</v>
      </c>
      <c r="B46" s="359" t="s">
        <v>126</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25">
      <c r="A47" s="87" t="s">
        <v>89</v>
      </c>
      <c r="B47" s="359" t="s">
        <v>127</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25">
      <c r="A48" s="87" t="s">
        <v>89</v>
      </c>
      <c r="B48" s="359" t="s">
        <v>128</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25">
      <c r="A49" s="87" t="s">
        <v>89</v>
      </c>
      <c r="B49" s="359" t="s">
        <v>129</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25">
      <c r="A50" s="87" t="s">
        <v>89</v>
      </c>
      <c r="B50" s="359" t="s">
        <v>130</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25">
      <c r="A51" s="87" t="s">
        <v>89</v>
      </c>
      <c r="B51" s="359" t="s">
        <v>131</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25">
      <c r="A52" s="87" t="s">
        <v>89</v>
      </c>
      <c r="B52" s="359" t="s">
        <v>132</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25">
      <c r="A53" s="87" t="s">
        <v>89</v>
      </c>
      <c r="B53" s="359" t="s">
        <v>133</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25">
      <c r="A54" s="87" t="s">
        <v>89</v>
      </c>
      <c r="B54" s="359" t="s">
        <v>134</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25">
      <c r="A55" s="87" t="s">
        <v>89</v>
      </c>
      <c r="B55" s="359" t="s">
        <v>135</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25">
      <c r="A56" s="87" t="s">
        <v>89</v>
      </c>
      <c r="B56" s="359" t="s">
        <v>136</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25">
      <c r="A57" s="87" t="s">
        <v>89</v>
      </c>
      <c r="B57" s="359" t="s">
        <v>137</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25">
      <c r="A58" s="87" t="s">
        <v>89</v>
      </c>
      <c r="B58" s="359" t="s">
        <v>138</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25">
      <c r="A59" s="87" t="s">
        <v>89</v>
      </c>
      <c r="B59" s="359" t="s">
        <v>139</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25">
      <c r="A60" s="87" t="s">
        <v>89</v>
      </c>
      <c r="B60" s="359" t="s">
        <v>140</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25">
      <c r="A61" s="87" t="s">
        <v>89</v>
      </c>
      <c r="B61" s="359" t="s">
        <v>141</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25">
      <c r="A62" s="87" t="s">
        <v>89</v>
      </c>
      <c r="B62" s="359" t="s">
        <v>142</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25">
      <c r="A63" s="87" t="s">
        <v>89</v>
      </c>
      <c r="B63" s="359" t="s">
        <v>143</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25">
      <c r="A64" s="87" t="s">
        <v>89</v>
      </c>
      <c r="B64" s="359" t="s">
        <v>144</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25">
      <c r="A65" s="87" t="s">
        <v>89</v>
      </c>
      <c r="B65" s="359" t="s">
        <v>145</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25">
      <c r="A66" s="87" t="s">
        <v>89</v>
      </c>
      <c r="B66" s="359" t="s">
        <v>146</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25">
      <c r="A67" s="87" t="s">
        <v>89</v>
      </c>
      <c r="B67" s="359" t="s">
        <v>147</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25">
      <c r="A68" s="87" t="s">
        <v>89</v>
      </c>
      <c r="B68" s="359" t="s">
        <v>148</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25">
      <c r="A69" s="87" t="s">
        <v>89</v>
      </c>
      <c r="B69" s="359" t="s">
        <v>149</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25">
      <c r="A70" s="87" t="s">
        <v>89</v>
      </c>
      <c r="B70" s="359" t="s">
        <v>150</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25">
      <c r="A71" s="87" t="s">
        <v>89</v>
      </c>
      <c r="B71" s="359" t="s">
        <v>151</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25">
      <c r="A72" s="87" t="s">
        <v>89</v>
      </c>
      <c r="B72" s="359" t="s">
        <v>152</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25">
      <c r="A73" s="87" t="s">
        <v>89</v>
      </c>
      <c r="B73" s="359" t="s">
        <v>153</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25">
      <c r="A74" s="87" t="s">
        <v>89</v>
      </c>
      <c r="B74" s="359" t="s">
        <v>154</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25">
      <c r="A75" s="87" t="s">
        <v>89</v>
      </c>
      <c r="B75" s="359" t="s">
        <v>155</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25">
      <c r="A76" s="87" t="s">
        <v>89</v>
      </c>
      <c r="B76" s="359" t="s">
        <v>156</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25">
      <c r="A77" s="87" t="s">
        <v>89</v>
      </c>
      <c r="B77" s="359" t="s">
        <v>157</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25">
      <c r="A78" s="87" t="s">
        <v>89</v>
      </c>
      <c r="B78" s="359" t="s">
        <v>158</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25">
      <c r="A79" s="87" t="s">
        <v>89</v>
      </c>
      <c r="B79" s="359" t="s">
        <v>159</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25">
      <c r="A80" s="87" t="s">
        <v>89</v>
      </c>
      <c r="B80" s="359" t="s">
        <v>160</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25">
      <c r="A81" s="87" t="s">
        <v>89</v>
      </c>
      <c r="B81" s="359" t="s">
        <v>161</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25">
      <c r="A82" s="87" t="s">
        <v>89</v>
      </c>
      <c r="B82" s="359" t="s">
        <v>162</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25">
      <c r="A83" s="87" t="s">
        <v>89</v>
      </c>
      <c r="B83" s="359" t="s">
        <v>163</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25">
      <c r="A84" s="87" t="s">
        <v>89</v>
      </c>
      <c r="B84" s="359" t="s">
        <v>164</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25">
      <c r="A85" s="87" t="s">
        <v>89</v>
      </c>
      <c r="B85" s="359" t="s">
        <v>165</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25">
      <c r="A86" s="87" t="s">
        <v>89</v>
      </c>
      <c r="B86" s="359" t="s">
        <v>166</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25">
      <c r="A87" s="87" t="s">
        <v>89</v>
      </c>
      <c r="B87" s="359" t="s">
        <v>167</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25">
      <c r="A88" s="87" t="s">
        <v>89</v>
      </c>
      <c r="B88" s="359" t="s">
        <v>168</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25">
      <c r="A89" s="87" t="s">
        <v>89</v>
      </c>
      <c r="B89" s="359" t="s">
        <v>169</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25">
      <c r="A90" s="87" t="s">
        <v>89</v>
      </c>
      <c r="B90" s="359" t="s">
        <v>170</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25">
      <c r="A91" s="87" t="s">
        <v>89</v>
      </c>
      <c r="B91" s="359" t="s">
        <v>171</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25">
      <c r="A92" s="87" t="s">
        <v>89</v>
      </c>
      <c r="B92" s="359" t="s">
        <v>172</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25">
      <c r="A93" s="87" t="s">
        <v>89</v>
      </c>
      <c r="B93" s="359" t="s">
        <v>173</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25">
      <c r="A94" s="87" t="s">
        <v>89</v>
      </c>
      <c r="B94" s="359" t="s">
        <v>174</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25">
      <c r="A95" s="87" t="s">
        <v>89</v>
      </c>
      <c r="B95" s="359" t="s">
        <v>175</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25">
      <c r="A96" s="87" t="s">
        <v>89</v>
      </c>
      <c r="B96" s="359" t="s">
        <v>176</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25">
      <c r="A97" s="87" t="s">
        <v>89</v>
      </c>
      <c r="B97" s="359" t="s">
        <v>177</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25">
      <c r="A98" s="87" t="s">
        <v>89</v>
      </c>
      <c r="B98" s="359" t="s">
        <v>178</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25">
      <c r="A99" s="87" t="s">
        <v>89</v>
      </c>
      <c r="B99" s="359" t="s">
        <v>179</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25">
      <c r="A100" s="87" t="s">
        <v>89</v>
      </c>
      <c r="B100" s="359" t="s">
        <v>180</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25">
      <c r="A101" s="87" t="s">
        <v>89</v>
      </c>
      <c r="B101" s="359" t="s">
        <v>181</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25">
      <c r="A102" s="87" t="s">
        <v>89</v>
      </c>
      <c r="B102" s="359" t="s">
        <v>182</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25">
      <c r="A103" s="87" t="s">
        <v>89</v>
      </c>
      <c r="B103" s="359" t="s">
        <v>183</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25">
      <c r="A104" s="87" t="s">
        <v>89</v>
      </c>
      <c r="B104" s="359" t="s">
        <v>184</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25">
      <c r="A105" s="87" t="s">
        <v>89</v>
      </c>
      <c r="B105" s="359" t="s">
        <v>185</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25">
      <c r="A106" s="87" t="s">
        <v>89</v>
      </c>
      <c r="B106" s="359" t="s">
        <v>186</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25">
      <c r="A107" s="87" t="s">
        <v>89</v>
      </c>
      <c r="B107" s="359" t="s">
        <v>187</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25">
      <c r="A108" s="87" t="s">
        <v>89</v>
      </c>
      <c r="B108" s="359" t="s">
        <v>188</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25">
      <c r="A109" s="87" t="s">
        <v>89</v>
      </c>
      <c r="B109" s="359" t="s">
        <v>189</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25">
      <c r="A110" s="87" t="s">
        <v>89</v>
      </c>
      <c r="B110" s="359" t="s">
        <v>190</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25">
      <c r="A111" s="87" t="s">
        <v>89</v>
      </c>
      <c r="B111" s="359" t="s">
        <v>191</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25">
      <c r="A112" s="87" t="s">
        <v>89</v>
      </c>
      <c r="B112" s="359" t="s">
        <v>192</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25">
      <c r="A113" s="87" t="s">
        <v>89</v>
      </c>
      <c r="B113" s="359" t="s">
        <v>193</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25">
      <c r="A114" s="87" t="s">
        <v>89</v>
      </c>
      <c r="B114" s="359" t="s">
        <v>194</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25">
      <c r="A115" s="87" t="s">
        <v>89</v>
      </c>
      <c r="B115" s="359" t="s">
        <v>195</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25">
      <c r="A116" s="87" t="s">
        <v>89</v>
      </c>
      <c r="B116" s="359" t="s">
        <v>196</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25">
      <c r="A117" s="87" t="s">
        <v>89</v>
      </c>
      <c r="B117" s="359" t="s">
        <v>197</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25">
      <c r="A118" s="87" t="s">
        <v>89</v>
      </c>
      <c r="B118" s="359" t="s">
        <v>198</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25">
      <c r="A119" s="87" t="s">
        <v>89</v>
      </c>
      <c r="B119" s="359" t="s">
        <v>199</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25">
      <c r="A120" s="87" t="s">
        <v>89</v>
      </c>
      <c r="B120" s="359" t="s">
        <v>200</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25">
      <c r="A121" s="87" t="s">
        <v>89</v>
      </c>
      <c r="B121" s="359" t="s">
        <v>201</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25">
      <c r="A122" s="87" t="s">
        <v>89</v>
      </c>
      <c r="B122" s="359" t="s">
        <v>202</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25">
      <c r="A123" s="87" t="s">
        <v>89</v>
      </c>
      <c r="B123" s="359" t="s">
        <v>203</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25">
      <c r="A124" s="87" t="s">
        <v>89</v>
      </c>
      <c r="B124" s="359" t="s">
        <v>204</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25">
      <c r="A125" s="87" t="s">
        <v>89</v>
      </c>
      <c r="B125" s="359" t="s">
        <v>205</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25">
      <c r="A126" s="87" t="s">
        <v>89</v>
      </c>
      <c r="B126" s="359" t="s">
        <v>206</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25">
      <c r="A127" s="87" t="s">
        <v>89</v>
      </c>
      <c r="B127" s="359" t="s">
        <v>207</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25">
      <c r="A128" s="87" t="s">
        <v>89</v>
      </c>
      <c r="B128" s="359" t="s">
        <v>208</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25">
      <c r="A129" s="87" t="s">
        <v>89</v>
      </c>
      <c r="B129" s="359" t="s">
        <v>209</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25">
      <c r="A130" s="87" t="s">
        <v>89</v>
      </c>
      <c r="B130" s="359" t="s">
        <v>210</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25">
      <c r="A131" s="87" t="s">
        <v>89</v>
      </c>
      <c r="B131" s="359" t="s">
        <v>211</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25">
      <c r="A132" s="87" t="s">
        <v>89</v>
      </c>
      <c r="B132" s="359" t="s">
        <v>212</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25">
      <c r="A133" s="87" t="s">
        <v>89</v>
      </c>
      <c r="B133" s="359" t="s">
        <v>213</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25">
      <c r="A134" s="87" t="s">
        <v>89</v>
      </c>
      <c r="B134" s="359" t="s">
        <v>214</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x14ac:dyDescent="0.25">
      <c r="A135" s="113"/>
      <c r="B135" s="360"/>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25">
      <c r="A136" s="54" t="s">
        <v>68</v>
      </c>
      <c r="B136" s="361" t="s">
        <v>215</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25">
      <c r="A137" s="54" t="s">
        <v>68</v>
      </c>
      <c r="B137" s="362" t="s">
        <v>216</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25">
      <c r="A138" s="54" t="s">
        <v>68</v>
      </c>
      <c r="B138" s="362" t="s">
        <v>217</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25">
      <c r="A139" s="54" t="s">
        <v>68</v>
      </c>
      <c r="B139" s="362" t="s">
        <v>218</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25">
      <c r="A140" s="54" t="s">
        <v>68</v>
      </c>
      <c r="B140" s="362" t="s">
        <v>219</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25">
      <c r="A141" s="54" t="s">
        <v>68</v>
      </c>
      <c r="B141" s="362" t="s">
        <v>220</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25">
      <c r="A142" s="55" t="s">
        <v>68</v>
      </c>
      <c r="B142" s="363" t="s">
        <v>221</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x14ac:dyDescent="0.25">
      <c r="A143" s="117"/>
      <c r="B143" s="364"/>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25">
      <c r="A144" s="59" t="s">
        <v>71</v>
      </c>
      <c r="B144" s="361" t="s">
        <v>222</v>
      </c>
      <c r="C144" s="72" t="str">
        <f>CONCATENATE(A144," - ",B144)</f>
        <v>NI – Health and Social Care Trusts - Belfast Health and Social Care Trust</v>
      </c>
      <c r="D144" s="61">
        <f t="shared" ref="D144:E148" si="33">I144</f>
        <v>138553.97738288154</v>
      </c>
      <c r="E144" s="61">
        <f t="shared" si="33"/>
        <v>149546.65719477332</v>
      </c>
      <c r="F144" s="338">
        <f>G144+H144</f>
        <v>364103.61922965694</v>
      </c>
      <c r="G144" s="338">
        <f>SUM(M144:CY144)</f>
        <v>177508.17393508262</v>
      </c>
      <c r="H144" s="62">
        <f>SUM(CZ144:GL144)</f>
        <v>186595.44529457431</v>
      </c>
      <c r="I144" s="62">
        <f>SUM(AE144:CY144)</f>
        <v>138553.97738288154</v>
      </c>
      <c r="J144" s="62">
        <f>SUM(DR144:GL144)</f>
        <v>149546.65719477332</v>
      </c>
      <c r="K144" s="339">
        <f>SUM(M144:AD144)</f>
        <v>38954.196552201036</v>
      </c>
      <c r="L144" s="61">
        <f>SUM(CZ144:DQ144)</f>
        <v>37048.788099800979</v>
      </c>
      <c r="M144" s="339">
        <v>2017.8952120383037</v>
      </c>
      <c r="N144" s="339">
        <v>2031.4154300095463</v>
      </c>
      <c r="O144" s="339">
        <v>2025.5722779004586</v>
      </c>
      <c r="P144" s="339">
        <v>2036.6363244919048</v>
      </c>
      <c r="Q144" s="339">
        <v>2174.8657606103957</v>
      </c>
      <c r="R144" s="339">
        <v>2139.1275684252282</v>
      </c>
      <c r="S144" s="339">
        <v>2269.8788621098379</v>
      </c>
      <c r="T144" s="339">
        <v>2199.8731034482757</v>
      </c>
      <c r="U144" s="339">
        <v>2214.1918960244648</v>
      </c>
      <c r="V144" s="339">
        <v>2323.0202012443356</v>
      </c>
      <c r="W144" s="339">
        <v>2319.2258355916892</v>
      </c>
      <c r="X144" s="339">
        <v>2302.9974595842955</v>
      </c>
      <c r="Y144" s="339">
        <v>2256.5049293083684</v>
      </c>
      <c r="Z144" s="339">
        <v>2212.0418107754977</v>
      </c>
      <c r="AA144" s="339">
        <v>2229.1199141767324</v>
      </c>
      <c r="AB144" s="339">
        <v>2134.8894582108355</v>
      </c>
      <c r="AC144" s="339">
        <v>2012.6591474539725</v>
      </c>
      <c r="AD144" s="339">
        <v>2054.2813607968933</v>
      </c>
      <c r="AE144" s="339">
        <v>2265.0450211864404</v>
      </c>
      <c r="AF144" s="339">
        <v>2804.7232134687529</v>
      </c>
      <c r="AG144" s="339">
        <v>2878.6458486407055</v>
      </c>
      <c r="AH144" s="339">
        <v>2648.2416475163518</v>
      </c>
      <c r="AI144" s="339">
        <v>2812.8031562871206</v>
      </c>
      <c r="AJ144" s="339">
        <v>2819.1729711141679</v>
      </c>
      <c r="AK144" s="339">
        <v>2731.7522704339053</v>
      </c>
      <c r="AL144" s="339">
        <v>2754.8174718956493</v>
      </c>
      <c r="AM144" s="339">
        <v>2792.2450211225105</v>
      </c>
      <c r="AN144" s="339">
        <v>2709.9772329246935</v>
      </c>
      <c r="AO144" s="339">
        <v>2693.0545391183132</v>
      </c>
      <c r="AP144" s="339">
        <v>2739.741847362131</v>
      </c>
      <c r="AQ144" s="339">
        <v>2738.9105892047796</v>
      </c>
      <c r="AR144" s="339">
        <v>2711.0666008067833</v>
      </c>
      <c r="AS144" s="339">
        <v>2782.8070289619263</v>
      </c>
      <c r="AT144" s="339">
        <v>2691.3420944220152</v>
      </c>
      <c r="AU144" s="339">
        <v>2575.2371291098634</v>
      </c>
      <c r="AV144" s="339">
        <v>2616.3572226656024</v>
      </c>
      <c r="AW144" s="339">
        <v>2585.9089460686691</v>
      </c>
      <c r="AX144" s="339">
        <v>2533.264568094025</v>
      </c>
      <c r="AY144" s="339">
        <v>2413.1614349775782</v>
      </c>
      <c r="AZ144" s="339">
        <v>2431.4496314496314</v>
      </c>
      <c r="BA144" s="339">
        <v>2293.8903732491299</v>
      </c>
      <c r="BB144" s="339">
        <v>2344.819097470061</v>
      </c>
      <c r="BC144" s="339">
        <v>2403.7633319021038</v>
      </c>
      <c r="BD144" s="339">
        <v>2239.8626248466794</v>
      </c>
      <c r="BE144" s="339">
        <v>2047.4737312365976</v>
      </c>
      <c r="BF144" s="339">
        <v>2052.8353243075835</v>
      </c>
      <c r="BG144" s="339">
        <v>1984.3233076189651</v>
      </c>
      <c r="BH144" s="339">
        <v>1967.3126347206103</v>
      </c>
      <c r="BI144" s="339">
        <v>1977.5348837209303</v>
      </c>
      <c r="BJ144" s="339">
        <v>2084.857469993683</v>
      </c>
      <c r="BK144" s="339">
        <v>2131.2999446158715</v>
      </c>
      <c r="BL144" s="339">
        <v>2143.6819436775263</v>
      </c>
      <c r="BM144" s="339">
        <v>2073.8563380281689</v>
      </c>
      <c r="BN144" s="339">
        <v>2300.7910402197972</v>
      </c>
      <c r="BO144" s="339">
        <v>2326.6164287385909</v>
      </c>
      <c r="BP144" s="339">
        <v>2307.9060786106033</v>
      </c>
      <c r="BQ144" s="339">
        <v>2344.6145362640732</v>
      </c>
      <c r="BR144" s="339">
        <v>2368.012116504854</v>
      </c>
      <c r="BS144" s="339">
        <v>2252.978437722139</v>
      </c>
      <c r="BT144" s="339">
        <v>2241.3179516972359</v>
      </c>
      <c r="BU144" s="339">
        <v>2297.6054466954502</v>
      </c>
      <c r="BV144" s="339">
        <v>2198.0522088353414</v>
      </c>
      <c r="BW144" s="339">
        <v>2021.5031326614003</v>
      </c>
      <c r="BX144" s="339">
        <v>2002.5265144540601</v>
      </c>
      <c r="BY144" s="339">
        <v>1890.3538506703198</v>
      </c>
      <c r="BZ144" s="339">
        <v>1822.7951142631994</v>
      </c>
      <c r="CA144" s="339">
        <v>1687.8206664564279</v>
      </c>
      <c r="CB144" s="339">
        <v>1588.8602704443015</v>
      </c>
      <c r="CC144" s="339">
        <v>1552.3684032476319</v>
      </c>
      <c r="CD144" s="339">
        <v>1527.1244533743056</v>
      </c>
      <c r="CE144" s="339">
        <v>1273.9034871433603</v>
      </c>
      <c r="CF144" s="339">
        <v>1290.2680573978055</v>
      </c>
      <c r="CG144" s="339">
        <v>1292.323121170439</v>
      </c>
      <c r="CH144" s="339">
        <v>1203.3575933400607</v>
      </c>
      <c r="CI144" s="339">
        <v>1137.5975561687032</v>
      </c>
      <c r="CJ144" s="339">
        <v>1181.2559576345984</v>
      </c>
      <c r="CK144" s="339">
        <v>1033.272138554217</v>
      </c>
      <c r="CL144" s="339">
        <v>966.99722735674675</v>
      </c>
      <c r="CM144" s="339">
        <v>986.02355350742448</v>
      </c>
      <c r="CN144" s="339">
        <v>974.00968523002427</v>
      </c>
      <c r="CO144" s="339">
        <v>796.9</v>
      </c>
      <c r="CP144" s="339">
        <v>696.19117288466236</v>
      </c>
      <c r="CQ144" s="339">
        <v>621.99595857539782</v>
      </c>
      <c r="CR144" s="339">
        <v>600.77992957746471</v>
      </c>
      <c r="CS144" s="339">
        <v>583.85111740635818</v>
      </c>
      <c r="CT144" s="339">
        <v>522.79582712369597</v>
      </c>
      <c r="CU144" s="339">
        <v>452.41860465116281</v>
      </c>
      <c r="CV144" s="339">
        <v>372.84571129707109</v>
      </c>
      <c r="CW144" s="339">
        <v>312.34061135371184</v>
      </c>
      <c r="CX144" s="339">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25">
      <c r="A145" s="59" t="s">
        <v>71</v>
      </c>
      <c r="B145" s="362" t="s">
        <v>223</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25">
      <c r="A146" s="59" t="s">
        <v>71</v>
      </c>
      <c r="B146" s="362" t="s">
        <v>224</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25">
      <c r="A147" s="59" t="s">
        <v>71</v>
      </c>
      <c r="B147" s="362" t="s">
        <v>225</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25">
      <c r="A148" s="63" t="s">
        <v>71</v>
      </c>
      <c r="B148" s="363" t="s">
        <v>226</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x14ac:dyDescent="0.25">
      <c r="A149" s="117"/>
      <c r="B149" s="364"/>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25">
      <c r="A150" s="73" t="s">
        <v>66</v>
      </c>
      <c r="B150" s="365" t="s">
        <v>227</v>
      </c>
      <c r="C150" s="72" t="str">
        <f>CONCATENATE(A150," - ",B150)</f>
        <v>NHSE regions - East of England</v>
      </c>
      <c r="D150" s="61">
        <f t="shared" ref="D150:E156" si="35">I150</f>
        <v>2447757</v>
      </c>
      <c r="E150" s="61">
        <f t="shared" si="35"/>
        <v>2602371</v>
      </c>
      <c r="F150" s="338">
        <f t="shared" ref="F150:F156" si="36">G150+H150</f>
        <v>6398497</v>
      </c>
      <c r="G150" s="338">
        <f t="shared" ref="G150:G156" si="37">SUM(M150:CY150)</f>
        <v>3138914</v>
      </c>
      <c r="H150" s="62">
        <f t="shared" ref="H150:H156" si="38">SUM(CZ150:GL150)</f>
        <v>3259583</v>
      </c>
      <c r="I150" s="62">
        <f t="shared" ref="I150:I156" si="39">SUM(AE150:CY150)</f>
        <v>2447757</v>
      </c>
      <c r="J150" s="62">
        <f t="shared" ref="J150:J156" si="40">SUM(DR150:GL150)</f>
        <v>2602371</v>
      </c>
      <c r="K150" s="339">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25">
      <c r="A151" s="64" t="s">
        <v>66</v>
      </c>
      <c r="B151" s="365" t="s">
        <v>228</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25">
      <c r="A152" s="64" t="s">
        <v>66</v>
      </c>
      <c r="B152" s="365" t="s">
        <v>229</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25">
      <c r="A153" s="64" t="s">
        <v>66</v>
      </c>
      <c r="B153" s="365" t="s">
        <v>230</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25">
      <c r="A154" s="64" t="s">
        <v>66</v>
      </c>
      <c r="B154" s="365" t="s">
        <v>231</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25">
      <c r="A155" s="64" t="s">
        <v>66</v>
      </c>
      <c r="B155" s="365" t="s">
        <v>232</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5">
      <c r="A156" s="140" t="s">
        <v>66</v>
      </c>
      <c r="B156" s="365" t="s">
        <v>233</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x14ac:dyDescent="0.25">
      <c r="A157" s="118"/>
      <c r="B157" s="366"/>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337"/>
      <c r="O157" s="337"/>
      <c r="P157" s="337"/>
      <c r="Q157" s="337"/>
      <c r="R157" s="337"/>
      <c r="S157" s="337"/>
      <c r="T157" s="337"/>
      <c r="U157" s="337"/>
      <c r="V157" s="337"/>
      <c r="W157" s="337"/>
      <c r="X157" s="337"/>
      <c r="Y157" s="337"/>
      <c r="Z157" s="337"/>
      <c r="AA157" s="337"/>
      <c r="AB157" s="337"/>
      <c r="AC157" s="337"/>
      <c r="AD157" s="337"/>
      <c r="AE157" s="337"/>
      <c r="AF157" s="337"/>
      <c r="AG157" s="337"/>
      <c r="AH157" s="337"/>
      <c r="AI157" s="337"/>
      <c r="AJ157" s="337"/>
      <c r="AK157" s="337"/>
      <c r="AL157" s="337"/>
      <c r="AM157" s="337"/>
      <c r="AN157" s="337"/>
      <c r="AO157" s="337"/>
      <c r="AP157" s="337"/>
      <c r="AQ157" s="337"/>
      <c r="AR157" s="337"/>
      <c r="AS157" s="337"/>
      <c r="AT157" s="337"/>
      <c r="AU157" s="337"/>
      <c r="AV157" s="337"/>
      <c r="AW157" s="337"/>
      <c r="AX157" s="337"/>
      <c r="AY157" s="337"/>
      <c r="AZ157" s="337"/>
      <c r="BA157" s="337"/>
      <c r="BB157" s="337"/>
      <c r="BC157" s="337"/>
      <c r="BD157" s="337"/>
      <c r="BE157" s="337"/>
      <c r="BF157" s="337"/>
      <c r="BG157" s="337"/>
      <c r="BH157" s="337"/>
      <c r="BI157" s="337"/>
      <c r="BJ157" s="337"/>
      <c r="BK157" s="337"/>
      <c r="BL157" s="337"/>
      <c r="BM157" s="337"/>
      <c r="BN157" s="337"/>
      <c r="BO157" s="337"/>
      <c r="BP157" s="337"/>
      <c r="BQ157" s="337"/>
      <c r="BR157" s="337"/>
      <c r="BS157" s="337"/>
      <c r="BT157" s="337"/>
      <c r="BU157" s="337"/>
      <c r="BV157" s="337"/>
      <c r="BW157" s="337"/>
      <c r="BX157" s="337"/>
      <c r="BY157" s="337"/>
      <c r="BZ157" s="337"/>
      <c r="CA157" s="337"/>
      <c r="CB157" s="337"/>
      <c r="CC157" s="337"/>
      <c r="CD157" s="337"/>
      <c r="CE157" s="337"/>
      <c r="CF157" s="337"/>
      <c r="CG157" s="337"/>
      <c r="CH157" s="337"/>
      <c r="CI157" s="337"/>
      <c r="CJ157" s="337"/>
      <c r="CK157" s="337"/>
      <c r="CL157" s="337"/>
      <c r="CM157" s="337"/>
      <c r="CN157" s="337"/>
      <c r="CO157" s="337"/>
      <c r="CP157" s="337"/>
      <c r="CQ157" s="337"/>
      <c r="CR157" s="337"/>
      <c r="CS157" s="337"/>
      <c r="CT157" s="337"/>
      <c r="CU157" s="337"/>
      <c r="CV157" s="337"/>
      <c r="CW157" s="337"/>
      <c r="CX157" s="337"/>
      <c r="CY157" s="77"/>
      <c r="CZ157" s="119"/>
      <c r="DA157" s="337"/>
      <c r="DB157" s="337"/>
      <c r="DC157" s="337"/>
      <c r="DD157" s="337"/>
      <c r="DE157" s="337"/>
      <c r="DF157" s="337"/>
      <c r="DG157" s="337"/>
      <c r="DH157" s="337"/>
      <c r="DI157" s="337"/>
      <c r="DJ157" s="337"/>
      <c r="DK157" s="337"/>
      <c r="DL157" s="337"/>
      <c r="DM157" s="337"/>
      <c r="DN157" s="337"/>
      <c r="DO157" s="337"/>
      <c r="DP157" s="337"/>
      <c r="DQ157" s="337"/>
      <c r="DR157" s="337"/>
      <c r="DS157" s="337"/>
      <c r="DT157" s="337"/>
      <c r="DU157" s="337"/>
      <c r="DV157" s="337"/>
      <c r="DW157" s="337"/>
      <c r="DX157" s="337"/>
      <c r="DY157" s="337"/>
      <c r="DZ157" s="337"/>
      <c r="EA157" s="337"/>
      <c r="EB157" s="337"/>
      <c r="EC157" s="337"/>
      <c r="ED157" s="337"/>
      <c r="EE157" s="337"/>
      <c r="EF157" s="337"/>
      <c r="EG157" s="337"/>
      <c r="EH157" s="337"/>
      <c r="EI157" s="337"/>
      <c r="EJ157" s="337"/>
      <c r="EK157" s="337"/>
      <c r="EL157" s="337"/>
      <c r="EM157" s="337"/>
      <c r="EN157" s="337"/>
      <c r="EO157" s="337"/>
      <c r="EP157" s="337"/>
      <c r="EQ157" s="337"/>
      <c r="ER157" s="337"/>
      <c r="ES157" s="337"/>
      <c r="ET157" s="337"/>
      <c r="EU157" s="337"/>
      <c r="EV157" s="337"/>
      <c r="EW157" s="337"/>
      <c r="EX157" s="337"/>
      <c r="EY157" s="337"/>
      <c r="EZ157" s="337"/>
      <c r="FA157" s="337"/>
      <c r="FB157" s="337"/>
      <c r="FC157" s="337"/>
      <c r="FD157" s="337"/>
      <c r="FE157" s="337"/>
      <c r="FF157" s="337"/>
      <c r="FG157" s="337"/>
      <c r="FH157" s="337"/>
      <c r="FI157" s="337"/>
      <c r="FJ157" s="337"/>
      <c r="FK157" s="337"/>
      <c r="FL157" s="337"/>
      <c r="FM157" s="337"/>
      <c r="FN157" s="337"/>
      <c r="FO157" s="337"/>
      <c r="FP157" s="337"/>
      <c r="FQ157" s="337"/>
      <c r="FR157" s="337"/>
      <c r="FS157" s="337"/>
      <c r="FT157" s="337"/>
      <c r="FU157" s="337"/>
      <c r="FV157" s="337"/>
      <c r="FW157" s="337"/>
      <c r="FX157" s="337"/>
      <c r="FY157" s="337"/>
      <c r="FZ157" s="337"/>
      <c r="GA157" s="337"/>
      <c r="GB157" s="337"/>
      <c r="GC157" s="337"/>
      <c r="GD157" s="337"/>
      <c r="GE157" s="337"/>
      <c r="GF157" s="337"/>
      <c r="GG157" s="337"/>
      <c r="GH157" s="337"/>
      <c r="GI157" s="337"/>
      <c r="GJ157" s="337"/>
      <c r="GK157" s="337"/>
      <c r="GL157" s="77"/>
    </row>
    <row r="158" spans="1:194" s="1" customFormat="1" x14ac:dyDescent="0.25">
      <c r="A158" s="108" t="s">
        <v>58</v>
      </c>
      <c r="B158" s="367" t="s">
        <v>234</v>
      </c>
      <c r="C158" s="340" t="str">
        <f t="shared" si="43"/>
        <v>England ICB - NHS Bath and North East Somerset, Swindon and Wiltshire Integrated Care Board</v>
      </c>
      <c r="D158" s="79">
        <f t="shared" ref="D158:E163" si="45">I158</f>
        <v>372192</v>
      </c>
      <c r="E158" s="79">
        <f t="shared" si="45"/>
        <v>388592</v>
      </c>
      <c r="F158" s="109">
        <f t="shared" ref="F158:F163" si="46">G158+H158</f>
        <v>953852</v>
      </c>
      <c r="G158" s="338">
        <f t="shared" ref="G158:G163" si="47">SUM(M158:CY158)</f>
        <v>470982</v>
      </c>
      <c r="H158" s="62">
        <f t="shared" ref="H158:H163" si="48">SUM(CZ158:GL158)</f>
        <v>482870</v>
      </c>
      <c r="I158" s="338">
        <f t="shared" ref="I158:I163" si="49">SUM(AE158:CY158)</f>
        <v>372192</v>
      </c>
      <c r="J158" s="104">
        <f t="shared" ref="J158:J163" si="50">SUM(DR158:GL158)</f>
        <v>388592</v>
      </c>
      <c r="K158" s="106">
        <f t="shared" ref="K158:K163" si="51">SUM(M158:AD158)</f>
        <v>98790</v>
      </c>
      <c r="L158" s="61">
        <f t="shared" ref="L158:L163" si="52">SUM(CZ158:DQ158)</f>
        <v>94278</v>
      </c>
      <c r="M158" s="106">
        <v>4647</v>
      </c>
      <c r="N158" s="339">
        <v>4706</v>
      </c>
      <c r="O158" s="339">
        <v>4907</v>
      </c>
      <c r="P158" s="339">
        <v>5108</v>
      </c>
      <c r="Q158" s="339">
        <v>5293</v>
      </c>
      <c r="R158" s="339">
        <v>5287</v>
      </c>
      <c r="S158" s="339">
        <v>5628</v>
      </c>
      <c r="T158" s="339">
        <v>5623</v>
      </c>
      <c r="U158" s="339">
        <v>5617</v>
      </c>
      <c r="V158" s="339">
        <v>5799</v>
      </c>
      <c r="W158" s="339">
        <v>6160</v>
      </c>
      <c r="X158" s="339">
        <v>6033</v>
      </c>
      <c r="Y158" s="339">
        <v>5955</v>
      </c>
      <c r="Z158" s="339">
        <v>5803</v>
      </c>
      <c r="AA158" s="339">
        <v>5710</v>
      </c>
      <c r="AB158" s="339">
        <v>5605</v>
      </c>
      <c r="AC158" s="339">
        <v>5496</v>
      </c>
      <c r="AD158" s="339">
        <v>5413</v>
      </c>
      <c r="AE158" s="339">
        <v>5967</v>
      </c>
      <c r="AF158" s="339">
        <v>6678</v>
      </c>
      <c r="AG158" s="339">
        <v>6216</v>
      </c>
      <c r="AH158" s="339">
        <v>5569</v>
      </c>
      <c r="AI158" s="339">
        <v>5932</v>
      </c>
      <c r="AJ158" s="339">
        <v>5961</v>
      </c>
      <c r="AK158" s="339">
        <v>5644</v>
      </c>
      <c r="AL158" s="339">
        <v>5569</v>
      </c>
      <c r="AM158" s="339">
        <v>5603</v>
      </c>
      <c r="AN158" s="339">
        <v>5436</v>
      </c>
      <c r="AO158" s="339">
        <v>5723</v>
      </c>
      <c r="AP158" s="339">
        <v>5509</v>
      </c>
      <c r="AQ158" s="339">
        <v>5906</v>
      </c>
      <c r="AR158" s="339">
        <v>5926</v>
      </c>
      <c r="AS158" s="339">
        <v>5999</v>
      </c>
      <c r="AT158" s="339">
        <v>5968</v>
      </c>
      <c r="AU158" s="339">
        <v>6124</v>
      </c>
      <c r="AV158" s="339">
        <v>6089</v>
      </c>
      <c r="AW158" s="339">
        <v>6037</v>
      </c>
      <c r="AX158" s="339">
        <v>5950</v>
      </c>
      <c r="AY158" s="339">
        <v>6029</v>
      </c>
      <c r="AZ158" s="339">
        <v>5880</v>
      </c>
      <c r="BA158" s="339">
        <v>5821</v>
      </c>
      <c r="BB158" s="339">
        <v>5960</v>
      </c>
      <c r="BC158" s="339">
        <v>6033</v>
      </c>
      <c r="BD158" s="339">
        <v>5922</v>
      </c>
      <c r="BE158" s="339">
        <v>5375</v>
      </c>
      <c r="BF158" s="339">
        <v>5274</v>
      </c>
      <c r="BG158" s="339">
        <v>5437</v>
      </c>
      <c r="BH158" s="339">
        <v>5820</v>
      </c>
      <c r="BI158" s="339">
        <v>5866</v>
      </c>
      <c r="BJ158" s="339">
        <v>6432</v>
      </c>
      <c r="BK158" s="339">
        <v>6631</v>
      </c>
      <c r="BL158" s="339">
        <v>6700</v>
      </c>
      <c r="BM158" s="339">
        <v>6536</v>
      </c>
      <c r="BN158" s="339">
        <v>6527</v>
      </c>
      <c r="BO158" s="339">
        <v>6586</v>
      </c>
      <c r="BP158" s="339">
        <v>6746</v>
      </c>
      <c r="BQ158" s="339">
        <v>6723</v>
      </c>
      <c r="BR158" s="339">
        <v>6887</v>
      </c>
      <c r="BS158" s="339">
        <v>6661</v>
      </c>
      <c r="BT158" s="339">
        <v>6550</v>
      </c>
      <c r="BU158" s="339">
        <v>6440</v>
      </c>
      <c r="BV158" s="339">
        <v>6192</v>
      </c>
      <c r="BW158" s="339">
        <v>5977</v>
      </c>
      <c r="BX158" s="339">
        <v>5691</v>
      </c>
      <c r="BY158" s="339">
        <v>5371</v>
      </c>
      <c r="BZ158" s="339">
        <v>5135</v>
      </c>
      <c r="CA158" s="339">
        <v>4863</v>
      </c>
      <c r="CB158" s="339">
        <v>4730</v>
      </c>
      <c r="CC158" s="339">
        <v>4797</v>
      </c>
      <c r="CD158" s="339">
        <v>4544</v>
      </c>
      <c r="CE158" s="339">
        <v>4485</v>
      </c>
      <c r="CF158" s="339">
        <v>4422</v>
      </c>
      <c r="CG158" s="339">
        <v>4421</v>
      </c>
      <c r="CH158" s="339">
        <v>4529</v>
      </c>
      <c r="CI158" s="339">
        <v>4861</v>
      </c>
      <c r="CJ158" s="339">
        <v>5197</v>
      </c>
      <c r="CK158" s="339">
        <v>3865</v>
      </c>
      <c r="CL158" s="339">
        <v>3773</v>
      </c>
      <c r="CM158" s="339">
        <v>3497</v>
      </c>
      <c r="CN158" s="339">
        <v>3141</v>
      </c>
      <c r="CO158" s="339">
        <v>2804</v>
      </c>
      <c r="CP158" s="339">
        <v>2380</v>
      </c>
      <c r="CQ158" s="339">
        <v>2335</v>
      </c>
      <c r="CR158" s="339">
        <v>2209</v>
      </c>
      <c r="CS158" s="339">
        <v>2008</v>
      </c>
      <c r="CT158" s="339">
        <v>1804</v>
      </c>
      <c r="CU158" s="339">
        <v>1625</v>
      </c>
      <c r="CV158" s="339">
        <v>1368</v>
      </c>
      <c r="CW158" s="339">
        <v>1144</v>
      </c>
      <c r="CX158" s="339">
        <v>1023</v>
      </c>
      <c r="CY158" s="61">
        <v>3359</v>
      </c>
      <c r="CZ158" s="106">
        <v>4395</v>
      </c>
      <c r="DA158" s="339">
        <v>4569</v>
      </c>
      <c r="DB158" s="339">
        <v>4724</v>
      </c>
      <c r="DC158" s="339">
        <v>4830</v>
      </c>
      <c r="DD158" s="339">
        <v>5033</v>
      </c>
      <c r="DE158" s="339">
        <v>5193</v>
      </c>
      <c r="DF158" s="339">
        <v>5362</v>
      </c>
      <c r="DG158" s="339">
        <v>5295</v>
      </c>
      <c r="DH158" s="339">
        <v>5344</v>
      </c>
      <c r="DI158" s="339">
        <v>5565</v>
      </c>
      <c r="DJ158" s="339">
        <v>5551</v>
      </c>
      <c r="DK158" s="339">
        <v>5719</v>
      </c>
      <c r="DL158" s="339">
        <v>5546</v>
      </c>
      <c r="DM158" s="339">
        <v>5549</v>
      </c>
      <c r="DN158" s="339">
        <v>5624</v>
      </c>
      <c r="DO158" s="339">
        <v>5574</v>
      </c>
      <c r="DP158" s="339">
        <v>5184</v>
      </c>
      <c r="DQ158" s="339">
        <v>5221</v>
      </c>
      <c r="DR158" s="339">
        <v>5415</v>
      </c>
      <c r="DS158" s="339">
        <v>5600</v>
      </c>
      <c r="DT158" s="339">
        <v>5189</v>
      </c>
      <c r="DU158" s="339">
        <v>4912</v>
      </c>
      <c r="DV158" s="339">
        <v>5426</v>
      </c>
      <c r="DW158" s="339">
        <v>5137</v>
      </c>
      <c r="DX158" s="339">
        <v>5128</v>
      </c>
      <c r="DY158" s="339">
        <v>5294</v>
      </c>
      <c r="DZ158" s="339">
        <v>5013</v>
      </c>
      <c r="EA158" s="339">
        <v>5302</v>
      </c>
      <c r="EB158" s="339">
        <v>5698</v>
      </c>
      <c r="EC158" s="339">
        <v>5815</v>
      </c>
      <c r="ED158" s="339">
        <v>5939</v>
      </c>
      <c r="EE158" s="339">
        <v>6272</v>
      </c>
      <c r="EF158" s="339">
        <v>6263</v>
      </c>
      <c r="EG158" s="339">
        <v>6313</v>
      </c>
      <c r="EH158" s="339">
        <v>6318</v>
      </c>
      <c r="EI158" s="339">
        <v>6535</v>
      </c>
      <c r="EJ158" s="339">
        <v>6131</v>
      </c>
      <c r="EK158" s="339">
        <v>6244</v>
      </c>
      <c r="EL158" s="339">
        <v>6165</v>
      </c>
      <c r="EM158" s="339">
        <v>5942</v>
      </c>
      <c r="EN158" s="339">
        <v>6211</v>
      </c>
      <c r="EO158" s="339">
        <v>6218</v>
      </c>
      <c r="EP158" s="339">
        <v>6104</v>
      </c>
      <c r="EQ158" s="339">
        <v>5799</v>
      </c>
      <c r="ER158" s="339">
        <v>5574</v>
      </c>
      <c r="ES158" s="339">
        <v>5586</v>
      </c>
      <c r="ET158" s="339">
        <v>5770</v>
      </c>
      <c r="EU158" s="339">
        <v>5831</v>
      </c>
      <c r="EV158" s="339">
        <v>6251</v>
      </c>
      <c r="EW158" s="339">
        <v>6563</v>
      </c>
      <c r="EX158" s="339">
        <v>6923</v>
      </c>
      <c r="EY158" s="339">
        <v>6736</v>
      </c>
      <c r="EZ158" s="339">
        <v>6661</v>
      </c>
      <c r="FA158" s="339">
        <v>6860</v>
      </c>
      <c r="FB158" s="339">
        <v>6795</v>
      </c>
      <c r="FC158" s="339">
        <v>7093</v>
      </c>
      <c r="FD158" s="339">
        <v>7056</v>
      </c>
      <c r="FE158" s="339">
        <v>6890</v>
      </c>
      <c r="FF158" s="339">
        <v>6926</v>
      </c>
      <c r="FG158" s="339">
        <v>6551</v>
      </c>
      <c r="FH158" s="339">
        <v>6513</v>
      </c>
      <c r="FI158" s="339">
        <v>6413</v>
      </c>
      <c r="FJ158" s="339">
        <v>5897</v>
      </c>
      <c r="FK158" s="339">
        <v>5838</v>
      </c>
      <c r="FL158" s="339">
        <v>5643</v>
      </c>
      <c r="FM158" s="339">
        <v>5384</v>
      </c>
      <c r="FN158" s="339">
        <v>5189</v>
      </c>
      <c r="FO158" s="339">
        <v>5034</v>
      </c>
      <c r="FP158" s="339">
        <v>5088</v>
      </c>
      <c r="FQ158" s="339">
        <v>5112</v>
      </c>
      <c r="FR158" s="339">
        <v>4845</v>
      </c>
      <c r="FS158" s="339">
        <v>4831</v>
      </c>
      <c r="FT158" s="339">
        <v>4917</v>
      </c>
      <c r="FU158" s="339">
        <v>5074</v>
      </c>
      <c r="FV158" s="339">
        <v>5409</v>
      </c>
      <c r="FW158" s="339">
        <v>5546</v>
      </c>
      <c r="FX158" s="339">
        <v>4375</v>
      </c>
      <c r="FY158" s="339">
        <v>4296</v>
      </c>
      <c r="FZ158" s="339">
        <v>4189</v>
      </c>
      <c r="GA158" s="339">
        <v>3718</v>
      </c>
      <c r="GB158" s="339">
        <v>3306</v>
      </c>
      <c r="GC158" s="339">
        <v>2846</v>
      </c>
      <c r="GD158" s="339">
        <v>2931</v>
      </c>
      <c r="GE158" s="339">
        <v>2828</v>
      </c>
      <c r="GF158" s="339">
        <v>2632</v>
      </c>
      <c r="GG158" s="339">
        <v>2327</v>
      </c>
      <c r="GH158" s="339">
        <v>2137</v>
      </c>
      <c r="GI158" s="339">
        <v>1982</v>
      </c>
      <c r="GJ158" s="339">
        <v>1693</v>
      </c>
      <c r="GK158" s="339">
        <v>1476</v>
      </c>
      <c r="GL158" s="61">
        <v>6674</v>
      </c>
    </row>
    <row r="159" spans="1:194" s="1" customFormat="1" x14ac:dyDescent="0.25">
      <c r="A159" s="110" t="s">
        <v>58</v>
      </c>
      <c r="B159" s="368" t="s">
        <v>235</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5">
      <c r="A160" s="110" t="s">
        <v>58</v>
      </c>
      <c r="B160" s="368" t="s">
        <v>236</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5">
      <c r="A161" s="110" t="s">
        <v>58</v>
      </c>
      <c r="B161" s="368" t="s">
        <v>237</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5">
      <c r="A162" s="110" t="s">
        <v>58</v>
      </c>
      <c r="B162" s="368" t="s">
        <v>238</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5">
      <c r="A163" s="110" t="s">
        <v>58</v>
      </c>
      <c r="B163" s="368" t="s">
        <v>239</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5">
      <c r="A164" s="110" t="s">
        <v>58</v>
      </c>
      <c r="B164" s="368" t="s">
        <v>240</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5">
      <c r="A165" s="110" t="s">
        <v>58</v>
      </c>
      <c r="B165" s="368" t="s">
        <v>241</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5">
      <c r="A166" s="110" t="s">
        <v>58</v>
      </c>
      <c r="B166" s="368" t="s">
        <v>242</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5">
      <c r="A167" s="110" t="s">
        <v>58</v>
      </c>
      <c r="B167" s="368" t="s">
        <v>243</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5">
      <c r="A168" s="110" t="s">
        <v>58</v>
      </c>
      <c r="B168" s="368" t="s">
        <v>244</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5">
      <c r="A169" s="110" t="s">
        <v>58</v>
      </c>
      <c r="B169" s="368" t="s">
        <v>245</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5">
      <c r="A170" s="110" t="s">
        <v>58</v>
      </c>
      <c r="B170" s="368" t="s">
        <v>246</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5">
      <c r="A171" s="110" t="s">
        <v>58</v>
      </c>
      <c r="B171" s="368" t="s">
        <v>247</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5">
      <c r="A172" s="110" t="s">
        <v>58</v>
      </c>
      <c r="B172" s="368" t="s">
        <v>248</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5">
      <c r="A173" s="110" t="s">
        <v>58</v>
      </c>
      <c r="B173" s="368" t="s">
        <v>249</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5">
      <c r="A174" s="110" t="s">
        <v>58</v>
      </c>
      <c r="B174" s="368" t="s">
        <v>250</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5">
      <c r="A175" s="110" t="s">
        <v>58</v>
      </c>
      <c r="B175" s="368" t="s">
        <v>251</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5">
      <c r="A176" s="110" t="s">
        <v>58</v>
      </c>
      <c r="B176" s="368" t="s">
        <v>252</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5">
      <c r="A177" s="110" t="s">
        <v>58</v>
      </c>
      <c r="B177" s="368" t="s">
        <v>253</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5">
      <c r="A178" s="110" t="s">
        <v>58</v>
      </c>
      <c r="B178" s="368" t="s">
        <v>254</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5">
      <c r="A179" s="110" t="s">
        <v>58</v>
      </c>
      <c r="B179" s="368" t="s">
        <v>255</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5">
      <c r="A180" s="110" t="s">
        <v>58</v>
      </c>
      <c r="B180" s="368" t="s">
        <v>256</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5">
      <c r="A181" s="110" t="s">
        <v>58</v>
      </c>
      <c r="B181" s="368" t="s">
        <v>257</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5">
      <c r="A182" s="110" t="s">
        <v>58</v>
      </c>
      <c r="B182" s="368" t="s">
        <v>258</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5">
      <c r="A183" s="110" t="s">
        <v>58</v>
      </c>
      <c r="B183" s="368" t="s">
        <v>259</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5">
      <c r="A184" s="110" t="s">
        <v>58</v>
      </c>
      <c r="B184" s="368" t="s">
        <v>260</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5">
      <c r="A185" s="110" t="s">
        <v>58</v>
      </c>
      <c r="B185" s="368" t="s">
        <v>261</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5">
      <c r="A186" s="110" t="s">
        <v>58</v>
      </c>
      <c r="B186" s="368" t="s">
        <v>262</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5">
      <c r="A187" s="110" t="s">
        <v>58</v>
      </c>
      <c r="B187" s="368" t="s">
        <v>263</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5">
      <c r="A188" s="110" t="s">
        <v>58</v>
      </c>
      <c r="B188" s="368" t="s">
        <v>264</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5">
      <c r="A189" s="110" t="s">
        <v>58</v>
      </c>
      <c r="B189" s="368" t="s">
        <v>265</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5">
      <c r="A190" s="110" t="s">
        <v>58</v>
      </c>
      <c r="B190" s="368" t="s">
        <v>266</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5">
      <c r="A191" s="110" t="s">
        <v>58</v>
      </c>
      <c r="B191" s="368" t="s">
        <v>267</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5">
      <c r="A192" s="110" t="s">
        <v>58</v>
      </c>
      <c r="B192" s="368" t="s">
        <v>268</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5">
      <c r="A193" s="110" t="s">
        <v>58</v>
      </c>
      <c r="B193" s="368" t="s">
        <v>269</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5">
      <c r="A194" s="110" t="s">
        <v>58</v>
      </c>
      <c r="B194" s="368" t="s">
        <v>270</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5">
      <c r="A195" s="110" t="s">
        <v>58</v>
      </c>
      <c r="B195" s="368" t="s">
        <v>271</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5">
      <c r="A196" s="110" t="s">
        <v>58</v>
      </c>
      <c r="B196" s="368" t="s">
        <v>272</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5">
      <c r="A197" s="110" t="s">
        <v>58</v>
      </c>
      <c r="B197" s="368" t="s">
        <v>273</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5">
      <c r="A198" s="110" t="s">
        <v>58</v>
      </c>
      <c r="B198" s="368" t="s">
        <v>274</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5">
      <c r="A199" s="110" t="s">
        <v>58</v>
      </c>
      <c r="B199" s="368" t="s">
        <v>275</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x14ac:dyDescent="0.25">
      <c r="A200" s="113"/>
      <c r="B200" s="369"/>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25">
      <c r="A201" s="31" t="s">
        <v>87</v>
      </c>
      <c r="B201" s="1" t="s">
        <v>276</v>
      </c>
      <c r="C201" s="72" t="str">
        <f>CONCATENATE(A201," - ",B201)</f>
        <v>LA England - Adur</v>
      </c>
      <c r="D201" s="61">
        <f t="shared" ref="D201:D265" si="73">I201</f>
        <v>24443</v>
      </c>
      <c r="E201" s="61">
        <f t="shared" ref="E201:E265" si="74">J201</f>
        <v>27108</v>
      </c>
      <c r="F201" s="338">
        <f t="shared" ref="F201:F265" si="75">G201+H201</f>
        <v>64688</v>
      </c>
      <c r="G201" s="338">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5">
      <c r="A202" s="31" t="s">
        <v>87</v>
      </c>
      <c r="B202" s="1" t="s">
        <v>277</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5">
      <c r="A203" s="31" t="s">
        <v>87</v>
      </c>
      <c r="B203" s="1" t="s">
        <v>278</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5">
      <c r="A204" s="31" t="s">
        <v>87</v>
      </c>
      <c r="B204" s="1" t="s">
        <v>279</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5">
      <c r="A205" s="31" t="s">
        <v>87</v>
      </c>
      <c r="B205" s="1" t="s">
        <v>280</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5">
      <c r="A206" s="31" t="s">
        <v>87</v>
      </c>
      <c r="B206" s="1" t="s">
        <v>281</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5">
      <c r="A207" s="31" t="s">
        <v>87</v>
      </c>
      <c r="B207" s="1" t="s">
        <v>282</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5">
      <c r="A208" s="31" t="s">
        <v>87</v>
      </c>
      <c r="B208" s="1" t="s">
        <v>283</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5">
      <c r="A209" s="31" t="s">
        <v>87</v>
      </c>
      <c r="B209" s="1" t="s">
        <v>284</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5">
      <c r="A210" s="31" t="s">
        <v>87</v>
      </c>
      <c r="B210" s="1" t="s">
        <v>285</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5">
      <c r="A211" s="31" t="s">
        <v>87</v>
      </c>
      <c r="B211" s="1" t="s">
        <v>286</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5">
      <c r="A212" s="31" t="s">
        <v>87</v>
      </c>
      <c r="B212" s="1" t="s">
        <v>287</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5">
      <c r="A213" s="31" t="s">
        <v>87</v>
      </c>
      <c r="B213" s="1" t="s">
        <v>288</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5">
      <c r="A214" s="31" t="s">
        <v>87</v>
      </c>
      <c r="B214" s="1" t="s">
        <v>289</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5">
      <c r="A215" s="31" t="s">
        <v>87</v>
      </c>
      <c r="B215" s="1" t="s">
        <v>290</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5">
      <c r="A216" s="31" t="s">
        <v>87</v>
      </c>
      <c r="B216" s="1" t="s">
        <v>291</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5">
      <c r="A217" s="31" t="s">
        <v>87</v>
      </c>
      <c r="B217" s="1" t="s">
        <v>292</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5">
      <c r="A218" s="31" t="s">
        <v>87</v>
      </c>
      <c r="B218" s="1" t="s">
        <v>293</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5">
      <c r="A219" s="31" t="s">
        <v>87</v>
      </c>
      <c r="B219" s="1" t="s">
        <v>294</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5">
      <c r="A220" s="31" t="s">
        <v>87</v>
      </c>
      <c r="B220" s="1" t="s">
        <v>295</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5">
      <c r="A221" s="31" t="s">
        <v>87</v>
      </c>
      <c r="B221" s="1" t="s">
        <v>296</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5">
      <c r="A222" s="31" t="s">
        <v>87</v>
      </c>
      <c r="B222" s="1" t="s">
        <v>297</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5">
      <c r="A223" s="31" t="s">
        <v>87</v>
      </c>
      <c r="B223" s="1" t="s">
        <v>298</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5">
      <c r="A224" s="31" t="s">
        <v>87</v>
      </c>
      <c r="B224" s="1" t="s">
        <v>299</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5">
      <c r="A225" s="31" t="s">
        <v>87</v>
      </c>
      <c r="B225" s="1" t="s">
        <v>300</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5">
      <c r="A226" s="31" t="s">
        <v>87</v>
      </c>
      <c r="B226" s="1" t="s">
        <v>301</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5">
      <c r="A227" s="31" t="s">
        <v>87</v>
      </c>
      <c r="B227" s="1" t="s">
        <v>302</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5">
      <c r="A228" s="31" t="s">
        <v>87</v>
      </c>
      <c r="B228" s="1" t="s">
        <v>303</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5">
      <c r="A229" s="31" t="s">
        <v>87</v>
      </c>
      <c r="B229" s="1" t="s">
        <v>304</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5">
      <c r="A230" s="31" t="s">
        <v>87</v>
      </c>
      <c r="B230" s="1" t="s">
        <v>305</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5">
      <c r="A231" s="31" t="s">
        <v>87</v>
      </c>
      <c r="B231" s="1" t="s">
        <v>306</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5">
      <c r="A232" s="31" t="s">
        <v>87</v>
      </c>
      <c r="B232" s="1" t="s">
        <v>307</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5">
      <c r="A233" s="31" t="s">
        <v>87</v>
      </c>
      <c r="B233" s="1" t="s">
        <v>308</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5">
      <c r="A234" s="31" t="s">
        <v>87</v>
      </c>
      <c r="B234" s="1" t="s">
        <v>309</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5">
      <c r="A235" s="31" t="s">
        <v>87</v>
      </c>
      <c r="B235" s="1" t="s">
        <v>310</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5">
      <c r="A236" s="31" t="s">
        <v>87</v>
      </c>
      <c r="B236" s="1" t="s">
        <v>311</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5">
      <c r="A237" s="31" t="s">
        <v>87</v>
      </c>
      <c r="B237" s="1" t="s">
        <v>312</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5">
      <c r="A238" s="31" t="s">
        <v>87</v>
      </c>
      <c r="B238" s="1" t="s">
        <v>313</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5">
      <c r="A239" s="31" t="s">
        <v>87</v>
      </c>
      <c r="B239" s="1" t="s">
        <v>314</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5">
      <c r="A240" s="31" t="s">
        <v>87</v>
      </c>
      <c r="B240" s="1" t="s">
        <v>315</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5">
      <c r="A241" s="31" t="s">
        <v>87</v>
      </c>
      <c r="B241" s="1" t="s">
        <v>316</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5">
      <c r="A242" s="31" t="s">
        <v>87</v>
      </c>
      <c r="B242" s="1" t="s">
        <v>317</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5">
      <c r="A243" s="31" t="s">
        <v>87</v>
      </c>
      <c r="B243" s="1" t="s">
        <v>318</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5">
      <c r="A244" s="31" t="s">
        <v>87</v>
      </c>
      <c r="B244" s="1" t="s">
        <v>319</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5">
      <c r="A245" s="31" t="s">
        <v>87</v>
      </c>
      <c r="B245" s="1" t="s">
        <v>320</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5">
      <c r="A246" s="31" t="s">
        <v>87</v>
      </c>
      <c r="B246" s="1" t="s">
        <v>321</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5">
      <c r="A247" s="31" t="s">
        <v>87</v>
      </c>
      <c r="B247" s="1" t="s">
        <v>322</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5">
      <c r="A248" s="31" t="s">
        <v>87</v>
      </c>
      <c r="B248" s="1" t="s">
        <v>323</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5">
      <c r="A249" s="31" t="s">
        <v>87</v>
      </c>
      <c r="B249" s="1" t="s">
        <v>324</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5">
      <c r="A250" s="31" t="s">
        <v>87</v>
      </c>
      <c r="B250" s="1" t="s">
        <v>325</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5">
      <c r="A251" s="31" t="s">
        <v>87</v>
      </c>
      <c r="B251" s="1" t="s">
        <v>326</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5">
      <c r="A252" s="31" t="s">
        <v>87</v>
      </c>
      <c r="B252" s="1" t="s">
        <v>327</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5">
      <c r="A253" s="31" t="s">
        <v>87</v>
      </c>
      <c r="B253" s="1" t="s">
        <v>328</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5">
      <c r="A254" s="31" t="s">
        <v>87</v>
      </c>
      <c r="B254" s="1" t="s">
        <v>329</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5">
      <c r="A255" s="31" t="s">
        <v>87</v>
      </c>
      <c r="B255" s="1" t="s">
        <v>330</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5">
      <c r="A256" s="31" t="s">
        <v>87</v>
      </c>
      <c r="B256" s="1" t="s">
        <v>331</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5">
      <c r="A257" s="31" t="s">
        <v>87</v>
      </c>
      <c r="B257" s="1" t="s">
        <v>332</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5">
      <c r="A258" s="31" t="s">
        <v>87</v>
      </c>
      <c r="B258" s="1" t="s">
        <v>333</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5">
      <c r="A259" s="31" t="s">
        <v>87</v>
      </c>
      <c r="B259" s="1" t="s">
        <v>334</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5">
      <c r="A260" s="31" t="s">
        <v>87</v>
      </c>
      <c r="B260" s="1" t="s">
        <v>335</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5">
      <c r="A261" s="31" t="s">
        <v>87</v>
      </c>
      <c r="B261" s="1" t="s">
        <v>336</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5">
      <c r="A262" s="31" t="s">
        <v>87</v>
      </c>
      <c r="B262" s="1" t="s">
        <v>337</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5">
      <c r="A263" s="31" t="s">
        <v>87</v>
      </c>
      <c r="B263" s="1" t="s">
        <v>338</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5">
      <c r="A264" s="31" t="s">
        <v>87</v>
      </c>
      <c r="B264" s="1" t="s">
        <v>339</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5">
      <c r="A265" s="31" t="s">
        <v>87</v>
      </c>
      <c r="B265" s="1" t="s">
        <v>340</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5">
      <c r="A266" s="31" t="s">
        <v>87</v>
      </c>
      <c r="B266" s="1" t="s">
        <v>341</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5">
      <c r="A267" s="31" t="s">
        <v>87</v>
      </c>
      <c r="B267" s="1" t="s">
        <v>342</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5">
      <c r="A268" s="31" t="s">
        <v>87</v>
      </c>
      <c r="B268" s="1" t="s">
        <v>343</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5">
      <c r="A269" s="31" t="s">
        <v>87</v>
      </c>
      <c r="B269" s="1" t="s">
        <v>344</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5">
      <c r="A270" s="31" t="s">
        <v>87</v>
      </c>
      <c r="B270" s="1" t="s">
        <v>345</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5">
      <c r="A271" s="31" t="s">
        <v>87</v>
      </c>
      <c r="B271" s="1" t="s">
        <v>346</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5">
      <c r="A272" s="31" t="s">
        <v>87</v>
      </c>
      <c r="B272" s="1" t="s">
        <v>347</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5">
      <c r="A273" s="31" t="s">
        <v>87</v>
      </c>
      <c r="B273" s="1" t="s">
        <v>348</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5">
      <c r="A274" s="31" t="s">
        <v>87</v>
      </c>
      <c r="B274" s="1" t="s">
        <v>349</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5">
      <c r="A275" s="31" t="s">
        <v>87</v>
      </c>
      <c r="B275" s="1" t="s">
        <v>350</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5">
      <c r="A276" s="31" t="s">
        <v>87</v>
      </c>
      <c r="B276" s="1" t="s">
        <v>351</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5">
      <c r="A277" s="31" t="s">
        <v>87</v>
      </c>
      <c r="B277" s="1" t="s">
        <v>352</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5">
      <c r="A278" s="31" t="s">
        <v>87</v>
      </c>
      <c r="B278" s="1" t="s">
        <v>353</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5">
      <c r="A279" s="31" t="s">
        <v>87</v>
      </c>
      <c r="B279" s="1" t="s">
        <v>354</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5">
      <c r="A280" s="31" t="s">
        <v>87</v>
      </c>
      <c r="B280" s="1" t="s">
        <v>355</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5">
      <c r="A281" s="31" t="s">
        <v>87</v>
      </c>
      <c r="B281" s="1" t="s">
        <v>356</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5">
      <c r="A282" s="31" t="s">
        <v>87</v>
      </c>
      <c r="B282" s="1" t="s">
        <v>357</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5">
      <c r="A283" s="31" t="s">
        <v>87</v>
      </c>
      <c r="B283" s="1" t="s">
        <v>358</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5">
      <c r="A284" s="31" t="s">
        <v>87</v>
      </c>
      <c r="B284" s="1" t="s">
        <v>359</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5">
      <c r="A285" s="31" t="s">
        <v>87</v>
      </c>
      <c r="B285" s="1" t="s">
        <v>360</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5">
      <c r="A286" s="31" t="s">
        <v>87</v>
      </c>
      <c r="B286" s="1" t="s">
        <v>361</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5">
      <c r="A287" s="31" t="s">
        <v>87</v>
      </c>
      <c r="B287" s="1" t="s">
        <v>362</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5">
      <c r="A288" s="31" t="s">
        <v>87</v>
      </c>
      <c r="B288" s="1" t="s">
        <v>363</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5">
      <c r="A289" s="31" t="s">
        <v>87</v>
      </c>
      <c r="B289" s="1" t="s">
        <v>364</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5">
      <c r="A290" s="31" t="s">
        <v>87</v>
      </c>
      <c r="B290" s="1" t="s">
        <v>365</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5">
      <c r="A291" s="31" t="s">
        <v>87</v>
      </c>
      <c r="B291" s="1" t="s">
        <v>366</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5">
      <c r="A292" s="31" t="s">
        <v>87</v>
      </c>
      <c r="B292" s="1" t="s">
        <v>367</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5">
      <c r="A293" s="31" t="s">
        <v>87</v>
      </c>
      <c r="B293" s="1" t="s">
        <v>368</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5">
      <c r="A294" s="31" t="s">
        <v>87</v>
      </c>
      <c r="B294" s="1" t="s">
        <v>369</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5">
      <c r="A295" s="31" t="s">
        <v>87</v>
      </c>
      <c r="B295" s="1" t="s">
        <v>370</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5">
      <c r="A296" s="31" t="s">
        <v>87</v>
      </c>
      <c r="B296" s="1" t="s">
        <v>371</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5">
      <c r="A297" s="31" t="s">
        <v>87</v>
      </c>
      <c r="B297" s="1" t="s">
        <v>372</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5">
      <c r="A298" s="31" t="s">
        <v>87</v>
      </c>
      <c r="B298" s="1" t="s">
        <v>373</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5">
      <c r="A299" s="31" t="s">
        <v>87</v>
      </c>
      <c r="B299" s="1" t="s">
        <v>374</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5">
      <c r="A300" s="31" t="s">
        <v>87</v>
      </c>
      <c r="B300" s="1" t="s">
        <v>375</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5">
      <c r="A301" s="31" t="s">
        <v>87</v>
      </c>
      <c r="B301" s="1" t="s">
        <v>376</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5">
      <c r="A302" s="31" t="s">
        <v>87</v>
      </c>
      <c r="B302" s="1" t="s">
        <v>377</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5">
      <c r="A303" s="31" t="s">
        <v>87</v>
      </c>
      <c r="B303" s="1" t="s">
        <v>378</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5">
      <c r="A304" s="31" t="s">
        <v>87</v>
      </c>
      <c r="B304" s="1" t="s">
        <v>379</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5">
      <c r="A305" s="31" t="s">
        <v>87</v>
      </c>
      <c r="B305" s="1" t="s">
        <v>380</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5">
      <c r="A306" s="31" t="s">
        <v>87</v>
      </c>
      <c r="B306" s="1" t="s">
        <v>381</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5">
      <c r="A307" s="31" t="s">
        <v>87</v>
      </c>
      <c r="B307" s="1" t="s">
        <v>382</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5">
      <c r="A308" s="31" t="s">
        <v>87</v>
      </c>
      <c r="B308" s="1" t="s">
        <v>383</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5">
      <c r="A309" s="31" t="s">
        <v>87</v>
      </c>
      <c r="B309" s="1" t="s">
        <v>384</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5">
      <c r="A310" s="31" t="s">
        <v>87</v>
      </c>
      <c r="B310" s="1" t="s">
        <v>385</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5">
      <c r="A311" s="31" t="s">
        <v>87</v>
      </c>
      <c r="B311" s="1" t="s">
        <v>386</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5">
      <c r="A312" s="31" t="s">
        <v>87</v>
      </c>
      <c r="B312" s="1" t="s">
        <v>387</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5">
      <c r="A313" s="31" t="s">
        <v>87</v>
      </c>
      <c r="B313" s="1" t="s">
        <v>388</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5">
      <c r="A314" s="31" t="s">
        <v>87</v>
      </c>
      <c r="B314" s="1" t="s">
        <v>389</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5">
      <c r="A315" s="31" t="s">
        <v>87</v>
      </c>
      <c r="B315" s="1" t="s">
        <v>390</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5">
      <c r="A316" s="31" t="s">
        <v>87</v>
      </c>
      <c r="B316" s="1" t="s">
        <v>391</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5">
      <c r="A317" s="31" t="s">
        <v>87</v>
      </c>
      <c r="B317" s="1" t="s">
        <v>392</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5">
      <c r="A318" s="31" t="s">
        <v>87</v>
      </c>
      <c r="B318" s="1" t="s">
        <v>393</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5">
      <c r="A319" s="31" t="s">
        <v>87</v>
      </c>
      <c r="B319" s="1" t="s">
        <v>394</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5">
      <c r="A320" s="31" t="s">
        <v>87</v>
      </c>
      <c r="B320" s="1" t="s">
        <v>395</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5">
      <c r="A321" s="31" t="s">
        <v>87</v>
      </c>
      <c r="B321" s="1" t="s">
        <v>396</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5">
      <c r="A322" s="31" t="s">
        <v>87</v>
      </c>
      <c r="B322" s="1" t="s">
        <v>397</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5">
      <c r="A323" s="31" t="s">
        <v>87</v>
      </c>
      <c r="B323" s="1" t="s">
        <v>398</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5">
      <c r="A324" s="31" t="s">
        <v>87</v>
      </c>
      <c r="B324" s="1" t="s">
        <v>399</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5">
      <c r="A325" s="31" t="s">
        <v>87</v>
      </c>
      <c r="B325" s="1" t="s">
        <v>400</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5">
      <c r="A326" s="31" t="s">
        <v>87</v>
      </c>
      <c r="B326" s="1" t="s">
        <v>401</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5">
      <c r="A327" s="31" t="s">
        <v>87</v>
      </c>
      <c r="B327" s="1" t="s">
        <v>402</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5">
      <c r="A328" s="31" t="s">
        <v>87</v>
      </c>
      <c r="B328" s="1" t="s">
        <v>403</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5">
      <c r="A329" s="31" t="s">
        <v>87</v>
      </c>
      <c r="B329" s="1" t="s">
        <v>404</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5">
      <c r="A330" s="31" t="s">
        <v>87</v>
      </c>
      <c r="B330" s="1" t="s">
        <v>405</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5">
      <c r="A331" s="31" t="s">
        <v>87</v>
      </c>
      <c r="B331" s="1" t="s">
        <v>406</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5">
      <c r="A332" s="31" t="s">
        <v>87</v>
      </c>
      <c r="B332" s="1" t="s">
        <v>407</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5">
      <c r="A333" s="31" t="s">
        <v>87</v>
      </c>
      <c r="B333" s="1" t="s">
        <v>408</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5">
      <c r="A334" s="31" t="s">
        <v>87</v>
      </c>
      <c r="B334" s="1" t="s">
        <v>409</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5">
      <c r="A335" s="31" t="s">
        <v>87</v>
      </c>
      <c r="B335" s="1" t="s">
        <v>410</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5">
      <c r="A336" s="31" t="s">
        <v>87</v>
      </c>
      <c r="B336" s="1" t="s">
        <v>411</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5">
      <c r="A337" s="31" t="s">
        <v>87</v>
      </c>
      <c r="B337" s="1" t="s">
        <v>412</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5">
      <c r="A338" s="31" t="s">
        <v>87</v>
      </c>
      <c r="B338" s="1" t="s">
        <v>413</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5">
      <c r="A339" s="31" t="s">
        <v>87</v>
      </c>
      <c r="B339" s="1" t="s">
        <v>414</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5">
      <c r="A340" s="31" t="s">
        <v>87</v>
      </c>
      <c r="B340" s="1" t="s">
        <v>415</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5">
      <c r="A341" s="31" t="s">
        <v>87</v>
      </c>
      <c r="B341" s="1" t="s">
        <v>416</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5">
      <c r="A342" s="31" t="s">
        <v>87</v>
      </c>
      <c r="B342" s="1" t="s">
        <v>417</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5">
      <c r="A343" s="31" t="s">
        <v>87</v>
      </c>
      <c r="B343" s="1" t="s">
        <v>418</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5">
      <c r="A344" s="31" t="s">
        <v>87</v>
      </c>
      <c r="B344" s="1" t="s">
        <v>419</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5">
      <c r="A345" s="31" t="s">
        <v>87</v>
      </c>
      <c r="B345" s="1" t="s">
        <v>420</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5">
      <c r="A346" s="31" t="s">
        <v>87</v>
      </c>
      <c r="B346" s="1" t="s">
        <v>421</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5">
      <c r="A347" s="31" t="s">
        <v>87</v>
      </c>
      <c r="B347" s="1" t="s">
        <v>422</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5">
      <c r="A348" s="31" t="s">
        <v>87</v>
      </c>
      <c r="B348" s="1" t="s">
        <v>423</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5">
      <c r="A349" s="31" t="s">
        <v>87</v>
      </c>
      <c r="B349" s="1" t="s">
        <v>424</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5">
      <c r="A350" s="31" t="s">
        <v>87</v>
      </c>
      <c r="B350" s="1" t="s">
        <v>425</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5">
      <c r="A351" s="31" t="s">
        <v>87</v>
      </c>
      <c r="B351" s="1" t="s">
        <v>426</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5">
      <c r="A352" s="31" t="s">
        <v>87</v>
      </c>
      <c r="B352" s="1" t="s">
        <v>427</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5">
      <c r="A353" s="31" t="s">
        <v>87</v>
      </c>
      <c r="B353" s="1" t="s">
        <v>428</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5">
      <c r="A354" s="31" t="s">
        <v>87</v>
      </c>
      <c r="B354" s="1" t="s">
        <v>429</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5">
      <c r="A355" s="31" t="s">
        <v>87</v>
      </c>
      <c r="B355" s="1" t="s">
        <v>430</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5">
      <c r="A356" s="31" t="s">
        <v>87</v>
      </c>
      <c r="B356" s="1" t="s">
        <v>431</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5">
      <c r="A357" s="31" t="s">
        <v>87</v>
      </c>
      <c r="B357" s="1" t="s">
        <v>432</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5">
      <c r="A358" s="31" t="s">
        <v>87</v>
      </c>
      <c r="B358" s="1" t="s">
        <v>433</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5">
      <c r="A359" s="31" t="s">
        <v>87</v>
      </c>
      <c r="B359" s="1" t="s">
        <v>434</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5">
      <c r="A360" s="31" t="s">
        <v>87</v>
      </c>
      <c r="B360" s="1" t="s">
        <v>435</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5">
      <c r="A361" s="31" t="s">
        <v>87</v>
      </c>
      <c r="B361" s="1" t="s">
        <v>436</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5">
      <c r="A362" s="31" t="s">
        <v>87</v>
      </c>
      <c r="B362" s="1" t="s">
        <v>437</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5">
      <c r="A363" s="31" t="s">
        <v>87</v>
      </c>
      <c r="B363" s="1" t="s">
        <v>438</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5">
      <c r="A364" s="31" t="s">
        <v>87</v>
      </c>
      <c r="B364" s="1" t="s">
        <v>439</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5">
      <c r="A365" s="31" t="s">
        <v>87</v>
      </c>
      <c r="B365" s="1" t="s">
        <v>440</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5">
      <c r="A366" s="31" t="s">
        <v>87</v>
      </c>
      <c r="B366" s="1" t="s">
        <v>441</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5">
      <c r="A367" s="31" t="s">
        <v>87</v>
      </c>
      <c r="B367" s="1" t="s">
        <v>442</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5">
      <c r="A368" s="31" t="s">
        <v>87</v>
      </c>
      <c r="B368" s="1" t="s">
        <v>443</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5">
      <c r="A369" s="31" t="s">
        <v>87</v>
      </c>
      <c r="B369" s="1" t="s">
        <v>444</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5">
      <c r="A370" s="31" t="s">
        <v>87</v>
      </c>
      <c r="B370" s="1" t="s">
        <v>445</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5">
      <c r="A371" s="31" t="s">
        <v>87</v>
      </c>
      <c r="B371" s="1" t="s">
        <v>446</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5">
      <c r="A372" s="31" t="s">
        <v>87</v>
      </c>
      <c r="B372" s="1" t="s">
        <v>447</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5">
      <c r="A373" s="31" t="s">
        <v>87</v>
      </c>
      <c r="B373" s="1" t="s">
        <v>448</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5">
      <c r="A374" s="31" t="s">
        <v>87</v>
      </c>
      <c r="B374" s="1" t="s">
        <v>449</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5">
      <c r="A375" s="31" t="s">
        <v>87</v>
      </c>
      <c r="B375" s="1" t="s">
        <v>450</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5">
      <c r="A376" s="31" t="s">
        <v>87</v>
      </c>
      <c r="B376" s="1" t="s">
        <v>451</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5">
      <c r="A377" s="31" t="s">
        <v>87</v>
      </c>
      <c r="B377" s="1" t="s">
        <v>452</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5">
      <c r="A378" s="31" t="s">
        <v>87</v>
      </c>
      <c r="B378" s="1" t="s">
        <v>453</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5">
      <c r="A379" s="31" t="s">
        <v>87</v>
      </c>
      <c r="B379" s="1" t="s">
        <v>454</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5">
      <c r="A380" s="31" t="s">
        <v>87</v>
      </c>
      <c r="B380" s="1" t="s">
        <v>455</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5">
      <c r="A381" s="31" t="s">
        <v>87</v>
      </c>
      <c r="B381" s="1" t="s">
        <v>456</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5">
      <c r="A382" s="31" t="s">
        <v>87</v>
      </c>
      <c r="B382" s="1" t="s">
        <v>457</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5">
      <c r="A383" s="31" t="s">
        <v>87</v>
      </c>
      <c r="B383" s="1" t="s">
        <v>458</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5">
      <c r="A384" s="31" t="s">
        <v>87</v>
      </c>
      <c r="B384" s="1" t="s">
        <v>459</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5">
      <c r="A385" s="31" t="s">
        <v>87</v>
      </c>
      <c r="B385" s="1" t="s">
        <v>460</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5">
      <c r="A386" s="31" t="s">
        <v>87</v>
      </c>
      <c r="B386" s="1" t="s">
        <v>461</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5">
      <c r="A387" s="31" t="s">
        <v>87</v>
      </c>
      <c r="B387" s="1" t="s">
        <v>462</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5">
      <c r="A388" s="31" t="s">
        <v>87</v>
      </c>
      <c r="B388" s="1" t="s">
        <v>463</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5">
      <c r="A389" s="31" t="s">
        <v>87</v>
      </c>
      <c r="B389" s="1" t="s">
        <v>464</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5">
      <c r="A390" s="31" t="s">
        <v>87</v>
      </c>
      <c r="B390" s="1" t="s">
        <v>465</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5">
      <c r="A391" s="31" t="s">
        <v>87</v>
      </c>
      <c r="B391" s="1" t="s">
        <v>466</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5">
      <c r="A392" s="31" t="s">
        <v>87</v>
      </c>
      <c r="B392" s="1" t="s">
        <v>467</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5">
      <c r="A393" s="31" t="s">
        <v>87</v>
      </c>
      <c r="B393" s="1" t="s">
        <v>468</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5">
      <c r="A394" s="31" t="s">
        <v>87</v>
      </c>
      <c r="B394" s="1" t="s">
        <v>469</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5">
      <c r="A395" s="31" t="s">
        <v>87</v>
      </c>
      <c r="B395" s="1" t="s">
        <v>470</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5">
      <c r="A396" s="31" t="s">
        <v>87</v>
      </c>
      <c r="B396" s="1" t="s">
        <v>471</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5">
      <c r="A397" s="31" t="s">
        <v>87</v>
      </c>
      <c r="B397" s="1" t="s">
        <v>472</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5">
      <c r="A398" s="31" t="s">
        <v>87</v>
      </c>
      <c r="B398" s="1" t="s">
        <v>473</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5">
      <c r="A399" s="31" t="s">
        <v>87</v>
      </c>
      <c r="B399" s="1" t="s">
        <v>474</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5">
      <c r="A400" s="31" t="s">
        <v>87</v>
      </c>
      <c r="B400" s="1" t="s">
        <v>475</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5">
      <c r="A401" s="31" t="s">
        <v>87</v>
      </c>
      <c r="B401" s="1" t="s">
        <v>476</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5">
      <c r="A402" s="31" t="s">
        <v>87</v>
      </c>
      <c r="B402" s="1" t="s">
        <v>477</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5">
      <c r="A403" s="31" t="s">
        <v>87</v>
      </c>
      <c r="B403" s="1" t="s">
        <v>478</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5">
      <c r="A404" s="31" t="s">
        <v>87</v>
      </c>
      <c r="B404" s="1" t="s">
        <v>479</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5">
      <c r="A405" s="31" t="s">
        <v>87</v>
      </c>
      <c r="B405" s="1" t="s">
        <v>480</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5">
      <c r="A406" s="31" t="s">
        <v>87</v>
      </c>
      <c r="B406" s="1" t="s">
        <v>481</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5">
      <c r="A407" s="31" t="s">
        <v>87</v>
      </c>
      <c r="B407" s="1" t="s">
        <v>482</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5">
      <c r="A408" s="31" t="s">
        <v>87</v>
      </c>
      <c r="B408" s="1" t="s">
        <v>483</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5">
      <c r="A409" s="31" t="s">
        <v>87</v>
      </c>
      <c r="B409" s="1" t="s">
        <v>484</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5">
      <c r="A410" s="31" t="s">
        <v>87</v>
      </c>
      <c r="B410" s="1" t="s">
        <v>485</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5">
      <c r="A411" s="31" t="s">
        <v>87</v>
      </c>
      <c r="B411" s="1" t="s">
        <v>486</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5">
      <c r="A412" s="31" t="s">
        <v>87</v>
      </c>
      <c r="B412" s="1" t="s">
        <v>487</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5">
      <c r="A413" s="31" t="s">
        <v>87</v>
      </c>
      <c r="B413" s="1" t="s">
        <v>488</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5">
      <c r="A414" s="31" t="s">
        <v>87</v>
      </c>
      <c r="B414" s="1" t="s">
        <v>489</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5">
      <c r="A415" s="31" t="s">
        <v>87</v>
      </c>
      <c r="B415" s="1" t="s">
        <v>490</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5">
      <c r="A416" s="31" t="s">
        <v>87</v>
      </c>
      <c r="B416" s="1" t="s">
        <v>491</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5">
      <c r="A417" s="31" t="s">
        <v>87</v>
      </c>
      <c r="B417" s="1" t="s">
        <v>492</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5">
      <c r="A418" s="31" t="s">
        <v>87</v>
      </c>
      <c r="B418" s="1" t="s">
        <v>493</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5">
      <c r="A419" s="31" t="s">
        <v>87</v>
      </c>
      <c r="B419" s="1" t="s">
        <v>494</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5">
      <c r="A420" s="31" t="s">
        <v>87</v>
      </c>
      <c r="B420" s="1" t="s">
        <v>495</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5">
      <c r="A421" s="31" t="s">
        <v>87</v>
      </c>
      <c r="B421" s="1" t="s">
        <v>496</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5">
      <c r="A422" s="31" t="s">
        <v>87</v>
      </c>
      <c r="B422" s="1" t="s">
        <v>497</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5">
      <c r="A423" s="31" t="s">
        <v>87</v>
      </c>
      <c r="B423" s="1" t="s">
        <v>498</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5">
      <c r="A424" s="31" t="s">
        <v>87</v>
      </c>
      <c r="B424" s="1" t="s">
        <v>499</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5">
      <c r="A425" s="31" t="s">
        <v>87</v>
      </c>
      <c r="B425" s="1" t="s">
        <v>500</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5">
      <c r="A426" s="31" t="s">
        <v>87</v>
      </c>
      <c r="B426" s="1" t="s">
        <v>501</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5">
      <c r="A427" s="31" t="s">
        <v>87</v>
      </c>
      <c r="B427" s="1" t="s">
        <v>502</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5">
      <c r="A428" s="31" t="s">
        <v>87</v>
      </c>
      <c r="B428" s="1" t="s">
        <v>503</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5">
      <c r="A429" s="31" t="s">
        <v>87</v>
      </c>
      <c r="B429" s="1" t="s">
        <v>504</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5">
      <c r="A430" s="31" t="s">
        <v>87</v>
      </c>
      <c r="B430" s="1" t="s">
        <v>505</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5">
      <c r="A431" s="31" t="s">
        <v>87</v>
      </c>
      <c r="B431" s="1" t="s">
        <v>506</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5">
      <c r="A432" s="31" t="s">
        <v>87</v>
      </c>
      <c r="B432" s="1" t="s">
        <v>507</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5">
      <c r="A433" s="31" t="s">
        <v>87</v>
      </c>
      <c r="B433" s="1" t="s">
        <v>508</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5">
      <c r="A434" s="31" t="s">
        <v>87</v>
      </c>
      <c r="B434" s="1" t="s">
        <v>509</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5">
      <c r="A435" s="31" t="s">
        <v>87</v>
      </c>
      <c r="B435" s="1" t="s">
        <v>510</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5">
      <c r="A436" s="31" t="s">
        <v>87</v>
      </c>
      <c r="B436" s="1" t="s">
        <v>511</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5">
      <c r="A437" s="31" t="s">
        <v>87</v>
      </c>
      <c r="B437" s="1" t="s">
        <v>512</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5">
      <c r="A438" s="31" t="s">
        <v>87</v>
      </c>
      <c r="B438" s="1" t="s">
        <v>513</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5">
      <c r="A439" s="31" t="s">
        <v>87</v>
      </c>
      <c r="B439" s="1" t="s">
        <v>514</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5">
      <c r="A440" s="31" t="s">
        <v>87</v>
      </c>
      <c r="B440" s="1" t="s">
        <v>515</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5">
      <c r="A441" s="31" t="s">
        <v>87</v>
      </c>
      <c r="B441" s="1" t="s">
        <v>516</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5">
      <c r="A442" s="31" t="s">
        <v>87</v>
      </c>
      <c r="B442" s="1" t="s">
        <v>517</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5">
      <c r="A443" s="31" t="s">
        <v>87</v>
      </c>
      <c r="B443" s="1" t="s">
        <v>518</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5">
      <c r="A444" s="31" t="s">
        <v>87</v>
      </c>
      <c r="B444" s="1" t="s">
        <v>519</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5">
      <c r="A445" s="31" t="s">
        <v>87</v>
      </c>
      <c r="B445" s="1" t="s">
        <v>520</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5">
      <c r="A446" s="31" t="s">
        <v>87</v>
      </c>
      <c r="B446" s="1" t="s">
        <v>521</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5">
      <c r="A447" s="31" t="s">
        <v>87</v>
      </c>
      <c r="B447" s="1" t="s">
        <v>522</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5">
      <c r="A448" s="31" t="s">
        <v>87</v>
      </c>
      <c r="B448" s="1" t="s">
        <v>523</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5">
      <c r="A449" s="31" t="s">
        <v>87</v>
      </c>
      <c r="B449" s="1" t="s">
        <v>524</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5">
      <c r="A450" s="31" t="s">
        <v>87</v>
      </c>
      <c r="B450" s="1" t="s">
        <v>525</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5">
      <c r="A451" s="31" t="s">
        <v>87</v>
      </c>
      <c r="B451" s="1" t="s">
        <v>526</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5">
      <c r="A452" s="31" t="s">
        <v>87</v>
      </c>
      <c r="B452" s="1" t="s">
        <v>527</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5">
      <c r="A453" s="31" t="s">
        <v>87</v>
      </c>
      <c r="B453" s="1" t="s">
        <v>528</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5">
      <c r="A454" s="31" t="s">
        <v>87</v>
      </c>
      <c r="B454" s="1" t="s">
        <v>529</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5">
      <c r="A455" s="31" t="s">
        <v>87</v>
      </c>
      <c r="B455" s="1" t="s">
        <v>530</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5">
      <c r="A456" s="31" t="s">
        <v>87</v>
      </c>
      <c r="B456" s="1" t="s">
        <v>531</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5">
      <c r="A457" s="31" t="s">
        <v>87</v>
      </c>
      <c r="B457" s="1" t="s">
        <v>532</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5">
      <c r="A458" s="31" t="s">
        <v>87</v>
      </c>
      <c r="B458" s="1" t="s">
        <v>533</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5">
      <c r="A459" s="31" t="s">
        <v>87</v>
      </c>
      <c r="B459" s="1" t="s">
        <v>534</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5">
      <c r="A460" s="31" t="s">
        <v>87</v>
      </c>
      <c r="B460" s="1" t="s">
        <v>535</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5">
      <c r="A461" s="31" t="s">
        <v>87</v>
      </c>
      <c r="B461" s="1" t="s">
        <v>536</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5">
      <c r="A462" s="31" t="s">
        <v>87</v>
      </c>
      <c r="B462" s="1" t="s">
        <v>537</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5">
      <c r="A463" s="31" t="s">
        <v>87</v>
      </c>
      <c r="B463" s="1" t="s">
        <v>538</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5">
      <c r="A464" s="31" t="s">
        <v>87</v>
      </c>
      <c r="B464" s="1" t="s">
        <v>539</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5">
      <c r="A465" s="31" t="s">
        <v>87</v>
      </c>
      <c r="B465" s="1" t="s">
        <v>540</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5">
      <c r="A466" s="31" t="s">
        <v>87</v>
      </c>
      <c r="B466" s="1" t="s">
        <v>541</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5">
      <c r="A467" s="31" t="s">
        <v>87</v>
      </c>
      <c r="B467" s="1" t="s">
        <v>542</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5">
      <c r="A468" s="31" t="s">
        <v>87</v>
      </c>
      <c r="B468" s="1" t="s">
        <v>543</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5">
      <c r="A469" s="31" t="s">
        <v>87</v>
      </c>
      <c r="B469" s="1" t="s">
        <v>544</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5">
      <c r="A470" s="31" t="s">
        <v>87</v>
      </c>
      <c r="B470" s="1" t="s">
        <v>545</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5">
      <c r="A471" s="31" t="s">
        <v>87</v>
      </c>
      <c r="B471" s="1" t="s">
        <v>546</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5">
      <c r="A472" s="31" t="s">
        <v>87</v>
      </c>
      <c r="B472" s="1" t="s">
        <v>547</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5">
      <c r="A473" s="31" t="s">
        <v>87</v>
      </c>
      <c r="B473" s="1" t="s">
        <v>548</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5">
      <c r="A474" s="31" t="s">
        <v>87</v>
      </c>
      <c r="B474" s="1" t="s">
        <v>549</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5">
      <c r="A475" s="31" t="s">
        <v>87</v>
      </c>
      <c r="B475" s="1" t="s">
        <v>550</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5">
      <c r="A476" s="31" t="s">
        <v>87</v>
      </c>
      <c r="B476" s="1" t="s">
        <v>551</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5">
      <c r="A477" s="31" t="s">
        <v>87</v>
      </c>
      <c r="B477" s="1" t="s">
        <v>552</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5">
      <c r="A478" s="31" t="s">
        <v>87</v>
      </c>
      <c r="B478" s="1" t="s">
        <v>553</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5">
      <c r="A479" s="31" t="s">
        <v>87</v>
      </c>
      <c r="B479" s="1" t="s">
        <v>554</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5">
      <c r="A480" s="31" t="s">
        <v>87</v>
      </c>
      <c r="B480" s="1" t="s">
        <v>555</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5">
      <c r="A481" s="31" t="s">
        <v>87</v>
      </c>
      <c r="B481" s="1" t="s">
        <v>556</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5">
      <c r="A482" s="31" t="s">
        <v>87</v>
      </c>
      <c r="B482" s="1" t="s">
        <v>557</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5">
      <c r="A483" s="31" t="s">
        <v>87</v>
      </c>
      <c r="B483" s="1" t="s">
        <v>558</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5">
      <c r="A484" s="31" t="s">
        <v>87</v>
      </c>
      <c r="B484" s="1" t="s">
        <v>559</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5">
      <c r="A485" s="31" t="s">
        <v>87</v>
      </c>
      <c r="B485" s="1" t="s">
        <v>560</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5">
      <c r="A486" s="31" t="s">
        <v>87</v>
      </c>
      <c r="B486" s="1" t="s">
        <v>561</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5">
      <c r="A487" s="31" t="s">
        <v>87</v>
      </c>
      <c r="B487" s="1" t="s">
        <v>562</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5">
      <c r="A488" s="31" t="s">
        <v>87</v>
      </c>
      <c r="B488" s="1" t="s">
        <v>563</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5">
      <c r="A489" s="31" t="s">
        <v>87</v>
      </c>
      <c r="B489" s="1" t="s">
        <v>564</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5">
      <c r="A490" s="31" t="s">
        <v>87</v>
      </c>
      <c r="B490" s="1" t="s">
        <v>565</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5">
      <c r="A491" s="31" t="s">
        <v>87</v>
      </c>
      <c r="B491" s="1" t="s">
        <v>566</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5">
      <c r="A492" s="31" t="s">
        <v>87</v>
      </c>
      <c r="B492" s="1" t="s">
        <v>567</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5">
      <c r="A493" s="31" t="s">
        <v>87</v>
      </c>
      <c r="B493" s="1" t="s">
        <v>568</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5">
      <c r="A494" s="31" t="s">
        <v>87</v>
      </c>
      <c r="B494" s="1" t="s">
        <v>569</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5">
      <c r="A495" s="31" t="s">
        <v>87</v>
      </c>
      <c r="B495" s="1" t="s">
        <v>570</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5">
      <c r="A496" s="31" t="s">
        <v>87</v>
      </c>
      <c r="B496" s="1" t="s">
        <v>571</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x14ac:dyDescent="0.2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25">
      <c r="A498" s="31" t="s">
        <v>572</v>
      </c>
      <c r="B498" s="1" t="s">
        <v>573</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354">
        <v>391</v>
      </c>
      <c r="N498" s="354">
        <v>334</v>
      </c>
      <c r="O498" s="354">
        <v>374</v>
      </c>
      <c r="P498" s="354">
        <v>393</v>
      </c>
      <c r="Q498" s="354">
        <v>365</v>
      </c>
      <c r="R498" s="354">
        <v>333</v>
      </c>
      <c r="S498" s="354">
        <v>365</v>
      </c>
      <c r="T498" s="354">
        <v>388</v>
      </c>
      <c r="U498" s="354">
        <v>394</v>
      </c>
      <c r="V498" s="354">
        <v>392</v>
      </c>
      <c r="W498" s="354">
        <v>375</v>
      </c>
      <c r="X498" s="354">
        <v>423</v>
      </c>
      <c r="Y498" s="354">
        <v>403</v>
      </c>
      <c r="Z498" s="354">
        <v>425</v>
      </c>
      <c r="AA498" s="354">
        <v>394</v>
      </c>
      <c r="AB498" s="354">
        <v>319</v>
      </c>
      <c r="AC498" s="354">
        <v>337</v>
      </c>
      <c r="AD498" s="354">
        <v>363</v>
      </c>
      <c r="AE498" s="354">
        <v>363</v>
      </c>
      <c r="AF498" s="354">
        <v>317</v>
      </c>
      <c r="AG498" s="354">
        <v>288</v>
      </c>
      <c r="AH498" s="354">
        <v>332</v>
      </c>
      <c r="AI498" s="354">
        <v>374</v>
      </c>
      <c r="AJ498" s="354">
        <v>338</v>
      </c>
      <c r="AK498" s="354">
        <v>389</v>
      </c>
      <c r="AL498" s="354">
        <v>412</v>
      </c>
      <c r="AM498" s="354">
        <v>367</v>
      </c>
      <c r="AN498" s="354">
        <v>361</v>
      </c>
      <c r="AO498" s="354">
        <v>441</v>
      </c>
      <c r="AP498" s="354">
        <v>438</v>
      </c>
      <c r="AQ498" s="354">
        <v>468</v>
      </c>
      <c r="AR498" s="354">
        <v>465</v>
      </c>
      <c r="AS498" s="354">
        <v>442</v>
      </c>
      <c r="AT498" s="354">
        <v>467</v>
      </c>
      <c r="AU498" s="354">
        <v>398</v>
      </c>
      <c r="AV498" s="354">
        <v>423</v>
      </c>
      <c r="AW498" s="354">
        <v>418</v>
      </c>
      <c r="AX498" s="354">
        <v>449</v>
      </c>
      <c r="AY498" s="354">
        <v>389</v>
      </c>
      <c r="AZ498" s="354">
        <v>409</v>
      </c>
      <c r="BA498" s="354">
        <v>365</v>
      </c>
      <c r="BB498" s="354">
        <v>396</v>
      </c>
      <c r="BC498" s="354">
        <v>373</v>
      </c>
      <c r="BD498" s="354">
        <v>369</v>
      </c>
      <c r="BE498" s="354">
        <v>348</v>
      </c>
      <c r="BF498" s="354">
        <v>299</v>
      </c>
      <c r="BG498" s="354">
        <v>345</v>
      </c>
      <c r="BH498" s="354">
        <v>417</v>
      </c>
      <c r="BI498" s="354">
        <v>386</v>
      </c>
      <c r="BJ498" s="354">
        <v>430</v>
      </c>
      <c r="BK498" s="354">
        <v>495</v>
      </c>
      <c r="BL498" s="354">
        <v>469</v>
      </c>
      <c r="BM498" s="354">
        <v>471</v>
      </c>
      <c r="BN498" s="354">
        <v>521</v>
      </c>
      <c r="BO498" s="354">
        <v>498</v>
      </c>
      <c r="BP498" s="354">
        <v>491</v>
      </c>
      <c r="BQ498" s="354">
        <v>525</v>
      </c>
      <c r="BR498" s="354">
        <v>529</v>
      </c>
      <c r="BS498" s="354">
        <v>512</v>
      </c>
      <c r="BT498" s="354">
        <v>493</v>
      </c>
      <c r="BU498" s="354">
        <v>503</v>
      </c>
      <c r="BV498" s="354">
        <v>432</v>
      </c>
      <c r="BW498" s="354">
        <v>445</v>
      </c>
      <c r="BX498" s="354">
        <v>434</v>
      </c>
      <c r="BY498" s="354">
        <v>364</v>
      </c>
      <c r="BZ498" s="354">
        <v>441</v>
      </c>
      <c r="CA498" s="354">
        <v>389</v>
      </c>
      <c r="CB498" s="354">
        <v>372</v>
      </c>
      <c r="CC498" s="354">
        <v>364</v>
      </c>
      <c r="CD498" s="354">
        <v>375</v>
      </c>
      <c r="CE498" s="354">
        <v>341</v>
      </c>
      <c r="CF498" s="354">
        <v>358</v>
      </c>
      <c r="CG498" s="354">
        <v>351</v>
      </c>
      <c r="CH498" s="354">
        <v>359</v>
      </c>
      <c r="CI498" s="354">
        <v>343</v>
      </c>
      <c r="CJ498" s="354">
        <v>401</v>
      </c>
      <c r="CK498" s="354">
        <v>297</v>
      </c>
      <c r="CL498" s="354">
        <v>262</v>
      </c>
      <c r="CM498" s="354">
        <v>235</v>
      </c>
      <c r="CN498" s="354">
        <v>261</v>
      </c>
      <c r="CO498" s="354">
        <v>210</v>
      </c>
      <c r="CP498" s="354">
        <v>179</v>
      </c>
      <c r="CQ498" s="354">
        <v>155</v>
      </c>
      <c r="CR498" s="354">
        <v>164</v>
      </c>
      <c r="CS498" s="354">
        <v>135</v>
      </c>
      <c r="CT498" s="354">
        <v>101</v>
      </c>
      <c r="CU498" s="354">
        <v>100</v>
      </c>
      <c r="CV498" s="354">
        <v>87</v>
      </c>
      <c r="CW498" s="354">
        <v>55</v>
      </c>
      <c r="CX498" s="354">
        <v>58</v>
      </c>
      <c r="CY498" s="354">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5">
      <c r="A499" s="31" t="s">
        <v>75</v>
      </c>
      <c r="B499" s="1" t="s">
        <v>574</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354">
        <v>731</v>
      </c>
      <c r="N499" s="354">
        <v>689</v>
      </c>
      <c r="O499" s="354">
        <v>714</v>
      </c>
      <c r="P499" s="354">
        <v>751</v>
      </c>
      <c r="Q499" s="354">
        <v>788</v>
      </c>
      <c r="R499" s="354">
        <v>823</v>
      </c>
      <c r="S499" s="354">
        <v>811</v>
      </c>
      <c r="T499" s="354">
        <v>852</v>
      </c>
      <c r="U499" s="354">
        <v>862</v>
      </c>
      <c r="V499" s="354">
        <v>879</v>
      </c>
      <c r="W499" s="354">
        <v>884</v>
      </c>
      <c r="X499" s="354">
        <v>978</v>
      </c>
      <c r="Y499" s="354">
        <v>895</v>
      </c>
      <c r="Z499" s="354">
        <v>924</v>
      </c>
      <c r="AA499" s="354">
        <v>890</v>
      </c>
      <c r="AB499" s="354">
        <v>868</v>
      </c>
      <c r="AC499" s="354">
        <v>836</v>
      </c>
      <c r="AD499" s="354">
        <v>905</v>
      </c>
      <c r="AE499" s="354">
        <v>777</v>
      </c>
      <c r="AF499" s="354">
        <v>641</v>
      </c>
      <c r="AG499" s="354">
        <v>674</v>
      </c>
      <c r="AH499" s="354">
        <v>686</v>
      </c>
      <c r="AI499" s="354">
        <v>727</v>
      </c>
      <c r="AJ499" s="354">
        <v>840</v>
      </c>
      <c r="AK499" s="354">
        <v>858</v>
      </c>
      <c r="AL499" s="354">
        <v>945</v>
      </c>
      <c r="AM499" s="354">
        <v>890</v>
      </c>
      <c r="AN499" s="354">
        <v>816</v>
      </c>
      <c r="AO499" s="354">
        <v>944</v>
      </c>
      <c r="AP499" s="354">
        <v>857</v>
      </c>
      <c r="AQ499" s="354">
        <v>968</v>
      </c>
      <c r="AR499" s="354">
        <v>910</v>
      </c>
      <c r="AS499" s="354">
        <v>982</v>
      </c>
      <c r="AT499" s="354">
        <v>986</v>
      </c>
      <c r="AU499" s="354">
        <v>996</v>
      </c>
      <c r="AV499" s="354">
        <v>984</v>
      </c>
      <c r="AW499" s="354">
        <v>944</v>
      </c>
      <c r="AX499" s="354">
        <v>937</v>
      </c>
      <c r="AY499" s="354">
        <v>874</v>
      </c>
      <c r="AZ499" s="354">
        <v>882</v>
      </c>
      <c r="BA499" s="354">
        <v>860</v>
      </c>
      <c r="BB499" s="354">
        <v>916</v>
      </c>
      <c r="BC499" s="354">
        <v>935</v>
      </c>
      <c r="BD499" s="354">
        <v>885</v>
      </c>
      <c r="BE499" s="354">
        <v>798</v>
      </c>
      <c r="BF499" s="354">
        <v>764</v>
      </c>
      <c r="BG499" s="354">
        <v>821</v>
      </c>
      <c r="BH499" s="354">
        <v>816</v>
      </c>
      <c r="BI499" s="354">
        <v>884</v>
      </c>
      <c r="BJ499" s="354">
        <v>901</v>
      </c>
      <c r="BK499" s="354">
        <v>1009</v>
      </c>
      <c r="BL499" s="354">
        <v>1091</v>
      </c>
      <c r="BM499" s="354">
        <v>977</v>
      </c>
      <c r="BN499" s="354">
        <v>1017</v>
      </c>
      <c r="BO499" s="354">
        <v>1078</v>
      </c>
      <c r="BP499" s="354">
        <v>1056</v>
      </c>
      <c r="BQ499" s="354">
        <v>1081</v>
      </c>
      <c r="BR499" s="354">
        <v>1062</v>
      </c>
      <c r="BS499" s="354">
        <v>1067</v>
      </c>
      <c r="BT499" s="354">
        <v>1000</v>
      </c>
      <c r="BU499" s="354">
        <v>1035</v>
      </c>
      <c r="BV499" s="354">
        <v>984</v>
      </c>
      <c r="BW499" s="354">
        <v>918</v>
      </c>
      <c r="BX499" s="354">
        <v>903</v>
      </c>
      <c r="BY499" s="354">
        <v>907</v>
      </c>
      <c r="BZ499" s="354">
        <v>835</v>
      </c>
      <c r="CA499" s="354">
        <v>831</v>
      </c>
      <c r="CB499" s="354">
        <v>766</v>
      </c>
      <c r="CC499" s="354">
        <v>742</v>
      </c>
      <c r="CD499" s="354">
        <v>776</v>
      </c>
      <c r="CE499" s="354">
        <v>736</v>
      </c>
      <c r="CF499" s="354">
        <v>767</v>
      </c>
      <c r="CG499" s="354">
        <v>726</v>
      </c>
      <c r="CH499" s="354">
        <v>780</v>
      </c>
      <c r="CI499" s="354">
        <v>754</v>
      </c>
      <c r="CJ499" s="354">
        <v>809</v>
      </c>
      <c r="CK499" s="354">
        <v>632</v>
      </c>
      <c r="CL499" s="354">
        <v>617</v>
      </c>
      <c r="CM499" s="354">
        <v>572</v>
      </c>
      <c r="CN499" s="354">
        <v>506</v>
      </c>
      <c r="CO499" s="354">
        <v>443</v>
      </c>
      <c r="CP499" s="354">
        <v>449</v>
      </c>
      <c r="CQ499" s="354">
        <v>367</v>
      </c>
      <c r="CR499" s="354">
        <v>336</v>
      </c>
      <c r="CS499" s="354">
        <v>314</v>
      </c>
      <c r="CT499" s="354">
        <v>257</v>
      </c>
      <c r="CU499" s="354">
        <v>226</v>
      </c>
      <c r="CV499" s="354">
        <v>223</v>
      </c>
      <c r="CW499" s="354">
        <v>154</v>
      </c>
      <c r="CX499" s="354">
        <v>144</v>
      </c>
      <c r="CY499" s="354">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5">
      <c r="A500" s="31" t="s">
        <v>75</v>
      </c>
      <c r="B500" s="1" t="s">
        <v>575</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354">
        <v>834</v>
      </c>
      <c r="N500" s="354">
        <v>824</v>
      </c>
      <c r="O500" s="354">
        <v>908</v>
      </c>
      <c r="P500" s="354">
        <v>935</v>
      </c>
      <c r="Q500" s="354">
        <v>1007</v>
      </c>
      <c r="R500" s="354">
        <v>996</v>
      </c>
      <c r="S500" s="354">
        <v>1029</v>
      </c>
      <c r="T500" s="354">
        <v>1072</v>
      </c>
      <c r="U500" s="354">
        <v>1068</v>
      </c>
      <c r="V500" s="354">
        <v>1056</v>
      </c>
      <c r="W500" s="354">
        <v>1069</v>
      </c>
      <c r="X500" s="354">
        <v>1095</v>
      </c>
      <c r="Y500" s="354">
        <v>1148</v>
      </c>
      <c r="Z500" s="354">
        <v>1126</v>
      </c>
      <c r="AA500" s="354">
        <v>1141</v>
      </c>
      <c r="AB500" s="354">
        <v>1053</v>
      </c>
      <c r="AC500" s="354">
        <v>1026</v>
      </c>
      <c r="AD500" s="354">
        <v>1028</v>
      </c>
      <c r="AE500" s="354">
        <v>1108</v>
      </c>
      <c r="AF500" s="354">
        <v>875</v>
      </c>
      <c r="AG500" s="354">
        <v>817</v>
      </c>
      <c r="AH500" s="354">
        <v>888</v>
      </c>
      <c r="AI500" s="354">
        <v>942</v>
      </c>
      <c r="AJ500" s="354">
        <v>891</v>
      </c>
      <c r="AK500" s="354">
        <v>901</v>
      </c>
      <c r="AL500" s="354">
        <v>1103</v>
      </c>
      <c r="AM500" s="354">
        <v>1005</v>
      </c>
      <c r="AN500" s="354">
        <v>987</v>
      </c>
      <c r="AO500" s="354">
        <v>1032</v>
      </c>
      <c r="AP500" s="354">
        <v>1030</v>
      </c>
      <c r="AQ500" s="354">
        <v>1074</v>
      </c>
      <c r="AR500" s="354">
        <v>1182</v>
      </c>
      <c r="AS500" s="354">
        <v>1115</v>
      </c>
      <c r="AT500" s="354">
        <v>1132</v>
      </c>
      <c r="AU500" s="354">
        <v>1167</v>
      </c>
      <c r="AV500" s="354">
        <v>1071</v>
      </c>
      <c r="AW500" s="354">
        <v>1140</v>
      </c>
      <c r="AX500" s="354">
        <v>1077</v>
      </c>
      <c r="AY500" s="354">
        <v>1079</v>
      </c>
      <c r="AZ500" s="354">
        <v>1060</v>
      </c>
      <c r="BA500" s="354">
        <v>1012</v>
      </c>
      <c r="BB500" s="354">
        <v>1070</v>
      </c>
      <c r="BC500" s="354">
        <v>1085</v>
      </c>
      <c r="BD500" s="354">
        <v>1002</v>
      </c>
      <c r="BE500" s="354">
        <v>958</v>
      </c>
      <c r="BF500" s="354">
        <v>997</v>
      </c>
      <c r="BG500" s="354">
        <v>992</v>
      </c>
      <c r="BH500" s="354">
        <v>988</v>
      </c>
      <c r="BI500" s="354">
        <v>1077</v>
      </c>
      <c r="BJ500" s="354">
        <v>1113</v>
      </c>
      <c r="BK500" s="354">
        <v>1157</v>
      </c>
      <c r="BL500" s="354">
        <v>1232</v>
      </c>
      <c r="BM500" s="354">
        <v>1129</v>
      </c>
      <c r="BN500" s="354">
        <v>1299</v>
      </c>
      <c r="BO500" s="354">
        <v>1259</v>
      </c>
      <c r="BP500" s="354">
        <v>1214</v>
      </c>
      <c r="BQ500" s="354">
        <v>1265</v>
      </c>
      <c r="BR500" s="354">
        <v>1277</v>
      </c>
      <c r="BS500" s="354">
        <v>1255</v>
      </c>
      <c r="BT500" s="354">
        <v>1273</v>
      </c>
      <c r="BU500" s="354">
        <v>1181</v>
      </c>
      <c r="BV500" s="354">
        <v>1146</v>
      </c>
      <c r="BW500" s="354">
        <v>1118</v>
      </c>
      <c r="BX500" s="354">
        <v>1064</v>
      </c>
      <c r="BY500" s="354">
        <v>1058</v>
      </c>
      <c r="BZ500" s="354">
        <v>1029</v>
      </c>
      <c r="CA500" s="354">
        <v>925</v>
      </c>
      <c r="CB500" s="354">
        <v>870</v>
      </c>
      <c r="CC500" s="354">
        <v>989</v>
      </c>
      <c r="CD500" s="354">
        <v>948</v>
      </c>
      <c r="CE500" s="354">
        <v>880</v>
      </c>
      <c r="CF500" s="354">
        <v>910</v>
      </c>
      <c r="CG500" s="354">
        <v>938</v>
      </c>
      <c r="CH500" s="354">
        <v>837</v>
      </c>
      <c r="CI500" s="354">
        <v>970</v>
      </c>
      <c r="CJ500" s="354">
        <v>989</v>
      </c>
      <c r="CK500" s="354">
        <v>740</v>
      </c>
      <c r="CL500" s="354">
        <v>691</v>
      </c>
      <c r="CM500" s="354">
        <v>645</v>
      </c>
      <c r="CN500" s="354">
        <v>570</v>
      </c>
      <c r="CO500" s="354">
        <v>578</v>
      </c>
      <c r="CP500" s="354">
        <v>442</v>
      </c>
      <c r="CQ500" s="354">
        <v>426</v>
      </c>
      <c r="CR500" s="354">
        <v>410</v>
      </c>
      <c r="CS500" s="354">
        <v>355</v>
      </c>
      <c r="CT500" s="354">
        <v>296</v>
      </c>
      <c r="CU500" s="354">
        <v>259</v>
      </c>
      <c r="CV500" s="354">
        <v>215</v>
      </c>
      <c r="CW500" s="354">
        <v>176</v>
      </c>
      <c r="CX500" s="354">
        <v>150</v>
      </c>
      <c r="CY500" s="354">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5">
      <c r="A501" s="31" t="s">
        <v>75</v>
      </c>
      <c r="B501" s="1" t="s">
        <v>576</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354">
        <v>1950</v>
      </c>
      <c r="N501" s="354">
        <v>1875</v>
      </c>
      <c r="O501" s="354">
        <v>1880</v>
      </c>
      <c r="P501" s="354">
        <v>1977</v>
      </c>
      <c r="Q501" s="354">
        <v>2035</v>
      </c>
      <c r="R501" s="354">
        <v>2099</v>
      </c>
      <c r="S501" s="354">
        <v>2234</v>
      </c>
      <c r="T501" s="354">
        <v>2194</v>
      </c>
      <c r="U501" s="354">
        <v>2213</v>
      </c>
      <c r="V501" s="354">
        <v>2181</v>
      </c>
      <c r="W501" s="354">
        <v>2303</v>
      </c>
      <c r="X501" s="354">
        <v>2380</v>
      </c>
      <c r="Y501" s="354">
        <v>2271</v>
      </c>
      <c r="Z501" s="354">
        <v>2188</v>
      </c>
      <c r="AA501" s="354">
        <v>2173</v>
      </c>
      <c r="AB501" s="354">
        <v>2117</v>
      </c>
      <c r="AC501" s="354">
        <v>2130</v>
      </c>
      <c r="AD501" s="354">
        <v>2130</v>
      </c>
      <c r="AE501" s="354">
        <v>2327</v>
      </c>
      <c r="AF501" s="354">
        <v>4164</v>
      </c>
      <c r="AG501" s="354">
        <v>4565</v>
      </c>
      <c r="AH501" s="354">
        <v>4249</v>
      </c>
      <c r="AI501" s="354">
        <v>3797</v>
      </c>
      <c r="AJ501" s="354">
        <v>3628</v>
      </c>
      <c r="AK501" s="354">
        <v>3513</v>
      </c>
      <c r="AL501" s="354">
        <v>3439</v>
      </c>
      <c r="AM501" s="354">
        <v>3420</v>
      </c>
      <c r="AN501" s="354">
        <v>3228</v>
      </c>
      <c r="AO501" s="354">
        <v>3077</v>
      </c>
      <c r="AP501" s="354">
        <v>2999</v>
      </c>
      <c r="AQ501" s="354">
        <v>2824</v>
      </c>
      <c r="AR501" s="354">
        <v>2846</v>
      </c>
      <c r="AS501" s="354">
        <v>2776</v>
      </c>
      <c r="AT501" s="354">
        <v>2588</v>
      </c>
      <c r="AU501" s="354">
        <v>2705</v>
      </c>
      <c r="AV501" s="354">
        <v>2608</v>
      </c>
      <c r="AW501" s="354">
        <v>2669</v>
      </c>
      <c r="AX501" s="354">
        <v>2467</v>
      </c>
      <c r="AY501" s="354">
        <v>2494</v>
      </c>
      <c r="AZ501" s="354">
        <v>2498</v>
      </c>
      <c r="BA501" s="354">
        <v>2343</v>
      </c>
      <c r="BB501" s="354">
        <v>2361</v>
      </c>
      <c r="BC501" s="354">
        <v>2324</v>
      </c>
      <c r="BD501" s="354">
        <v>2260</v>
      </c>
      <c r="BE501" s="354">
        <v>2022</v>
      </c>
      <c r="BF501" s="354">
        <v>2128</v>
      </c>
      <c r="BG501" s="354">
        <v>2019</v>
      </c>
      <c r="BH501" s="354">
        <v>2027</v>
      </c>
      <c r="BI501" s="354">
        <v>2070</v>
      </c>
      <c r="BJ501" s="354">
        <v>1928</v>
      </c>
      <c r="BK501" s="354">
        <v>1966</v>
      </c>
      <c r="BL501" s="354">
        <v>2100</v>
      </c>
      <c r="BM501" s="354">
        <v>2061</v>
      </c>
      <c r="BN501" s="354">
        <v>2078</v>
      </c>
      <c r="BO501" s="354">
        <v>1992</v>
      </c>
      <c r="BP501" s="354">
        <v>2070</v>
      </c>
      <c r="BQ501" s="354">
        <v>1888</v>
      </c>
      <c r="BR501" s="354">
        <v>2027</v>
      </c>
      <c r="BS501" s="354">
        <v>1976</v>
      </c>
      <c r="BT501" s="354">
        <v>1918</v>
      </c>
      <c r="BU501" s="354">
        <v>1994</v>
      </c>
      <c r="BV501" s="354">
        <v>1814</v>
      </c>
      <c r="BW501" s="354">
        <v>1830</v>
      </c>
      <c r="BX501" s="354">
        <v>1808</v>
      </c>
      <c r="BY501" s="354">
        <v>1654</v>
      </c>
      <c r="BZ501" s="354">
        <v>1666</v>
      </c>
      <c r="CA501" s="354">
        <v>1538</v>
      </c>
      <c r="CB501" s="354">
        <v>1449</v>
      </c>
      <c r="CC501" s="354">
        <v>1467</v>
      </c>
      <c r="CD501" s="354">
        <v>1364</v>
      </c>
      <c r="CE501" s="354">
        <v>1286</v>
      </c>
      <c r="CF501" s="354">
        <v>1359</v>
      </c>
      <c r="CG501" s="354">
        <v>1353</v>
      </c>
      <c r="CH501" s="354">
        <v>1306</v>
      </c>
      <c r="CI501" s="354">
        <v>1244</v>
      </c>
      <c r="CJ501" s="354">
        <v>1342</v>
      </c>
      <c r="CK501" s="354">
        <v>991</v>
      </c>
      <c r="CL501" s="354">
        <v>942</v>
      </c>
      <c r="CM501" s="354">
        <v>905</v>
      </c>
      <c r="CN501" s="354">
        <v>742</v>
      </c>
      <c r="CO501" s="354">
        <v>691</v>
      </c>
      <c r="CP501" s="354">
        <v>611</v>
      </c>
      <c r="CQ501" s="354">
        <v>589</v>
      </c>
      <c r="CR501" s="354">
        <v>538</v>
      </c>
      <c r="CS501" s="354">
        <v>490</v>
      </c>
      <c r="CT501" s="354">
        <v>446</v>
      </c>
      <c r="CU501" s="354">
        <v>394</v>
      </c>
      <c r="CV501" s="354">
        <v>368</v>
      </c>
      <c r="CW501" s="354">
        <v>281</v>
      </c>
      <c r="CX501" s="354">
        <v>249</v>
      </c>
      <c r="CY501" s="354">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5">
      <c r="A502" s="31" t="s">
        <v>75</v>
      </c>
      <c r="B502" s="1" t="s">
        <v>577</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354">
        <v>856</v>
      </c>
      <c r="N502" s="354">
        <v>866</v>
      </c>
      <c r="O502" s="354">
        <v>854</v>
      </c>
      <c r="P502" s="354">
        <v>934</v>
      </c>
      <c r="Q502" s="354">
        <v>976</v>
      </c>
      <c r="R502" s="354">
        <v>1016</v>
      </c>
      <c r="S502" s="354">
        <v>1068</v>
      </c>
      <c r="T502" s="354">
        <v>1057</v>
      </c>
      <c r="U502" s="354">
        <v>1032</v>
      </c>
      <c r="V502" s="354">
        <v>1077</v>
      </c>
      <c r="W502" s="354">
        <v>1158</v>
      </c>
      <c r="X502" s="354">
        <v>1168</v>
      </c>
      <c r="Y502" s="354">
        <v>1148</v>
      </c>
      <c r="Z502" s="354">
        <v>1099</v>
      </c>
      <c r="AA502" s="354">
        <v>1137</v>
      </c>
      <c r="AB502" s="354">
        <v>1146</v>
      </c>
      <c r="AC502" s="354">
        <v>1150</v>
      </c>
      <c r="AD502" s="354">
        <v>1098</v>
      </c>
      <c r="AE502" s="354">
        <v>1071</v>
      </c>
      <c r="AF502" s="354">
        <v>898</v>
      </c>
      <c r="AG502" s="354">
        <v>829</v>
      </c>
      <c r="AH502" s="354">
        <v>834</v>
      </c>
      <c r="AI502" s="354">
        <v>847</v>
      </c>
      <c r="AJ502" s="354">
        <v>907</v>
      </c>
      <c r="AK502" s="354">
        <v>957</v>
      </c>
      <c r="AL502" s="354">
        <v>1013</v>
      </c>
      <c r="AM502" s="354">
        <v>1000</v>
      </c>
      <c r="AN502" s="354">
        <v>923</v>
      </c>
      <c r="AO502" s="354">
        <v>977</v>
      </c>
      <c r="AP502" s="354">
        <v>975</v>
      </c>
      <c r="AQ502" s="354">
        <v>1005</v>
      </c>
      <c r="AR502" s="354">
        <v>1049</v>
      </c>
      <c r="AS502" s="354">
        <v>1077</v>
      </c>
      <c r="AT502" s="354">
        <v>1035</v>
      </c>
      <c r="AU502" s="354">
        <v>1116</v>
      </c>
      <c r="AV502" s="354">
        <v>1060</v>
      </c>
      <c r="AW502" s="354">
        <v>1050</v>
      </c>
      <c r="AX502" s="354">
        <v>991</v>
      </c>
      <c r="AY502" s="354">
        <v>1021</v>
      </c>
      <c r="AZ502" s="354">
        <v>1015</v>
      </c>
      <c r="BA502" s="354">
        <v>996</v>
      </c>
      <c r="BB502" s="354">
        <v>1033</v>
      </c>
      <c r="BC502" s="354">
        <v>1042</v>
      </c>
      <c r="BD502" s="354">
        <v>1003</v>
      </c>
      <c r="BE502" s="354">
        <v>929</v>
      </c>
      <c r="BF502" s="354">
        <v>918</v>
      </c>
      <c r="BG502" s="354">
        <v>1008</v>
      </c>
      <c r="BH502" s="354">
        <v>1037</v>
      </c>
      <c r="BI502" s="354">
        <v>1074</v>
      </c>
      <c r="BJ502" s="354">
        <v>1130</v>
      </c>
      <c r="BK502" s="354">
        <v>1203</v>
      </c>
      <c r="BL502" s="354">
        <v>1281</v>
      </c>
      <c r="BM502" s="354">
        <v>1243</v>
      </c>
      <c r="BN502" s="354">
        <v>1231</v>
      </c>
      <c r="BO502" s="354">
        <v>1260</v>
      </c>
      <c r="BP502" s="354">
        <v>1356</v>
      </c>
      <c r="BQ502" s="354">
        <v>1372</v>
      </c>
      <c r="BR502" s="354">
        <v>1413</v>
      </c>
      <c r="BS502" s="354">
        <v>1455</v>
      </c>
      <c r="BT502" s="354">
        <v>1317</v>
      </c>
      <c r="BU502" s="354">
        <v>1416</v>
      </c>
      <c r="BV502" s="354">
        <v>1373</v>
      </c>
      <c r="BW502" s="354">
        <v>1349</v>
      </c>
      <c r="BX502" s="354">
        <v>1279</v>
      </c>
      <c r="BY502" s="354">
        <v>1311</v>
      </c>
      <c r="BZ502" s="354">
        <v>1261</v>
      </c>
      <c r="CA502" s="354">
        <v>1172</v>
      </c>
      <c r="CB502" s="354">
        <v>1270</v>
      </c>
      <c r="CC502" s="354">
        <v>1212</v>
      </c>
      <c r="CD502" s="354">
        <v>1197</v>
      </c>
      <c r="CE502" s="354">
        <v>1164</v>
      </c>
      <c r="CF502" s="354">
        <v>1112</v>
      </c>
      <c r="CG502" s="354">
        <v>1141</v>
      </c>
      <c r="CH502" s="354">
        <v>1175</v>
      </c>
      <c r="CI502" s="354">
        <v>1186</v>
      </c>
      <c r="CJ502" s="354">
        <v>1175</v>
      </c>
      <c r="CK502" s="354">
        <v>999</v>
      </c>
      <c r="CL502" s="354">
        <v>920</v>
      </c>
      <c r="CM502" s="354">
        <v>863</v>
      </c>
      <c r="CN502" s="354">
        <v>789</v>
      </c>
      <c r="CO502" s="354">
        <v>736</v>
      </c>
      <c r="CP502" s="354">
        <v>619</v>
      </c>
      <c r="CQ502" s="354">
        <v>561</v>
      </c>
      <c r="CR502" s="354">
        <v>506</v>
      </c>
      <c r="CS502" s="354">
        <v>445</v>
      </c>
      <c r="CT502" s="354">
        <v>454</v>
      </c>
      <c r="CU502" s="354">
        <v>361</v>
      </c>
      <c r="CV502" s="354">
        <v>330</v>
      </c>
      <c r="CW502" s="354">
        <v>265</v>
      </c>
      <c r="CX502" s="354">
        <v>198</v>
      </c>
      <c r="CY502" s="354">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5">
      <c r="A503" s="31" t="s">
        <v>75</v>
      </c>
      <c r="B503" s="1" t="s">
        <v>578</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354">
        <v>276</v>
      </c>
      <c r="N503" s="354">
        <v>237</v>
      </c>
      <c r="O503" s="354">
        <v>271</v>
      </c>
      <c r="P503" s="354">
        <v>294</v>
      </c>
      <c r="Q503" s="354">
        <v>285</v>
      </c>
      <c r="R503" s="354">
        <v>312</v>
      </c>
      <c r="S503" s="354">
        <v>341</v>
      </c>
      <c r="T503" s="354">
        <v>317</v>
      </c>
      <c r="U503" s="354">
        <v>309</v>
      </c>
      <c r="V503" s="354">
        <v>360</v>
      </c>
      <c r="W503" s="354">
        <v>360</v>
      </c>
      <c r="X503" s="354">
        <v>370</v>
      </c>
      <c r="Y503" s="354">
        <v>368</v>
      </c>
      <c r="Z503" s="354">
        <v>326</v>
      </c>
      <c r="AA503" s="354">
        <v>334</v>
      </c>
      <c r="AB503" s="354">
        <v>346</v>
      </c>
      <c r="AC503" s="354">
        <v>355</v>
      </c>
      <c r="AD503" s="354">
        <v>378</v>
      </c>
      <c r="AE503" s="354">
        <v>435</v>
      </c>
      <c r="AF503" s="354">
        <v>855</v>
      </c>
      <c r="AG503" s="354">
        <v>809</v>
      </c>
      <c r="AH503" s="354">
        <v>767</v>
      </c>
      <c r="AI503" s="354">
        <v>615</v>
      </c>
      <c r="AJ503" s="354">
        <v>548</v>
      </c>
      <c r="AK503" s="354">
        <v>432</v>
      </c>
      <c r="AL503" s="354">
        <v>350</v>
      </c>
      <c r="AM503" s="354">
        <v>336</v>
      </c>
      <c r="AN503" s="354">
        <v>361</v>
      </c>
      <c r="AO503" s="354">
        <v>363</v>
      </c>
      <c r="AP503" s="354">
        <v>307</v>
      </c>
      <c r="AQ503" s="354">
        <v>338</v>
      </c>
      <c r="AR503" s="354">
        <v>347</v>
      </c>
      <c r="AS503" s="354">
        <v>354</v>
      </c>
      <c r="AT503" s="354">
        <v>356</v>
      </c>
      <c r="AU503" s="354">
        <v>352</v>
      </c>
      <c r="AV503" s="354">
        <v>311</v>
      </c>
      <c r="AW503" s="354">
        <v>316</v>
      </c>
      <c r="AX503" s="354">
        <v>334</v>
      </c>
      <c r="AY503" s="354">
        <v>320</v>
      </c>
      <c r="AZ503" s="354">
        <v>335</v>
      </c>
      <c r="BA503" s="354">
        <v>353</v>
      </c>
      <c r="BB503" s="354">
        <v>347</v>
      </c>
      <c r="BC503" s="354">
        <v>316</v>
      </c>
      <c r="BD503" s="354">
        <v>308</v>
      </c>
      <c r="BE503" s="354">
        <v>280</v>
      </c>
      <c r="BF503" s="354">
        <v>309</v>
      </c>
      <c r="BG503" s="354">
        <v>342</v>
      </c>
      <c r="BH503" s="354">
        <v>348</v>
      </c>
      <c r="BI503" s="354">
        <v>356</v>
      </c>
      <c r="BJ503" s="354">
        <v>339</v>
      </c>
      <c r="BK503" s="354">
        <v>402</v>
      </c>
      <c r="BL503" s="354">
        <v>431</v>
      </c>
      <c r="BM503" s="354">
        <v>435</v>
      </c>
      <c r="BN503" s="354">
        <v>504</v>
      </c>
      <c r="BO503" s="354">
        <v>475</v>
      </c>
      <c r="BP503" s="354">
        <v>496</v>
      </c>
      <c r="BQ503" s="354">
        <v>511</v>
      </c>
      <c r="BR503" s="354">
        <v>501</v>
      </c>
      <c r="BS503" s="354">
        <v>541</v>
      </c>
      <c r="BT503" s="354">
        <v>553</v>
      </c>
      <c r="BU503" s="354">
        <v>538</v>
      </c>
      <c r="BV503" s="354">
        <v>517</v>
      </c>
      <c r="BW503" s="354">
        <v>495</v>
      </c>
      <c r="BX503" s="354">
        <v>529</v>
      </c>
      <c r="BY503" s="354">
        <v>518</v>
      </c>
      <c r="BZ503" s="354">
        <v>495</v>
      </c>
      <c r="CA503" s="354">
        <v>519</v>
      </c>
      <c r="CB503" s="354">
        <v>491</v>
      </c>
      <c r="CC503" s="354">
        <v>490</v>
      </c>
      <c r="CD503" s="354">
        <v>448</v>
      </c>
      <c r="CE503" s="354">
        <v>472</v>
      </c>
      <c r="CF503" s="354">
        <v>453</v>
      </c>
      <c r="CG503" s="354">
        <v>454</v>
      </c>
      <c r="CH503" s="354">
        <v>509</v>
      </c>
      <c r="CI503" s="354">
        <v>531</v>
      </c>
      <c r="CJ503" s="354">
        <v>500</v>
      </c>
      <c r="CK503" s="354">
        <v>376</v>
      </c>
      <c r="CL503" s="354">
        <v>376</v>
      </c>
      <c r="CM503" s="354">
        <v>354</v>
      </c>
      <c r="CN503" s="354">
        <v>347</v>
      </c>
      <c r="CO503" s="354">
        <v>289</v>
      </c>
      <c r="CP503" s="354">
        <v>213</v>
      </c>
      <c r="CQ503" s="354">
        <v>241</v>
      </c>
      <c r="CR503" s="354">
        <v>198</v>
      </c>
      <c r="CS503" s="354">
        <v>175</v>
      </c>
      <c r="CT503" s="354">
        <v>168</v>
      </c>
      <c r="CU503" s="354">
        <v>134</v>
      </c>
      <c r="CV503" s="354">
        <v>115</v>
      </c>
      <c r="CW503" s="354">
        <v>97</v>
      </c>
      <c r="CX503" s="354">
        <v>84</v>
      </c>
      <c r="CY503" s="354">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5">
      <c r="A504" s="31" t="s">
        <v>75</v>
      </c>
      <c r="B504" s="1" t="s">
        <v>579</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354">
        <v>483</v>
      </c>
      <c r="N504" s="354">
        <v>469</v>
      </c>
      <c r="O504" s="354">
        <v>522</v>
      </c>
      <c r="P504" s="354">
        <v>523</v>
      </c>
      <c r="Q504" s="354">
        <v>549</v>
      </c>
      <c r="R504" s="354">
        <v>540</v>
      </c>
      <c r="S504" s="354">
        <v>563</v>
      </c>
      <c r="T504" s="354">
        <v>620</v>
      </c>
      <c r="U504" s="354">
        <v>583</v>
      </c>
      <c r="V504" s="354">
        <v>622</v>
      </c>
      <c r="W504" s="354">
        <v>611</v>
      </c>
      <c r="X504" s="354">
        <v>686</v>
      </c>
      <c r="Y504" s="354">
        <v>621</v>
      </c>
      <c r="Z504" s="354">
        <v>634</v>
      </c>
      <c r="AA504" s="354">
        <v>601</v>
      </c>
      <c r="AB504" s="354">
        <v>642</v>
      </c>
      <c r="AC504" s="354">
        <v>627</v>
      </c>
      <c r="AD504" s="354">
        <v>641</v>
      </c>
      <c r="AE504" s="354">
        <v>613</v>
      </c>
      <c r="AF504" s="354">
        <v>404</v>
      </c>
      <c r="AG504" s="354">
        <v>422</v>
      </c>
      <c r="AH504" s="354">
        <v>441</v>
      </c>
      <c r="AI504" s="354">
        <v>543</v>
      </c>
      <c r="AJ504" s="354">
        <v>525</v>
      </c>
      <c r="AK504" s="354">
        <v>583</v>
      </c>
      <c r="AL504" s="354">
        <v>572</v>
      </c>
      <c r="AM504" s="354">
        <v>471</v>
      </c>
      <c r="AN504" s="354">
        <v>561</v>
      </c>
      <c r="AO504" s="354">
        <v>538</v>
      </c>
      <c r="AP504" s="354">
        <v>526</v>
      </c>
      <c r="AQ504" s="354">
        <v>576</v>
      </c>
      <c r="AR504" s="354">
        <v>623</v>
      </c>
      <c r="AS504" s="354">
        <v>576</v>
      </c>
      <c r="AT504" s="354">
        <v>615</v>
      </c>
      <c r="AU504" s="354">
        <v>597</v>
      </c>
      <c r="AV504" s="354">
        <v>594</v>
      </c>
      <c r="AW504" s="354">
        <v>552</v>
      </c>
      <c r="AX504" s="354">
        <v>589</v>
      </c>
      <c r="AY504" s="354">
        <v>559</v>
      </c>
      <c r="AZ504" s="354">
        <v>543</v>
      </c>
      <c r="BA504" s="354">
        <v>551</v>
      </c>
      <c r="BB504" s="354">
        <v>596</v>
      </c>
      <c r="BC504" s="354">
        <v>626</v>
      </c>
      <c r="BD504" s="354">
        <v>555</v>
      </c>
      <c r="BE504" s="354">
        <v>470</v>
      </c>
      <c r="BF504" s="354">
        <v>555</v>
      </c>
      <c r="BG504" s="354">
        <v>559</v>
      </c>
      <c r="BH504" s="354">
        <v>569</v>
      </c>
      <c r="BI504" s="354">
        <v>603</v>
      </c>
      <c r="BJ504" s="354">
        <v>679</v>
      </c>
      <c r="BK504" s="354">
        <v>788</v>
      </c>
      <c r="BL504" s="354">
        <v>775</v>
      </c>
      <c r="BM504" s="354">
        <v>750</v>
      </c>
      <c r="BN504" s="354">
        <v>805</v>
      </c>
      <c r="BO504" s="354">
        <v>775</v>
      </c>
      <c r="BP504" s="354">
        <v>819</v>
      </c>
      <c r="BQ504" s="354">
        <v>862</v>
      </c>
      <c r="BR504" s="354">
        <v>890</v>
      </c>
      <c r="BS504" s="354">
        <v>870</v>
      </c>
      <c r="BT504" s="354">
        <v>881</v>
      </c>
      <c r="BU504" s="354">
        <v>879</v>
      </c>
      <c r="BV504" s="354">
        <v>894</v>
      </c>
      <c r="BW504" s="354">
        <v>876</v>
      </c>
      <c r="BX504" s="354">
        <v>830</v>
      </c>
      <c r="BY504" s="354">
        <v>792</v>
      </c>
      <c r="BZ504" s="354">
        <v>785</v>
      </c>
      <c r="CA504" s="354">
        <v>740</v>
      </c>
      <c r="CB504" s="354">
        <v>717</v>
      </c>
      <c r="CC504" s="354">
        <v>789</v>
      </c>
      <c r="CD504" s="354">
        <v>744</v>
      </c>
      <c r="CE504" s="354">
        <v>734</v>
      </c>
      <c r="CF504" s="354">
        <v>780</v>
      </c>
      <c r="CG504" s="354">
        <v>723</v>
      </c>
      <c r="CH504" s="354">
        <v>809</v>
      </c>
      <c r="CI504" s="354">
        <v>853</v>
      </c>
      <c r="CJ504" s="354">
        <v>851</v>
      </c>
      <c r="CK504" s="354">
        <v>673</v>
      </c>
      <c r="CL504" s="354">
        <v>628</v>
      </c>
      <c r="CM504" s="354">
        <v>602</v>
      </c>
      <c r="CN504" s="354">
        <v>548</v>
      </c>
      <c r="CO504" s="354">
        <v>479</v>
      </c>
      <c r="CP504" s="354">
        <v>400</v>
      </c>
      <c r="CQ504" s="354">
        <v>367</v>
      </c>
      <c r="CR504" s="354">
        <v>373</v>
      </c>
      <c r="CS504" s="354">
        <v>296</v>
      </c>
      <c r="CT504" s="354">
        <v>289</v>
      </c>
      <c r="CU504" s="354">
        <v>267</v>
      </c>
      <c r="CV504" s="354">
        <v>251</v>
      </c>
      <c r="CW504" s="354">
        <v>195</v>
      </c>
      <c r="CX504" s="354">
        <v>194</v>
      </c>
      <c r="CY504" s="354">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5">
      <c r="A505" s="31" t="s">
        <v>75</v>
      </c>
      <c r="B505" s="1" t="s">
        <v>580</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354">
        <v>457</v>
      </c>
      <c r="N505" s="354">
        <v>493</v>
      </c>
      <c r="O505" s="354">
        <v>520</v>
      </c>
      <c r="P505" s="354">
        <v>480</v>
      </c>
      <c r="Q505" s="354">
        <v>486</v>
      </c>
      <c r="R505" s="354">
        <v>551</v>
      </c>
      <c r="S505" s="354">
        <v>523</v>
      </c>
      <c r="T505" s="354">
        <v>558</v>
      </c>
      <c r="U505" s="354">
        <v>524</v>
      </c>
      <c r="V505" s="354">
        <v>561</v>
      </c>
      <c r="W505" s="354">
        <v>567</v>
      </c>
      <c r="X505" s="354">
        <v>592</v>
      </c>
      <c r="Y505" s="354">
        <v>615</v>
      </c>
      <c r="Z505" s="354">
        <v>593</v>
      </c>
      <c r="AA505" s="354">
        <v>609</v>
      </c>
      <c r="AB505" s="354">
        <v>587</v>
      </c>
      <c r="AC505" s="354">
        <v>587</v>
      </c>
      <c r="AD505" s="354">
        <v>627</v>
      </c>
      <c r="AE505" s="354">
        <v>551</v>
      </c>
      <c r="AF505" s="354">
        <v>439</v>
      </c>
      <c r="AG505" s="354">
        <v>422</v>
      </c>
      <c r="AH505" s="354">
        <v>434</v>
      </c>
      <c r="AI505" s="354">
        <v>423</v>
      </c>
      <c r="AJ505" s="354">
        <v>470</v>
      </c>
      <c r="AK505" s="354">
        <v>490</v>
      </c>
      <c r="AL505" s="354">
        <v>482</v>
      </c>
      <c r="AM505" s="354">
        <v>514</v>
      </c>
      <c r="AN505" s="354">
        <v>470</v>
      </c>
      <c r="AO505" s="354">
        <v>500</v>
      </c>
      <c r="AP505" s="354">
        <v>483</v>
      </c>
      <c r="AQ505" s="354">
        <v>507</v>
      </c>
      <c r="AR505" s="354">
        <v>516</v>
      </c>
      <c r="AS505" s="354">
        <v>511</v>
      </c>
      <c r="AT505" s="354">
        <v>471</v>
      </c>
      <c r="AU505" s="354">
        <v>530</v>
      </c>
      <c r="AV505" s="354">
        <v>513</v>
      </c>
      <c r="AW505" s="354">
        <v>510</v>
      </c>
      <c r="AX505" s="354">
        <v>477</v>
      </c>
      <c r="AY505" s="354">
        <v>509</v>
      </c>
      <c r="AZ505" s="354">
        <v>424</v>
      </c>
      <c r="BA505" s="354">
        <v>488</v>
      </c>
      <c r="BB505" s="354">
        <v>496</v>
      </c>
      <c r="BC505" s="354">
        <v>500</v>
      </c>
      <c r="BD505" s="354">
        <v>478</v>
      </c>
      <c r="BE505" s="354">
        <v>422</v>
      </c>
      <c r="BF505" s="354">
        <v>464</v>
      </c>
      <c r="BG505" s="354">
        <v>515</v>
      </c>
      <c r="BH505" s="354">
        <v>516</v>
      </c>
      <c r="BI505" s="354">
        <v>525</v>
      </c>
      <c r="BJ505" s="354">
        <v>532</v>
      </c>
      <c r="BK505" s="354">
        <v>646</v>
      </c>
      <c r="BL505" s="354">
        <v>654</v>
      </c>
      <c r="BM505" s="354">
        <v>645</v>
      </c>
      <c r="BN505" s="354">
        <v>662</v>
      </c>
      <c r="BO505" s="354">
        <v>643</v>
      </c>
      <c r="BP505" s="354">
        <v>715</v>
      </c>
      <c r="BQ505" s="354">
        <v>681</v>
      </c>
      <c r="BR505" s="354">
        <v>758</v>
      </c>
      <c r="BS505" s="354">
        <v>746</v>
      </c>
      <c r="BT505" s="354">
        <v>697</v>
      </c>
      <c r="BU505" s="354">
        <v>737</v>
      </c>
      <c r="BV505" s="354">
        <v>654</v>
      </c>
      <c r="BW505" s="354">
        <v>713</v>
      </c>
      <c r="BX505" s="354">
        <v>665</v>
      </c>
      <c r="BY505" s="354">
        <v>635</v>
      </c>
      <c r="BZ505" s="354">
        <v>637</v>
      </c>
      <c r="CA505" s="354">
        <v>603</v>
      </c>
      <c r="CB505" s="354">
        <v>603</v>
      </c>
      <c r="CC505" s="354">
        <v>596</v>
      </c>
      <c r="CD505" s="354">
        <v>599</v>
      </c>
      <c r="CE505" s="354">
        <v>543</v>
      </c>
      <c r="CF505" s="354">
        <v>547</v>
      </c>
      <c r="CG505" s="354">
        <v>614</v>
      </c>
      <c r="CH505" s="354">
        <v>653</v>
      </c>
      <c r="CI505" s="354">
        <v>674</v>
      </c>
      <c r="CJ505" s="354">
        <v>666</v>
      </c>
      <c r="CK505" s="354">
        <v>469</v>
      </c>
      <c r="CL505" s="354">
        <v>446</v>
      </c>
      <c r="CM505" s="354">
        <v>473</v>
      </c>
      <c r="CN505" s="354">
        <v>443</v>
      </c>
      <c r="CO505" s="354">
        <v>359</v>
      </c>
      <c r="CP505" s="354">
        <v>328</v>
      </c>
      <c r="CQ505" s="354">
        <v>290</v>
      </c>
      <c r="CR505" s="354">
        <v>259</v>
      </c>
      <c r="CS505" s="354">
        <v>236</v>
      </c>
      <c r="CT505" s="354">
        <v>224</v>
      </c>
      <c r="CU505" s="354">
        <v>181</v>
      </c>
      <c r="CV505" s="354">
        <v>162</v>
      </c>
      <c r="CW505" s="354">
        <v>127</v>
      </c>
      <c r="CX505" s="354">
        <v>108</v>
      </c>
      <c r="CY505" s="354">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5">
      <c r="A506" s="31" t="s">
        <v>75</v>
      </c>
      <c r="B506" s="1" t="s">
        <v>581</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354">
        <v>701</v>
      </c>
      <c r="N506" s="354">
        <v>780</v>
      </c>
      <c r="O506" s="354">
        <v>775</v>
      </c>
      <c r="P506" s="354">
        <v>770</v>
      </c>
      <c r="Q506" s="354">
        <v>817</v>
      </c>
      <c r="R506" s="354">
        <v>825</v>
      </c>
      <c r="S506" s="354">
        <v>849</v>
      </c>
      <c r="T506" s="354">
        <v>888</v>
      </c>
      <c r="U506" s="354">
        <v>904</v>
      </c>
      <c r="V506" s="354">
        <v>899</v>
      </c>
      <c r="W506" s="354">
        <v>971</v>
      </c>
      <c r="X506" s="354">
        <v>933</v>
      </c>
      <c r="Y506" s="354">
        <v>1008</v>
      </c>
      <c r="Z506" s="354">
        <v>933</v>
      </c>
      <c r="AA506" s="354">
        <v>1033</v>
      </c>
      <c r="AB506" s="354">
        <v>950</v>
      </c>
      <c r="AC506" s="354">
        <v>903</v>
      </c>
      <c r="AD506" s="354">
        <v>944</v>
      </c>
      <c r="AE506" s="354">
        <v>881</v>
      </c>
      <c r="AF506" s="354">
        <v>661</v>
      </c>
      <c r="AG506" s="354">
        <v>648</v>
      </c>
      <c r="AH506" s="354">
        <v>673</v>
      </c>
      <c r="AI506" s="354">
        <v>728</v>
      </c>
      <c r="AJ506" s="354">
        <v>844</v>
      </c>
      <c r="AK506" s="354">
        <v>853</v>
      </c>
      <c r="AL506" s="354">
        <v>829</v>
      </c>
      <c r="AM506" s="354">
        <v>799</v>
      </c>
      <c r="AN506" s="354">
        <v>822</v>
      </c>
      <c r="AO506" s="354">
        <v>837</v>
      </c>
      <c r="AP506" s="354">
        <v>879</v>
      </c>
      <c r="AQ506" s="354">
        <v>1004</v>
      </c>
      <c r="AR506" s="354">
        <v>928</v>
      </c>
      <c r="AS506" s="354">
        <v>919</v>
      </c>
      <c r="AT506" s="354">
        <v>961</v>
      </c>
      <c r="AU506" s="354">
        <v>970</v>
      </c>
      <c r="AV506" s="354">
        <v>947</v>
      </c>
      <c r="AW506" s="354">
        <v>978</v>
      </c>
      <c r="AX506" s="354">
        <v>903</v>
      </c>
      <c r="AY506" s="354">
        <v>860</v>
      </c>
      <c r="AZ506" s="354">
        <v>889</v>
      </c>
      <c r="BA506" s="354">
        <v>925</v>
      </c>
      <c r="BB506" s="354">
        <v>916</v>
      </c>
      <c r="BC506" s="354">
        <v>930</v>
      </c>
      <c r="BD506" s="354">
        <v>875</v>
      </c>
      <c r="BE506" s="354">
        <v>855</v>
      </c>
      <c r="BF506" s="354">
        <v>802</v>
      </c>
      <c r="BG506" s="354">
        <v>825</v>
      </c>
      <c r="BH506" s="354">
        <v>925</v>
      </c>
      <c r="BI506" s="354">
        <v>970</v>
      </c>
      <c r="BJ506" s="354">
        <v>989</v>
      </c>
      <c r="BK506" s="354">
        <v>1124</v>
      </c>
      <c r="BL506" s="354">
        <v>1159</v>
      </c>
      <c r="BM506" s="354">
        <v>1172</v>
      </c>
      <c r="BN506" s="354">
        <v>1222</v>
      </c>
      <c r="BO506" s="354">
        <v>1193</v>
      </c>
      <c r="BP506" s="354">
        <v>1115</v>
      </c>
      <c r="BQ506" s="354">
        <v>1116</v>
      </c>
      <c r="BR506" s="354">
        <v>1156</v>
      </c>
      <c r="BS506" s="354">
        <v>1196</v>
      </c>
      <c r="BT506" s="354">
        <v>1096</v>
      </c>
      <c r="BU506" s="354">
        <v>1149</v>
      </c>
      <c r="BV506" s="354">
        <v>1060</v>
      </c>
      <c r="BW506" s="354">
        <v>1024</v>
      </c>
      <c r="BX506" s="354">
        <v>1036</v>
      </c>
      <c r="BY506" s="354">
        <v>912</v>
      </c>
      <c r="BZ506" s="354">
        <v>883</v>
      </c>
      <c r="CA506" s="354">
        <v>867</v>
      </c>
      <c r="CB506" s="354">
        <v>793</v>
      </c>
      <c r="CC506" s="354">
        <v>812</v>
      </c>
      <c r="CD506" s="354">
        <v>850</v>
      </c>
      <c r="CE506" s="354">
        <v>761</v>
      </c>
      <c r="CF506" s="354">
        <v>877</v>
      </c>
      <c r="CG506" s="354">
        <v>832</v>
      </c>
      <c r="CH506" s="354">
        <v>891</v>
      </c>
      <c r="CI506" s="354">
        <v>922</v>
      </c>
      <c r="CJ506" s="354">
        <v>1006</v>
      </c>
      <c r="CK506" s="354">
        <v>637</v>
      </c>
      <c r="CL506" s="354">
        <v>646</v>
      </c>
      <c r="CM506" s="354">
        <v>660</v>
      </c>
      <c r="CN506" s="354">
        <v>553</v>
      </c>
      <c r="CO506" s="354">
        <v>481</v>
      </c>
      <c r="CP506" s="354">
        <v>430</v>
      </c>
      <c r="CQ506" s="354">
        <v>426</v>
      </c>
      <c r="CR506" s="354">
        <v>354</v>
      </c>
      <c r="CS506" s="354">
        <v>350</v>
      </c>
      <c r="CT506" s="354">
        <v>287</v>
      </c>
      <c r="CU506" s="354">
        <v>257</v>
      </c>
      <c r="CV506" s="354">
        <v>212</v>
      </c>
      <c r="CW506" s="354">
        <v>170</v>
      </c>
      <c r="CX506" s="354">
        <v>138</v>
      </c>
      <c r="CY506" s="354">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5">
      <c r="A507" s="31" t="s">
        <v>75</v>
      </c>
      <c r="B507" s="1" t="s">
        <v>582</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354">
        <v>554</v>
      </c>
      <c r="N507" s="354">
        <v>518</v>
      </c>
      <c r="O507" s="354">
        <v>550</v>
      </c>
      <c r="P507" s="354">
        <v>548</v>
      </c>
      <c r="Q507" s="354">
        <v>593</v>
      </c>
      <c r="R507" s="354">
        <v>563</v>
      </c>
      <c r="S507" s="354">
        <v>656</v>
      </c>
      <c r="T507" s="354">
        <v>596</v>
      </c>
      <c r="U507" s="354">
        <v>662</v>
      </c>
      <c r="V507" s="354">
        <v>660</v>
      </c>
      <c r="W507" s="354">
        <v>664</v>
      </c>
      <c r="X507" s="354">
        <v>666</v>
      </c>
      <c r="Y507" s="354">
        <v>714</v>
      </c>
      <c r="Z507" s="354">
        <v>665</v>
      </c>
      <c r="AA507" s="354">
        <v>674</v>
      </c>
      <c r="AB507" s="354">
        <v>671</v>
      </c>
      <c r="AC507" s="354">
        <v>653</v>
      </c>
      <c r="AD507" s="354">
        <v>618</v>
      </c>
      <c r="AE507" s="354">
        <v>660</v>
      </c>
      <c r="AF507" s="354">
        <v>869</v>
      </c>
      <c r="AG507" s="354">
        <v>893</v>
      </c>
      <c r="AH507" s="354">
        <v>930</v>
      </c>
      <c r="AI507" s="354">
        <v>871</v>
      </c>
      <c r="AJ507" s="354">
        <v>777</v>
      </c>
      <c r="AK507" s="354">
        <v>709</v>
      </c>
      <c r="AL507" s="354">
        <v>648</v>
      </c>
      <c r="AM507" s="354">
        <v>637</v>
      </c>
      <c r="AN507" s="354">
        <v>635</v>
      </c>
      <c r="AO507" s="354">
        <v>676</v>
      </c>
      <c r="AP507" s="354">
        <v>659</v>
      </c>
      <c r="AQ507" s="354">
        <v>661</v>
      </c>
      <c r="AR507" s="354">
        <v>643</v>
      </c>
      <c r="AS507" s="354">
        <v>663</v>
      </c>
      <c r="AT507" s="354">
        <v>677</v>
      </c>
      <c r="AU507" s="354">
        <v>680</v>
      </c>
      <c r="AV507" s="354">
        <v>704</v>
      </c>
      <c r="AW507" s="354">
        <v>572</v>
      </c>
      <c r="AX507" s="354">
        <v>595</v>
      </c>
      <c r="AY507" s="354">
        <v>582</v>
      </c>
      <c r="AZ507" s="354">
        <v>586</v>
      </c>
      <c r="BA507" s="354">
        <v>589</v>
      </c>
      <c r="BB507" s="354">
        <v>603</v>
      </c>
      <c r="BC507" s="354">
        <v>613</v>
      </c>
      <c r="BD507" s="354">
        <v>569</v>
      </c>
      <c r="BE507" s="354">
        <v>557</v>
      </c>
      <c r="BF507" s="354">
        <v>575</v>
      </c>
      <c r="BG507" s="354">
        <v>581</v>
      </c>
      <c r="BH507" s="354">
        <v>606</v>
      </c>
      <c r="BI507" s="354">
        <v>678</v>
      </c>
      <c r="BJ507" s="354">
        <v>722</v>
      </c>
      <c r="BK507" s="354">
        <v>767</v>
      </c>
      <c r="BL507" s="354">
        <v>811</v>
      </c>
      <c r="BM507" s="354">
        <v>804</v>
      </c>
      <c r="BN507" s="354">
        <v>775</v>
      </c>
      <c r="BO507" s="354">
        <v>801</v>
      </c>
      <c r="BP507" s="354">
        <v>799</v>
      </c>
      <c r="BQ507" s="354">
        <v>858</v>
      </c>
      <c r="BR507" s="354">
        <v>866</v>
      </c>
      <c r="BS507" s="354">
        <v>874</v>
      </c>
      <c r="BT507" s="354">
        <v>888</v>
      </c>
      <c r="BU507" s="354">
        <v>867</v>
      </c>
      <c r="BV507" s="354">
        <v>849</v>
      </c>
      <c r="BW507" s="354">
        <v>771</v>
      </c>
      <c r="BX507" s="354">
        <v>768</v>
      </c>
      <c r="BY507" s="354">
        <v>811</v>
      </c>
      <c r="BZ507" s="354">
        <v>756</v>
      </c>
      <c r="CA507" s="354">
        <v>711</v>
      </c>
      <c r="CB507" s="354">
        <v>727</v>
      </c>
      <c r="CC507" s="354">
        <v>675</v>
      </c>
      <c r="CD507" s="354">
        <v>709</v>
      </c>
      <c r="CE507" s="354">
        <v>650</v>
      </c>
      <c r="CF507" s="354">
        <v>649</v>
      </c>
      <c r="CG507" s="354">
        <v>649</v>
      </c>
      <c r="CH507" s="354">
        <v>729</v>
      </c>
      <c r="CI507" s="354">
        <v>764</v>
      </c>
      <c r="CJ507" s="354">
        <v>736</v>
      </c>
      <c r="CK507" s="354">
        <v>589</v>
      </c>
      <c r="CL507" s="354">
        <v>522</v>
      </c>
      <c r="CM507" s="354">
        <v>521</v>
      </c>
      <c r="CN507" s="354">
        <v>483</v>
      </c>
      <c r="CO507" s="354">
        <v>379</v>
      </c>
      <c r="CP507" s="354">
        <v>308</v>
      </c>
      <c r="CQ507" s="354">
        <v>331</v>
      </c>
      <c r="CR507" s="354">
        <v>327</v>
      </c>
      <c r="CS507" s="354">
        <v>274</v>
      </c>
      <c r="CT507" s="354">
        <v>248</v>
      </c>
      <c r="CU507" s="354">
        <v>221</v>
      </c>
      <c r="CV507" s="354">
        <v>181</v>
      </c>
      <c r="CW507" s="354">
        <v>162</v>
      </c>
      <c r="CX507" s="354">
        <v>135</v>
      </c>
      <c r="CY507" s="354">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5">
      <c r="A508" s="31" t="s">
        <v>75</v>
      </c>
      <c r="B508" s="1" t="s">
        <v>583</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354">
        <v>273</v>
      </c>
      <c r="N508" s="354">
        <v>322</v>
      </c>
      <c r="O508" s="354">
        <v>305</v>
      </c>
      <c r="P508" s="354">
        <v>320</v>
      </c>
      <c r="Q508" s="354">
        <v>334</v>
      </c>
      <c r="R508" s="354">
        <v>383</v>
      </c>
      <c r="S508" s="354">
        <v>383</v>
      </c>
      <c r="T508" s="354">
        <v>361</v>
      </c>
      <c r="U508" s="354">
        <v>383</v>
      </c>
      <c r="V508" s="354">
        <v>411</v>
      </c>
      <c r="W508" s="354">
        <v>394</v>
      </c>
      <c r="X508" s="354">
        <v>440</v>
      </c>
      <c r="Y508" s="354">
        <v>405</v>
      </c>
      <c r="Z508" s="354">
        <v>438</v>
      </c>
      <c r="AA508" s="354">
        <v>385</v>
      </c>
      <c r="AB508" s="354">
        <v>392</v>
      </c>
      <c r="AC508" s="354">
        <v>391</v>
      </c>
      <c r="AD508" s="354">
        <v>389</v>
      </c>
      <c r="AE508" s="354">
        <v>348</v>
      </c>
      <c r="AF508" s="354">
        <v>299</v>
      </c>
      <c r="AG508" s="354">
        <v>302</v>
      </c>
      <c r="AH508" s="354">
        <v>273</v>
      </c>
      <c r="AI508" s="354">
        <v>297</v>
      </c>
      <c r="AJ508" s="354">
        <v>367</v>
      </c>
      <c r="AK508" s="354">
        <v>299</v>
      </c>
      <c r="AL508" s="354">
        <v>316</v>
      </c>
      <c r="AM508" s="354">
        <v>341</v>
      </c>
      <c r="AN508" s="354">
        <v>319</v>
      </c>
      <c r="AO508" s="354">
        <v>363</v>
      </c>
      <c r="AP508" s="354">
        <v>338</v>
      </c>
      <c r="AQ508" s="354">
        <v>332</v>
      </c>
      <c r="AR508" s="354">
        <v>349</v>
      </c>
      <c r="AS508" s="354">
        <v>346</v>
      </c>
      <c r="AT508" s="354">
        <v>349</v>
      </c>
      <c r="AU508" s="354">
        <v>381</v>
      </c>
      <c r="AV508" s="354">
        <v>373</v>
      </c>
      <c r="AW508" s="354">
        <v>310</v>
      </c>
      <c r="AX508" s="354">
        <v>347</v>
      </c>
      <c r="AY508" s="354">
        <v>371</v>
      </c>
      <c r="AZ508" s="354">
        <v>328</v>
      </c>
      <c r="BA508" s="354">
        <v>331</v>
      </c>
      <c r="BB508" s="354">
        <v>346</v>
      </c>
      <c r="BC508" s="354">
        <v>345</v>
      </c>
      <c r="BD508" s="354">
        <v>373</v>
      </c>
      <c r="BE508" s="354">
        <v>321</v>
      </c>
      <c r="BF508" s="354">
        <v>306</v>
      </c>
      <c r="BG508" s="354">
        <v>326</v>
      </c>
      <c r="BH508" s="354">
        <v>357</v>
      </c>
      <c r="BI508" s="354">
        <v>373</v>
      </c>
      <c r="BJ508" s="354">
        <v>436</v>
      </c>
      <c r="BK508" s="354">
        <v>448</v>
      </c>
      <c r="BL508" s="354">
        <v>493</v>
      </c>
      <c r="BM508" s="354">
        <v>440</v>
      </c>
      <c r="BN508" s="354">
        <v>466</v>
      </c>
      <c r="BO508" s="354">
        <v>481</v>
      </c>
      <c r="BP508" s="354">
        <v>523</v>
      </c>
      <c r="BQ508" s="354">
        <v>490</v>
      </c>
      <c r="BR508" s="354">
        <v>546</v>
      </c>
      <c r="BS508" s="354">
        <v>515</v>
      </c>
      <c r="BT508" s="354">
        <v>563</v>
      </c>
      <c r="BU508" s="354">
        <v>503</v>
      </c>
      <c r="BV508" s="354">
        <v>511</v>
      </c>
      <c r="BW508" s="354">
        <v>539</v>
      </c>
      <c r="BX508" s="354">
        <v>521</v>
      </c>
      <c r="BY508" s="354">
        <v>482</v>
      </c>
      <c r="BZ508" s="354">
        <v>468</v>
      </c>
      <c r="CA508" s="354">
        <v>489</v>
      </c>
      <c r="CB508" s="354">
        <v>476</v>
      </c>
      <c r="CC508" s="354">
        <v>458</v>
      </c>
      <c r="CD508" s="354">
        <v>460</v>
      </c>
      <c r="CE508" s="354">
        <v>458</v>
      </c>
      <c r="CF508" s="354">
        <v>438</v>
      </c>
      <c r="CG508" s="354">
        <v>468</v>
      </c>
      <c r="CH508" s="354">
        <v>490</v>
      </c>
      <c r="CI508" s="354">
        <v>504</v>
      </c>
      <c r="CJ508" s="354">
        <v>484</v>
      </c>
      <c r="CK508" s="354">
        <v>343</v>
      </c>
      <c r="CL508" s="354">
        <v>365</v>
      </c>
      <c r="CM508" s="354">
        <v>374</v>
      </c>
      <c r="CN508" s="354">
        <v>344</v>
      </c>
      <c r="CO508" s="354">
        <v>273</v>
      </c>
      <c r="CP508" s="354">
        <v>244</v>
      </c>
      <c r="CQ508" s="354">
        <v>233</v>
      </c>
      <c r="CR508" s="354">
        <v>249</v>
      </c>
      <c r="CS508" s="354">
        <v>194</v>
      </c>
      <c r="CT508" s="354">
        <v>174</v>
      </c>
      <c r="CU508" s="354">
        <v>143</v>
      </c>
      <c r="CV508" s="354">
        <v>115</v>
      </c>
      <c r="CW508" s="354">
        <v>82</v>
      </c>
      <c r="CX508" s="354">
        <v>77</v>
      </c>
      <c r="CY508" s="354">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5">
      <c r="A509" s="31" t="s">
        <v>75</v>
      </c>
      <c r="B509" s="1" t="s">
        <v>584</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354">
        <v>322</v>
      </c>
      <c r="N509" s="354">
        <v>325</v>
      </c>
      <c r="O509" s="354">
        <v>329</v>
      </c>
      <c r="P509" s="354">
        <v>309</v>
      </c>
      <c r="Q509" s="354">
        <v>371</v>
      </c>
      <c r="R509" s="354">
        <v>402</v>
      </c>
      <c r="S509" s="354">
        <v>381</v>
      </c>
      <c r="T509" s="354">
        <v>384</v>
      </c>
      <c r="U509" s="354">
        <v>350</v>
      </c>
      <c r="V509" s="354">
        <v>355</v>
      </c>
      <c r="W509" s="354">
        <v>378</v>
      </c>
      <c r="X509" s="354">
        <v>405</v>
      </c>
      <c r="Y509" s="354">
        <v>360</v>
      </c>
      <c r="Z509" s="354">
        <v>363</v>
      </c>
      <c r="AA509" s="354">
        <v>375</v>
      </c>
      <c r="AB509" s="354">
        <v>379</v>
      </c>
      <c r="AC509" s="354">
        <v>337</v>
      </c>
      <c r="AD509" s="354">
        <v>307</v>
      </c>
      <c r="AE509" s="354">
        <v>319</v>
      </c>
      <c r="AF509" s="354">
        <v>333</v>
      </c>
      <c r="AG509" s="354">
        <v>297</v>
      </c>
      <c r="AH509" s="354">
        <v>289</v>
      </c>
      <c r="AI509" s="354">
        <v>333</v>
      </c>
      <c r="AJ509" s="354">
        <v>329</v>
      </c>
      <c r="AK509" s="354">
        <v>314</v>
      </c>
      <c r="AL509" s="354">
        <v>356</v>
      </c>
      <c r="AM509" s="354">
        <v>342</v>
      </c>
      <c r="AN509" s="354">
        <v>329</v>
      </c>
      <c r="AO509" s="354">
        <v>375</v>
      </c>
      <c r="AP509" s="354">
        <v>373</v>
      </c>
      <c r="AQ509" s="354">
        <v>362</v>
      </c>
      <c r="AR509" s="354">
        <v>382</v>
      </c>
      <c r="AS509" s="354">
        <v>390</v>
      </c>
      <c r="AT509" s="354">
        <v>371</v>
      </c>
      <c r="AU509" s="354">
        <v>386</v>
      </c>
      <c r="AV509" s="354">
        <v>397</v>
      </c>
      <c r="AW509" s="354">
        <v>396</v>
      </c>
      <c r="AX509" s="354">
        <v>417</v>
      </c>
      <c r="AY509" s="354">
        <v>405</v>
      </c>
      <c r="AZ509" s="354">
        <v>353</v>
      </c>
      <c r="BA509" s="354">
        <v>345</v>
      </c>
      <c r="BB509" s="354">
        <v>368</v>
      </c>
      <c r="BC509" s="354">
        <v>386</v>
      </c>
      <c r="BD509" s="354">
        <v>340</v>
      </c>
      <c r="BE509" s="354">
        <v>284</v>
      </c>
      <c r="BF509" s="354">
        <v>280</v>
      </c>
      <c r="BG509" s="354">
        <v>319</v>
      </c>
      <c r="BH509" s="354">
        <v>331</v>
      </c>
      <c r="BI509" s="354">
        <v>303</v>
      </c>
      <c r="BJ509" s="354">
        <v>340</v>
      </c>
      <c r="BK509" s="354">
        <v>362</v>
      </c>
      <c r="BL509" s="354">
        <v>394</v>
      </c>
      <c r="BM509" s="354">
        <v>378</v>
      </c>
      <c r="BN509" s="354">
        <v>423</v>
      </c>
      <c r="BO509" s="354">
        <v>387</v>
      </c>
      <c r="BP509" s="354">
        <v>385</v>
      </c>
      <c r="BQ509" s="354">
        <v>419</v>
      </c>
      <c r="BR509" s="354">
        <v>416</v>
      </c>
      <c r="BS509" s="354">
        <v>421</v>
      </c>
      <c r="BT509" s="354">
        <v>381</v>
      </c>
      <c r="BU509" s="354">
        <v>405</v>
      </c>
      <c r="BV509" s="354">
        <v>379</v>
      </c>
      <c r="BW509" s="354">
        <v>383</v>
      </c>
      <c r="BX509" s="354">
        <v>405</v>
      </c>
      <c r="BY509" s="354">
        <v>393</v>
      </c>
      <c r="BZ509" s="354">
        <v>324</v>
      </c>
      <c r="CA509" s="354">
        <v>306</v>
      </c>
      <c r="CB509" s="354">
        <v>295</v>
      </c>
      <c r="CC509" s="354">
        <v>323</v>
      </c>
      <c r="CD509" s="354">
        <v>301</v>
      </c>
      <c r="CE509" s="354">
        <v>295</v>
      </c>
      <c r="CF509" s="354">
        <v>300</v>
      </c>
      <c r="CG509" s="354">
        <v>276</v>
      </c>
      <c r="CH509" s="354">
        <v>314</v>
      </c>
      <c r="CI509" s="354">
        <v>295</v>
      </c>
      <c r="CJ509" s="354">
        <v>264</v>
      </c>
      <c r="CK509" s="354">
        <v>208</v>
      </c>
      <c r="CL509" s="354">
        <v>225</v>
      </c>
      <c r="CM509" s="354">
        <v>219</v>
      </c>
      <c r="CN509" s="354">
        <v>190</v>
      </c>
      <c r="CO509" s="354">
        <v>177</v>
      </c>
      <c r="CP509" s="354">
        <v>123</v>
      </c>
      <c r="CQ509" s="354">
        <v>131</v>
      </c>
      <c r="CR509" s="354">
        <v>119</v>
      </c>
      <c r="CS509" s="354">
        <v>109</v>
      </c>
      <c r="CT509" s="354">
        <v>95</v>
      </c>
      <c r="CU509" s="354">
        <v>84</v>
      </c>
      <c r="CV509" s="354">
        <v>76</v>
      </c>
      <c r="CW509" s="354">
        <v>50</v>
      </c>
      <c r="CX509" s="354">
        <v>44</v>
      </c>
      <c r="CY509" s="354">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5">
      <c r="A510" s="31" t="s">
        <v>75</v>
      </c>
      <c r="B510" s="1" t="s">
        <v>585</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354">
        <v>377</v>
      </c>
      <c r="N510" s="354">
        <v>383</v>
      </c>
      <c r="O510" s="354">
        <v>404</v>
      </c>
      <c r="P510" s="354">
        <v>394</v>
      </c>
      <c r="Q510" s="354">
        <v>447</v>
      </c>
      <c r="R510" s="354">
        <v>478</v>
      </c>
      <c r="S510" s="354">
        <v>490</v>
      </c>
      <c r="T510" s="354">
        <v>485</v>
      </c>
      <c r="U510" s="354">
        <v>489</v>
      </c>
      <c r="V510" s="354">
        <v>501</v>
      </c>
      <c r="W510" s="354">
        <v>531</v>
      </c>
      <c r="X510" s="354">
        <v>542</v>
      </c>
      <c r="Y510" s="354">
        <v>515</v>
      </c>
      <c r="Z510" s="354">
        <v>563</v>
      </c>
      <c r="AA510" s="354">
        <v>550</v>
      </c>
      <c r="AB510" s="354">
        <v>559</v>
      </c>
      <c r="AC510" s="354">
        <v>524</v>
      </c>
      <c r="AD510" s="354">
        <v>545</v>
      </c>
      <c r="AE510" s="354">
        <v>490</v>
      </c>
      <c r="AF510" s="354">
        <v>319</v>
      </c>
      <c r="AG510" s="354">
        <v>335</v>
      </c>
      <c r="AH510" s="354">
        <v>372</v>
      </c>
      <c r="AI510" s="354">
        <v>418</v>
      </c>
      <c r="AJ510" s="354">
        <v>441</v>
      </c>
      <c r="AK510" s="354">
        <v>398</v>
      </c>
      <c r="AL510" s="354">
        <v>495</v>
      </c>
      <c r="AM510" s="354">
        <v>449</v>
      </c>
      <c r="AN510" s="354">
        <v>462</v>
      </c>
      <c r="AO510" s="354">
        <v>457</v>
      </c>
      <c r="AP510" s="354">
        <v>442</v>
      </c>
      <c r="AQ510" s="354">
        <v>500</v>
      </c>
      <c r="AR510" s="354">
        <v>537</v>
      </c>
      <c r="AS510" s="354">
        <v>477</v>
      </c>
      <c r="AT510" s="354">
        <v>516</v>
      </c>
      <c r="AU510" s="354">
        <v>453</v>
      </c>
      <c r="AV510" s="354">
        <v>485</v>
      </c>
      <c r="AW510" s="354">
        <v>490</v>
      </c>
      <c r="AX510" s="354">
        <v>484</v>
      </c>
      <c r="AY510" s="354">
        <v>482</v>
      </c>
      <c r="AZ510" s="354">
        <v>486</v>
      </c>
      <c r="BA510" s="354">
        <v>499</v>
      </c>
      <c r="BB510" s="354">
        <v>471</v>
      </c>
      <c r="BC510" s="354">
        <v>509</v>
      </c>
      <c r="BD510" s="354">
        <v>520</v>
      </c>
      <c r="BE510" s="354">
        <v>463</v>
      </c>
      <c r="BF510" s="354">
        <v>519</v>
      </c>
      <c r="BG510" s="354">
        <v>496</v>
      </c>
      <c r="BH510" s="354">
        <v>549</v>
      </c>
      <c r="BI510" s="354">
        <v>538</v>
      </c>
      <c r="BJ510" s="354">
        <v>592</v>
      </c>
      <c r="BK510" s="354">
        <v>667</v>
      </c>
      <c r="BL510" s="354">
        <v>708</v>
      </c>
      <c r="BM510" s="354">
        <v>648</v>
      </c>
      <c r="BN510" s="354">
        <v>693</v>
      </c>
      <c r="BO510" s="354">
        <v>749</v>
      </c>
      <c r="BP510" s="354">
        <v>752</v>
      </c>
      <c r="BQ510" s="354">
        <v>784</v>
      </c>
      <c r="BR510" s="354">
        <v>766</v>
      </c>
      <c r="BS510" s="354">
        <v>756</v>
      </c>
      <c r="BT510" s="354">
        <v>782</v>
      </c>
      <c r="BU510" s="354">
        <v>721</v>
      </c>
      <c r="BV510" s="354">
        <v>717</v>
      </c>
      <c r="BW510" s="354">
        <v>665</v>
      </c>
      <c r="BX510" s="354">
        <v>635</v>
      </c>
      <c r="BY510" s="354">
        <v>685</v>
      </c>
      <c r="BZ510" s="354">
        <v>628</v>
      </c>
      <c r="CA510" s="354">
        <v>575</v>
      </c>
      <c r="CB510" s="354">
        <v>602</v>
      </c>
      <c r="CC510" s="354">
        <v>554</v>
      </c>
      <c r="CD510" s="354">
        <v>603</v>
      </c>
      <c r="CE510" s="354">
        <v>611</v>
      </c>
      <c r="CF510" s="354">
        <v>578</v>
      </c>
      <c r="CG510" s="354">
        <v>625</v>
      </c>
      <c r="CH510" s="354">
        <v>605</v>
      </c>
      <c r="CI510" s="354">
        <v>606</v>
      </c>
      <c r="CJ510" s="354">
        <v>658</v>
      </c>
      <c r="CK510" s="354">
        <v>487</v>
      </c>
      <c r="CL510" s="354">
        <v>470</v>
      </c>
      <c r="CM510" s="354">
        <v>490</v>
      </c>
      <c r="CN510" s="354">
        <v>437</v>
      </c>
      <c r="CO510" s="354">
        <v>368</v>
      </c>
      <c r="CP510" s="354">
        <v>310</v>
      </c>
      <c r="CQ510" s="354">
        <v>342</v>
      </c>
      <c r="CR510" s="354">
        <v>275</v>
      </c>
      <c r="CS510" s="354">
        <v>241</v>
      </c>
      <c r="CT510" s="354">
        <v>224</v>
      </c>
      <c r="CU510" s="354">
        <v>217</v>
      </c>
      <c r="CV510" s="354">
        <v>168</v>
      </c>
      <c r="CW510" s="354">
        <v>170</v>
      </c>
      <c r="CX510" s="354">
        <v>145</v>
      </c>
      <c r="CY510" s="354">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5">
      <c r="A511" s="31" t="s">
        <v>75</v>
      </c>
      <c r="B511" s="1" t="s">
        <v>586</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354">
        <v>636</v>
      </c>
      <c r="N511" s="354">
        <v>642</v>
      </c>
      <c r="O511" s="354">
        <v>647</v>
      </c>
      <c r="P511" s="354">
        <v>707</v>
      </c>
      <c r="Q511" s="354">
        <v>762</v>
      </c>
      <c r="R511" s="354">
        <v>761</v>
      </c>
      <c r="S511" s="354">
        <v>825</v>
      </c>
      <c r="T511" s="354">
        <v>811</v>
      </c>
      <c r="U511" s="354">
        <v>818</v>
      </c>
      <c r="V511" s="354">
        <v>783</v>
      </c>
      <c r="W511" s="354">
        <v>915</v>
      </c>
      <c r="X511" s="354">
        <v>922</v>
      </c>
      <c r="Y511" s="354">
        <v>869</v>
      </c>
      <c r="Z511" s="354">
        <v>864</v>
      </c>
      <c r="AA511" s="354">
        <v>873</v>
      </c>
      <c r="AB511" s="354">
        <v>854</v>
      </c>
      <c r="AC511" s="354">
        <v>858</v>
      </c>
      <c r="AD511" s="354">
        <v>823</v>
      </c>
      <c r="AE511" s="354">
        <v>958</v>
      </c>
      <c r="AF511" s="354">
        <v>1502</v>
      </c>
      <c r="AG511" s="354">
        <v>878</v>
      </c>
      <c r="AH511" s="354">
        <v>667</v>
      </c>
      <c r="AI511" s="354">
        <v>607</v>
      </c>
      <c r="AJ511" s="354">
        <v>701</v>
      </c>
      <c r="AK511" s="354">
        <v>688</v>
      </c>
      <c r="AL511" s="354">
        <v>776</v>
      </c>
      <c r="AM511" s="354">
        <v>789</v>
      </c>
      <c r="AN511" s="354">
        <v>806</v>
      </c>
      <c r="AO511" s="354">
        <v>797</v>
      </c>
      <c r="AP511" s="354">
        <v>829</v>
      </c>
      <c r="AQ511" s="354">
        <v>904</v>
      </c>
      <c r="AR511" s="354">
        <v>851</v>
      </c>
      <c r="AS511" s="354">
        <v>855</v>
      </c>
      <c r="AT511" s="354">
        <v>855</v>
      </c>
      <c r="AU511" s="354">
        <v>825</v>
      </c>
      <c r="AV511" s="354">
        <v>845</v>
      </c>
      <c r="AW511" s="354">
        <v>903</v>
      </c>
      <c r="AX511" s="354">
        <v>859</v>
      </c>
      <c r="AY511" s="354">
        <v>868</v>
      </c>
      <c r="AZ511" s="354">
        <v>830</v>
      </c>
      <c r="BA511" s="354">
        <v>830</v>
      </c>
      <c r="BB511" s="354">
        <v>850</v>
      </c>
      <c r="BC511" s="354">
        <v>826</v>
      </c>
      <c r="BD511" s="354">
        <v>853</v>
      </c>
      <c r="BE511" s="354">
        <v>809</v>
      </c>
      <c r="BF511" s="354">
        <v>756</v>
      </c>
      <c r="BG511" s="354">
        <v>746</v>
      </c>
      <c r="BH511" s="354">
        <v>825</v>
      </c>
      <c r="BI511" s="354">
        <v>777</v>
      </c>
      <c r="BJ511" s="354">
        <v>849</v>
      </c>
      <c r="BK511" s="354">
        <v>862</v>
      </c>
      <c r="BL511" s="354">
        <v>954</v>
      </c>
      <c r="BM511" s="354">
        <v>904</v>
      </c>
      <c r="BN511" s="354">
        <v>948</v>
      </c>
      <c r="BO511" s="354">
        <v>1003</v>
      </c>
      <c r="BP511" s="354">
        <v>945</v>
      </c>
      <c r="BQ511" s="354">
        <v>984</v>
      </c>
      <c r="BR511" s="354">
        <v>991</v>
      </c>
      <c r="BS511" s="354">
        <v>1043</v>
      </c>
      <c r="BT511" s="354">
        <v>992</v>
      </c>
      <c r="BU511" s="354">
        <v>975</v>
      </c>
      <c r="BV511" s="354">
        <v>943</v>
      </c>
      <c r="BW511" s="354">
        <v>960</v>
      </c>
      <c r="BX511" s="354">
        <v>888</v>
      </c>
      <c r="BY511" s="354">
        <v>1006</v>
      </c>
      <c r="BZ511" s="354">
        <v>870</v>
      </c>
      <c r="CA511" s="354">
        <v>796</v>
      </c>
      <c r="CB511" s="354">
        <v>802</v>
      </c>
      <c r="CC511" s="354">
        <v>793</v>
      </c>
      <c r="CD511" s="354">
        <v>815</v>
      </c>
      <c r="CE511" s="354">
        <v>772</v>
      </c>
      <c r="CF511" s="354">
        <v>725</v>
      </c>
      <c r="CG511" s="354">
        <v>778</v>
      </c>
      <c r="CH511" s="354">
        <v>746</v>
      </c>
      <c r="CI511" s="354">
        <v>847</v>
      </c>
      <c r="CJ511" s="354">
        <v>799</v>
      </c>
      <c r="CK511" s="354">
        <v>579</v>
      </c>
      <c r="CL511" s="354">
        <v>577</v>
      </c>
      <c r="CM511" s="354">
        <v>556</v>
      </c>
      <c r="CN511" s="354">
        <v>505</v>
      </c>
      <c r="CO511" s="354">
        <v>452</v>
      </c>
      <c r="CP511" s="354">
        <v>360</v>
      </c>
      <c r="CQ511" s="354">
        <v>384</v>
      </c>
      <c r="CR511" s="354">
        <v>318</v>
      </c>
      <c r="CS511" s="354">
        <v>294</v>
      </c>
      <c r="CT511" s="354">
        <v>260</v>
      </c>
      <c r="CU511" s="354">
        <v>226</v>
      </c>
      <c r="CV511" s="354">
        <v>183</v>
      </c>
      <c r="CW511" s="354">
        <v>177</v>
      </c>
      <c r="CX511" s="354">
        <v>127</v>
      </c>
      <c r="CY511" s="354">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5">
      <c r="A512" s="31" t="s">
        <v>75</v>
      </c>
      <c r="B512" s="1" t="s">
        <v>587</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354">
        <v>1002</v>
      </c>
      <c r="N512" s="354">
        <v>958</v>
      </c>
      <c r="O512" s="354">
        <v>993</v>
      </c>
      <c r="P512" s="354">
        <v>1033</v>
      </c>
      <c r="Q512" s="354">
        <v>1002</v>
      </c>
      <c r="R512" s="354">
        <v>1014</v>
      </c>
      <c r="S512" s="354">
        <v>1196</v>
      </c>
      <c r="T512" s="354">
        <v>1083</v>
      </c>
      <c r="U512" s="354">
        <v>1043</v>
      </c>
      <c r="V512" s="354">
        <v>1089</v>
      </c>
      <c r="W512" s="354">
        <v>1039</v>
      </c>
      <c r="X512" s="354">
        <v>1059</v>
      </c>
      <c r="Y512" s="354">
        <v>1048</v>
      </c>
      <c r="Z512" s="354">
        <v>1123</v>
      </c>
      <c r="AA512" s="354">
        <v>1128</v>
      </c>
      <c r="AB512" s="354">
        <v>945</v>
      </c>
      <c r="AC512" s="354">
        <v>940</v>
      </c>
      <c r="AD512" s="354">
        <v>952</v>
      </c>
      <c r="AE512" s="354">
        <v>969</v>
      </c>
      <c r="AF512" s="354">
        <v>782</v>
      </c>
      <c r="AG512" s="354">
        <v>699</v>
      </c>
      <c r="AH512" s="354">
        <v>774</v>
      </c>
      <c r="AI512" s="354">
        <v>881</v>
      </c>
      <c r="AJ512" s="354">
        <v>985</v>
      </c>
      <c r="AK512" s="354">
        <v>959</v>
      </c>
      <c r="AL512" s="354">
        <v>1027</v>
      </c>
      <c r="AM512" s="354">
        <v>1005</v>
      </c>
      <c r="AN512" s="354">
        <v>1020</v>
      </c>
      <c r="AO512" s="354">
        <v>1076</v>
      </c>
      <c r="AP512" s="354">
        <v>1245</v>
      </c>
      <c r="AQ512" s="354">
        <v>1220</v>
      </c>
      <c r="AR512" s="354">
        <v>1265</v>
      </c>
      <c r="AS512" s="354">
        <v>1169</v>
      </c>
      <c r="AT512" s="354">
        <v>1279</v>
      </c>
      <c r="AU512" s="354">
        <v>1332</v>
      </c>
      <c r="AV512" s="354">
        <v>1215</v>
      </c>
      <c r="AW512" s="354">
        <v>1185</v>
      </c>
      <c r="AX512" s="354">
        <v>1259</v>
      </c>
      <c r="AY512" s="354">
        <v>1143</v>
      </c>
      <c r="AZ512" s="354">
        <v>1017</v>
      </c>
      <c r="BA512" s="354">
        <v>1038</v>
      </c>
      <c r="BB512" s="354">
        <v>1044</v>
      </c>
      <c r="BC512" s="354">
        <v>1120</v>
      </c>
      <c r="BD512" s="354">
        <v>1055</v>
      </c>
      <c r="BE512" s="354">
        <v>942</v>
      </c>
      <c r="BF512" s="354">
        <v>907</v>
      </c>
      <c r="BG512" s="354">
        <v>917</v>
      </c>
      <c r="BH512" s="354">
        <v>953</v>
      </c>
      <c r="BI512" s="354">
        <v>944</v>
      </c>
      <c r="BJ512" s="354">
        <v>996</v>
      </c>
      <c r="BK512" s="354">
        <v>980</v>
      </c>
      <c r="BL512" s="354">
        <v>1095</v>
      </c>
      <c r="BM512" s="354">
        <v>1067</v>
      </c>
      <c r="BN512" s="354">
        <v>1100</v>
      </c>
      <c r="BO512" s="354">
        <v>948</v>
      </c>
      <c r="BP512" s="354">
        <v>1070</v>
      </c>
      <c r="BQ512" s="354">
        <v>1067</v>
      </c>
      <c r="BR512" s="354">
        <v>1053</v>
      </c>
      <c r="BS512" s="354">
        <v>1041</v>
      </c>
      <c r="BT512" s="354">
        <v>1021</v>
      </c>
      <c r="BU512" s="354">
        <v>935</v>
      </c>
      <c r="BV512" s="354">
        <v>982</v>
      </c>
      <c r="BW512" s="354">
        <v>893</v>
      </c>
      <c r="BX512" s="354">
        <v>964</v>
      </c>
      <c r="BY512" s="354">
        <v>829</v>
      </c>
      <c r="BZ512" s="354">
        <v>800</v>
      </c>
      <c r="CA512" s="354">
        <v>680</v>
      </c>
      <c r="CB512" s="354">
        <v>675</v>
      </c>
      <c r="CC512" s="354">
        <v>724</v>
      </c>
      <c r="CD512" s="354">
        <v>751</v>
      </c>
      <c r="CE512" s="354">
        <v>678</v>
      </c>
      <c r="CF512" s="354">
        <v>607</v>
      </c>
      <c r="CG512" s="354">
        <v>654</v>
      </c>
      <c r="CH512" s="354">
        <v>620</v>
      </c>
      <c r="CI512" s="354">
        <v>701</v>
      </c>
      <c r="CJ512" s="354">
        <v>753</v>
      </c>
      <c r="CK512" s="354">
        <v>517</v>
      </c>
      <c r="CL512" s="354">
        <v>519</v>
      </c>
      <c r="CM512" s="354">
        <v>492</v>
      </c>
      <c r="CN512" s="354">
        <v>470</v>
      </c>
      <c r="CO512" s="354">
        <v>374</v>
      </c>
      <c r="CP512" s="354">
        <v>319</v>
      </c>
      <c r="CQ512" s="354">
        <v>324</v>
      </c>
      <c r="CR512" s="354">
        <v>314</v>
      </c>
      <c r="CS512" s="354">
        <v>256</v>
      </c>
      <c r="CT512" s="354">
        <v>240</v>
      </c>
      <c r="CU512" s="354">
        <v>230</v>
      </c>
      <c r="CV512" s="354">
        <v>172</v>
      </c>
      <c r="CW512" s="354">
        <v>142</v>
      </c>
      <c r="CX512" s="354">
        <v>117</v>
      </c>
      <c r="CY512" s="354">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5">
      <c r="A513" s="31" t="s">
        <v>75</v>
      </c>
      <c r="B513" s="1" t="s">
        <v>588</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354">
        <v>547</v>
      </c>
      <c r="N513" s="354">
        <v>541</v>
      </c>
      <c r="O513" s="354">
        <v>560</v>
      </c>
      <c r="P513" s="354">
        <v>587</v>
      </c>
      <c r="Q513" s="354">
        <v>646</v>
      </c>
      <c r="R513" s="354">
        <v>630</v>
      </c>
      <c r="S513" s="354">
        <v>657</v>
      </c>
      <c r="T513" s="354">
        <v>695</v>
      </c>
      <c r="U513" s="354">
        <v>700</v>
      </c>
      <c r="V513" s="354">
        <v>693</v>
      </c>
      <c r="W513" s="354">
        <v>704</v>
      </c>
      <c r="X513" s="354">
        <v>745</v>
      </c>
      <c r="Y513" s="354">
        <v>723</v>
      </c>
      <c r="Z513" s="354">
        <v>691</v>
      </c>
      <c r="AA513" s="354">
        <v>785</v>
      </c>
      <c r="AB513" s="354">
        <v>690</v>
      </c>
      <c r="AC513" s="354">
        <v>779</v>
      </c>
      <c r="AD513" s="354">
        <v>726</v>
      </c>
      <c r="AE513" s="354">
        <v>659</v>
      </c>
      <c r="AF513" s="354">
        <v>545</v>
      </c>
      <c r="AG513" s="354">
        <v>505</v>
      </c>
      <c r="AH513" s="354">
        <v>573</v>
      </c>
      <c r="AI513" s="354">
        <v>608</v>
      </c>
      <c r="AJ513" s="354">
        <v>603</v>
      </c>
      <c r="AK513" s="354">
        <v>650</v>
      </c>
      <c r="AL513" s="354">
        <v>681</v>
      </c>
      <c r="AM513" s="354">
        <v>604</v>
      </c>
      <c r="AN513" s="354">
        <v>539</v>
      </c>
      <c r="AO513" s="354">
        <v>615</v>
      </c>
      <c r="AP513" s="354">
        <v>649</v>
      </c>
      <c r="AQ513" s="354">
        <v>715</v>
      </c>
      <c r="AR513" s="354">
        <v>687</v>
      </c>
      <c r="AS513" s="354">
        <v>631</v>
      </c>
      <c r="AT513" s="354">
        <v>601</v>
      </c>
      <c r="AU513" s="354">
        <v>686</v>
      </c>
      <c r="AV513" s="354">
        <v>659</v>
      </c>
      <c r="AW513" s="354">
        <v>623</v>
      </c>
      <c r="AX513" s="354">
        <v>623</v>
      </c>
      <c r="AY513" s="354">
        <v>614</v>
      </c>
      <c r="AZ513" s="354">
        <v>608</v>
      </c>
      <c r="BA513" s="354">
        <v>609</v>
      </c>
      <c r="BB513" s="354">
        <v>629</v>
      </c>
      <c r="BC513" s="354">
        <v>647</v>
      </c>
      <c r="BD513" s="354">
        <v>626</v>
      </c>
      <c r="BE513" s="354">
        <v>583</v>
      </c>
      <c r="BF513" s="354">
        <v>542</v>
      </c>
      <c r="BG513" s="354">
        <v>580</v>
      </c>
      <c r="BH513" s="354">
        <v>603</v>
      </c>
      <c r="BI513" s="354">
        <v>639</v>
      </c>
      <c r="BJ513" s="354">
        <v>703</v>
      </c>
      <c r="BK513" s="354">
        <v>754</v>
      </c>
      <c r="BL513" s="354">
        <v>757</v>
      </c>
      <c r="BM513" s="354">
        <v>818</v>
      </c>
      <c r="BN513" s="354">
        <v>808</v>
      </c>
      <c r="BO513" s="354">
        <v>855</v>
      </c>
      <c r="BP513" s="354">
        <v>905</v>
      </c>
      <c r="BQ513" s="354">
        <v>926</v>
      </c>
      <c r="BR513" s="354">
        <v>915</v>
      </c>
      <c r="BS513" s="354">
        <v>887</v>
      </c>
      <c r="BT513" s="354">
        <v>1009</v>
      </c>
      <c r="BU513" s="354">
        <v>967</v>
      </c>
      <c r="BV513" s="354">
        <v>914</v>
      </c>
      <c r="BW513" s="354">
        <v>904</v>
      </c>
      <c r="BX513" s="354">
        <v>952</v>
      </c>
      <c r="BY513" s="354">
        <v>893</v>
      </c>
      <c r="BZ513" s="354">
        <v>866</v>
      </c>
      <c r="CA513" s="354">
        <v>855</v>
      </c>
      <c r="CB513" s="354">
        <v>857</v>
      </c>
      <c r="CC513" s="354">
        <v>882</v>
      </c>
      <c r="CD513" s="354">
        <v>875</v>
      </c>
      <c r="CE513" s="354">
        <v>807</v>
      </c>
      <c r="CF513" s="354">
        <v>838</v>
      </c>
      <c r="CG513" s="354">
        <v>832</v>
      </c>
      <c r="CH513" s="354">
        <v>800</v>
      </c>
      <c r="CI513" s="354">
        <v>838</v>
      </c>
      <c r="CJ513" s="354">
        <v>882</v>
      </c>
      <c r="CK513" s="354">
        <v>614</v>
      </c>
      <c r="CL513" s="354">
        <v>659</v>
      </c>
      <c r="CM513" s="354">
        <v>627</v>
      </c>
      <c r="CN513" s="354">
        <v>545</v>
      </c>
      <c r="CO513" s="354">
        <v>490</v>
      </c>
      <c r="CP513" s="354">
        <v>469</v>
      </c>
      <c r="CQ513" s="354">
        <v>418</v>
      </c>
      <c r="CR513" s="354">
        <v>376</v>
      </c>
      <c r="CS513" s="354">
        <v>328</v>
      </c>
      <c r="CT513" s="354">
        <v>268</v>
      </c>
      <c r="CU513" s="354">
        <v>254</v>
      </c>
      <c r="CV513" s="354">
        <v>224</v>
      </c>
      <c r="CW513" s="354">
        <v>142</v>
      </c>
      <c r="CX513" s="354">
        <v>181</v>
      </c>
      <c r="CY513" s="354">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5">
      <c r="A514" s="31" t="s">
        <v>75</v>
      </c>
      <c r="B514" s="1" t="s">
        <v>589</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354">
        <v>542</v>
      </c>
      <c r="N514" s="354">
        <v>558</v>
      </c>
      <c r="O514" s="354">
        <v>557</v>
      </c>
      <c r="P514" s="354">
        <v>623</v>
      </c>
      <c r="Q514" s="354">
        <v>680</v>
      </c>
      <c r="R514" s="354">
        <v>640</v>
      </c>
      <c r="S514" s="354">
        <v>636</v>
      </c>
      <c r="T514" s="354">
        <v>702</v>
      </c>
      <c r="U514" s="354">
        <v>710</v>
      </c>
      <c r="V514" s="354">
        <v>708</v>
      </c>
      <c r="W514" s="354">
        <v>684</v>
      </c>
      <c r="X514" s="354">
        <v>699</v>
      </c>
      <c r="Y514" s="354">
        <v>687</v>
      </c>
      <c r="Z514" s="354">
        <v>724</v>
      </c>
      <c r="AA514" s="354">
        <v>813</v>
      </c>
      <c r="AB514" s="354">
        <v>726</v>
      </c>
      <c r="AC514" s="354">
        <v>720</v>
      </c>
      <c r="AD514" s="354">
        <v>759</v>
      </c>
      <c r="AE514" s="354">
        <v>677</v>
      </c>
      <c r="AF514" s="354">
        <v>546</v>
      </c>
      <c r="AG514" s="354">
        <v>497</v>
      </c>
      <c r="AH514" s="354">
        <v>540</v>
      </c>
      <c r="AI514" s="354">
        <v>576</v>
      </c>
      <c r="AJ514" s="354">
        <v>708</v>
      </c>
      <c r="AK514" s="354">
        <v>659</v>
      </c>
      <c r="AL514" s="354">
        <v>640</v>
      </c>
      <c r="AM514" s="354">
        <v>700</v>
      </c>
      <c r="AN514" s="354">
        <v>643</v>
      </c>
      <c r="AO514" s="354">
        <v>676</v>
      </c>
      <c r="AP514" s="354">
        <v>655</v>
      </c>
      <c r="AQ514" s="354">
        <v>689</v>
      </c>
      <c r="AR514" s="354">
        <v>681</v>
      </c>
      <c r="AS514" s="354">
        <v>678</v>
      </c>
      <c r="AT514" s="354">
        <v>691</v>
      </c>
      <c r="AU514" s="354">
        <v>706</v>
      </c>
      <c r="AV514" s="354">
        <v>621</v>
      </c>
      <c r="AW514" s="354">
        <v>641</v>
      </c>
      <c r="AX514" s="354">
        <v>683</v>
      </c>
      <c r="AY514" s="354">
        <v>629</v>
      </c>
      <c r="AZ514" s="354">
        <v>628</v>
      </c>
      <c r="BA514" s="354">
        <v>668</v>
      </c>
      <c r="BB514" s="354">
        <v>643</v>
      </c>
      <c r="BC514" s="354">
        <v>674</v>
      </c>
      <c r="BD514" s="354">
        <v>652</v>
      </c>
      <c r="BE514" s="354">
        <v>622</v>
      </c>
      <c r="BF514" s="354">
        <v>638</v>
      </c>
      <c r="BG514" s="354">
        <v>646</v>
      </c>
      <c r="BH514" s="354">
        <v>721</v>
      </c>
      <c r="BI514" s="354">
        <v>733</v>
      </c>
      <c r="BJ514" s="354">
        <v>732</v>
      </c>
      <c r="BK514" s="354">
        <v>904</v>
      </c>
      <c r="BL514" s="354">
        <v>916</v>
      </c>
      <c r="BM514" s="354">
        <v>874</v>
      </c>
      <c r="BN514" s="354">
        <v>967</v>
      </c>
      <c r="BO514" s="354">
        <v>918</v>
      </c>
      <c r="BP514" s="354">
        <v>1049</v>
      </c>
      <c r="BQ514" s="354">
        <v>1027</v>
      </c>
      <c r="BR514" s="354">
        <v>1085</v>
      </c>
      <c r="BS514" s="354">
        <v>1055</v>
      </c>
      <c r="BT514" s="354">
        <v>1079</v>
      </c>
      <c r="BU514" s="354">
        <v>1083</v>
      </c>
      <c r="BV514" s="354">
        <v>1072</v>
      </c>
      <c r="BW514" s="354">
        <v>1062</v>
      </c>
      <c r="BX514" s="354">
        <v>1068</v>
      </c>
      <c r="BY514" s="354">
        <v>970</v>
      </c>
      <c r="BZ514" s="354">
        <v>1004</v>
      </c>
      <c r="CA514" s="354">
        <v>1048</v>
      </c>
      <c r="CB514" s="354">
        <v>920</v>
      </c>
      <c r="CC514" s="354">
        <v>981</v>
      </c>
      <c r="CD514" s="354">
        <v>986</v>
      </c>
      <c r="CE514" s="354">
        <v>946</v>
      </c>
      <c r="CF514" s="354">
        <v>909</v>
      </c>
      <c r="CG514" s="354">
        <v>957</v>
      </c>
      <c r="CH514" s="354">
        <v>966</v>
      </c>
      <c r="CI514" s="354">
        <v>1053</v>
      </c>
      <c r="CJ514" s="354">
        <v>1016</v>
      </c>
      <c r="CK514" s="354">
        <v>762</v>
      </c>
      <c r="CL514" s="354">
        <v>697</v>
      </c>
      <c r="CM514" s="354">
        <v>815</v>
      </c>
      <c r="CN514" s="354">
        <v>676</v>
      </c>
      <c r="CO514" s="354">
        <v>565</v>
      </c>
      <c r="CP514" s="354">
        <v>480</v>
      </c>
      <c r="CQ514" s="354">
        <v>484</v>
      </c>
      <c r="CR514" s="354">
        <v>421</v>
      </c>
      <c r="CS514" s="354">
        <v>402</v>
      </c>
      <c r="CT514" s="354">
        <v>348</v>
      </c>
      <c r="CU514" s="354">
        <v>295</v>
      </c>
      <c r="CV514" s="354">
        <v>283</v>
      </c>
      <c r="CW514" s="354">
        <v>234</v>
      </c>
      <c r="CX514" s="354">
        <v>151</v>
      </c>
      <c r="CY514" s="354">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5">
      <c r="A515" s="31" t="s">
        <v>75</v>
      </c>
      <c r="B515" s="1" t="s">
        <v>590</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354">
        <v>1182</v>
      </c>
      <c r="N515" s="354">
        <v>1192</v>
      </c>
      <c r="O515" s="354">
        <v>1246</v>
      </c>
      <c r="P515" s="354">
        <v>1330</v>
      </c>
      <c r="Q515" s="354">
        <v>1390</v>
      </c>
      <c r="R515" s="354">
        <v>1335</v>
      </c>
      <c r="S515" s="354">
        <v>1349</v>
      </c>
      <c r="T515" s="354">
        <v>1424</v>
      </c>
      <c r="U515" s="354">
        <v>1454</v>
      </c>
      <c r="V515" s="354">
        <v>1448</v>
      </c>
      <c r="W515" s="354">
        <v>1470</v>
      </c>
      <c r="X515" s="354">
        <v>1500</v>
      </c>
      <c r="Y515" s="354">
        <v>1414</v>
      </c>
      <c r="Z515" s="354">
        <v>1599</v>
      </c>
      <c r="AA515" s="354">
        <v>1471</v>
      </c>
      <c r="AB515" s="354">
        <v>1487</v>
      </c>
      <c r="AC515" s="354">
        <v>1400</v>
      </c>
      <c r="AD515" s="354">
        <v>1425</v>
      </c>
      <c r="AE515" s="354">
        <v>1383</v>
      </c>
      <c r="AF515" s="354">
        <v>1430</v>
      </c>
      <c r="AG515" s="354">
        <v>1361</v>
      </c>
      <c r="AH515" s="354">
        <v>1470</v>
      </c>
      <c r="AI515" s="354">
        <v>1333</v>
      </c>
      <c r="AJ515" s="354">
        <v>1508</v>
      </c>
      <c r="AK515" s="354">
        <v>1349</v>
      </c>
      <c r="AL515" s="354">
        <v>1510</v>
      </c>
      <c r="AM515" s="354">
        <v>1397</v>
      </c>
      <c r="AN515" s="354">
        <v>1501</v>
      </c>
      <c r="AO515" s="354">
        <v>1440</v>
      </c>
      <c r="AP515" s="354">
        <v>1561</v>
      </c>
      <c r="AQ515" s="354">
        <v>1531</v>
      </c>
      <c r="AR515" s="354">
        <v>1507</v>
      </c>
      <c r="AS515" s="354">
        <v>1666</v>
      </c>
      <c r="AT515" s="354">
        <v>1646</v>
      </c>
      <c r="AU515" s="354">
        <v>1508</v>
      </c>
      <c r="AV515" s="354">
        <v>1576</v>
      </c>
      <c r="AW515" s="354">
        <v>1511</v>
      </c>
      <c r="AX515" s="354">
        <v>1573</v>
      </c>
      <c r="AY515" s="354">
        <v>1526</v>
      </c>
      <c r="AZ515" s="354">
        <v>1487</v>
      </c>
      <c r="BA515" s="354">
        <v>1448</v>
      </c>
      <c r="BB515" s="354">
        <v>1387</v>
      </c>
      <c r="BC515" s="354">
        <v>1473</v>
      </c>
      <c r="BD515" s="354">
        <v>1436</v>
      </c>
      <c r="BE515" s="354">
        <v>1292</v>
      </c>
      <c r="BF515" s="354">
        <v>1234</v>
      </c>
      <c r="BG515" s="354">
        <v>1228</v>
      </c>
      <c r="BH515" s="354">
        <v>1344</v>
      </c>
      <c r="BI515" s="354">
        <v>1265</v>
      </c>
      <c r="BJ515" s="354">
        <v>1525</v>
      </c>
      <c r="BK515" s="354">
        <v>1616</v>
      </c>
      <c r="BL515" s="354">
        <v>1695</v>
      </c>
      <c r="BM515" s="354">
        <v>1558</v>
      </c>
      <c r="BN515" s="354">
        <v>1611</v>
      </c>
      <c r="BO515" s="354">
        <v>1667</v>
      </c>
      <c r="BP515" s="354">
        <v>1659</v>
      </c>
      <c r="BQ515" s="354">
        <v>1692</v>
      </c>
      <c r="BR515" s="354">
        <v>1734</v>
      </c>
      <c r="BS515" s="354">
        <v>1649</v>
      </c>
      <c r="BT515" s="354">
        <v>1594</v>
      </c>
      <c r="BU515" s="354">
        <v>1607</v>
      </c>
      <c r="BV515" s="354">
        <v>1496</v>
      </c>
      <c r="BW515" s="354">
        <v>1364</v>
      </c>
      <c r="BX515" s="354">
        <v>1434</v>
      </c>
      <c r="BY515" s="354">
        <v>1372</v>
      </c>
      <c r="BZ515" s="354">
        <v>1354</v>
      </c>
      <c r="CA515" s="354">
        <v>1261</v>
      </c>
      <c r="CB515" s="354">
        <v>1184</v>
      </c>
      <c r="CC515" s="354">
        <v>1223</v>
      </c>
      <c r="CD515" s="354">
        <v>1163</v>
      </c>
      <c r="CE515" s="354">
        <v>1238</v>
      </c>
      <c r="CF515" s="354">
        <v>1171</v>
      </c>
      <c r="CG515" s="354">
        <v>1232</v>
      </c>
      <c r="CH515" s="354">
        <v>1244</v>
      </c>
      <c r="CI515" s="354">
        <v>1280</v>
      </c>
      <c r="CJ515" s="354">
        <v>1272</v>
      </c>
      <c r="CK515" s="354">
        <v>1071</v>
      </c>
      <c r="CL515" s="354">
        <v>988</v>
      </c>
      <c r="CM515" s="354">
        <v>843</v>
      </c>
      <c r="CN515" s="354">
        <v>708</v>
      </c>
      <c r="CO515" s="354">
        <v>680</v>
      </c>
      <c r="CP515" s="354">
        <v>591</v>
      </c>
      <c r="CQ515" s="354">
        <v>536</v>
      </c>
      <c r="CR515" s="354">
        <v>480</v>
      </c>
      <c r="CS515" s="354">
        <v>454</v>
      </c>
      <c r="CT515" s="354">
        <v>366</v>
      </c>
      <c r="CU515" s="354">
        <v>342</v>
      </c>
      <c r="CV515" s="354">
        <v>288</v>
      </c>
      <c r="CW515" s="354">
        <v>231</v>
      </c>
      <c r="CX515" s="354">
        <v>183</v>
      </c>
      <c r="CY515" s="354">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5">
      <c r="A516" s="31" t="s">
        <v>75</v>
      </c>
      <c r="B516" s="1" t="s">
        <v>591</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354">
        <v>1134</v>
      </c>
      <c r="N516" s="354">
        <v>1063</v>
      </c>
      <c r="O516" s="354">
        <v>1133</v>
      </c>
      <c r="P516" s="354">
        <v>1224</v>
      </c>
      <c r="Q516" s="354">
        <v>1266</v>
      </c>
      <c r="R516" s="354">
        <v>1252</v>
      </c>
      <c r="S516" s="354">
        <v>1374</v>
      </c>
      <c r="T516" s="354">
        <v>1363</v>
      </c>
      <c r="U516" s="354">
        <v>1342</v>
      </c>
      <c r="V516" s="354">
        <v>1419</v>
      </c>
      <c r="W516" s="354">
        <v>1459</v>
      </c>
      <c r="X516" s="354">
        <v>1510</v>
      </c>
      <c r="Y516" s="354">
        <v>1407</v>
      </c>
      <c r="Z516" s="354">
        <v>1464</v>
      </c>
      <c r="AA516" s="354">
        <v>1527</v>
      </c>
      <c r="AB516" s="354">
        <v>1392</v>
      </c>
      <c r="AC516" s="354">
        <v>1385</v>
      </c>
      <c r="AD516" s="354">
        <v>1426</v>
      </c>
      <c r="AE516" s="354">
        <v>1459</v>
      </c>
      <c r="AF516" s="354">
        <v>1896</v>
      </c>
      <c r="AG516" s="354">
        <v>2522</v>
      </c>
      <c r="AH516" s="354">
        <v>2615</v>
      </c>
      <c r="AI516" s="354">
        <v>2280</v>
      </c>
      <c r="AJ516" s="354">
        <v>1910</v>
      </c>
      <c r="AK516" s="354">
        <v>1501</v>
      </c>
      <c r="AL516" s="354">
        <v>1507</v>
      </c>
      <c r="AM516" s="354">
        <v>1486</v>
      </c>
      <c r="AN516" s="354">
        <v>1351</v>
      </c>
      <c r="AO516" s="354">
        <v>1422</v>
      </c>
      <c r="AP516" s="354">
        <v>1448</v>
      </c>
      <c r="AQ516" s="354">
        <v>1520</v>
      </c>
      <c r="AR516" s="354">
        <v>1551</v>
      </c>
      <c r="AS516" s="354">
        <v>1644</v>
      </c>
      <c r="AT516" s="354">
        <v>1442</v>
      </c>
      <c r="AU516" s="354">
        <v>1501</v>
      </c>
      <c r="AV516" s="354">
        <v>1514</v>
      </c>
      <c r="AW516" s="354">
        <v>1498</v>
      </c>
      <c r="AX516" s="354">
        <v>1597</v>
      </c>
      <c r="AY516" s="354">
        <v>1396</v>
      </c>
      <c r="AZ516" s="354">
        <v>1455</v>
      </c>
      <c r="BA516" s="354">
        <v>1397</v>
      </c>
      <c r="BB516" s="354">
        <v>1417</v>
      </c>
      <c r="BC516" s="354">
        <v>1584</v>
      </c>
      <c r="BD516" s="354">
        <v>1343</v>
      </c>
      <c r="BE516" s="354">
        <v>1273</v>
      </c>
      <c r="BF516" s="354">
        <v>1289</v>
      </c>
      <c r="BG516" s="354">
        <v>1339</v>
      </c>
      <c r="BH516" s="354">
        <v>1379</v>
      </c>
      <c r="BI516" s="354">
        <v>1335</v>
      </c>
      <c r="BJ516" s="354">
        <v>1336</v>
      </c>
      <c r="BK516" s="354">
        <v>1462</v>
      </c>
      <c r="BL516" s="354">
        <v>1510</v>
      </c>
      <c r="BM516" s="354">
        <v>1509</v>
      </c>
      <c r="BN516" s="354">
        <v>1691</v>
      </c>
      <c r="BO516" s="354">
        <v>1552</v>
      </c>
      <c r="BP516" s="354">
        <v>1528</v>
      </c>
      <c r="BQ516" s="354">
        <v>1522</v>
      </c>
      <c r="BR516" s="354">
        <v>1665</v>
      </c>
      <c r="BS516" s="354">
        <v>1640</v>
      </c>
      <c r="BT516" s="354">
        <v>1484</v>
      </c>
      <c r="BU516" s="354">
        <v>1519</v>
      </c>
      <c r="BV516" s="354">
        <v>1456</v>
      </c>
      <c r="BW516" s="354">
        <v>1447</v>
      </c>
      <c r="BX516" s="354">
        <v>1394</v>
      </c>
      <c r="BY516" s="354">
        <v>1349</v>
      </c>
      <c r="BZ516" s="354">
        <v>1273</v>
      </c>
      <c r="CA516" s="354">
        <v>1240</v>
      </c>
      <c r="CB516" s="354">
        <v>1189</v>
      </c>
      <c r="CC516" s="354">
        <v>1181</v>
      </c>
      <c r="CD516" s="354">
        <v>1218</v>
      </c>
      <c r="CE516" s="354">
        <v>1171</v>
      </c>
      <c r="CF516" s="354">
        <v>1093</v>
      </c>
      <c r="CG516" s="354">
        <v>1212</v>
      </c>
      <c r="CH516" s="354">
        <v>1187</v>
      </c>
      <c r="CI516" s="354">
        <v>1233</v>
      </c>
      <c r="CJ516" s="354">
        <v>1340</v>
      </c>
      <c r="CK516" s="354">
        <v>889</v>
      </c>
      <c r="CL516" s="354">
        <v>905</v>
      </c>
      <c r="CM516" s="354">
        <v>899</v>
      </c>
      <c r="CN516" s="354">
        <v>852</v>
      </c>
      <c r="CO516" s="354">
        <v>748</v>
      </c>
      <c r="CP516" s="354">
        <v>612</v>
      </c>
      <c r="CQ516" s="354">
        <v>591</v>
      </c>
      <c r="CR516" s="354">
        <v>524</v>
      </c>
      <c r="CS516" s="354">
        <v>525</v>
      </c>
      <c r="CT516" s="354">
        <v>455</v>
      </c>
      <c r="CU516" s="354">
        <v>393</v>
      </c>
      <c r="CV516" s="354">
        <v>348</v>
      </c>
      <c r="CW516" s="354">
        <v>276</v>
      </c>
      <c r="CX516" s="354">
        <v>244</v>
      </c>
      <c r="CY516" s="354">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5">
      <c r="A517" s="31" t="s">
        <v>75</v>
      </c>
      <c r="B517" s="1" t="s">
        <v>592</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354">
        <v>514</v>
      </c>
      <c r="N517" s="354">
        <v>466</v>
      </c>
      <c r="O517" s="354">
        <v>537</v>
      </c>
      <c r="P517" s="354">
        <v>540</v>
      </c>
      <c r="Q517" s="354">
        <v>516</v>
      </c>
      <c r="R517" s="354">
        <v>556</v>
      </c>
      <c r="S517" s="354">
        <v>581</v>
      </c>
      <c r="T517" s="354">
        <v>514</v>
      </c>
      <c r="U517" s="354">
        <v>551</v>
      </c>
      <c r="V517" s="354">
        <v>551</v>
      </c>
      <c r="W517" s="354">
        <v>588</v>
      </c>
      <c r="X517" s="354">
        <v>600</v>
      </c>
      <c r="Y517" s="354">
        <v>586</v>
      </c>
      <c r="Z517" s="354">
        <v>625</v>
      </c>
      <c r="AA517" s="354">
        <v>581</v>
      </c>
      <c r="AB517" s="354">
        <v>557</v>
      </c>
      <c r="AC517" s="354">
        <v>592</v>
      </c>
      <c r="AD517" s="354">
        <v>585</v>
      </c>
      <c r="AE517" s="354">
        <v>488</v>
      </c>
      <c r="AF517" s="354">
        <v>425</v>
      </c>
      <c r="AG517" s="354">
        <v>404</v>
      </c>
      <c r="AH517" s="354">
        <v>418</v>
      </c>
      <c r="AI517" s="354">
        <v>438</v>
      </c>
      <c r="AJ517" s="354">
        <v>462</v>
      </c>
      <c r="AK517" s="354">
        <v>507</v>
      </c>
      <c r="AL517" s="354">
        <v>598</v>
      </c>
      <c r="AM517" s="354">
        <v>533</v>
      </c>
      <c r="AN517" s="354">
        <v>576</v>
      </c>
      <c r="AO517" s="354">
        <v>555</v>
      </c>
      <c r="AP517" s="354">
        <v>540</v>
      </c>
      <c r="AQ517" s="354">
        <v>596</v>
      </c>
      <c r="AR517" s="354">
        <v>615</v>
      </c>
      <c r="AS517" s="354">
        <v>622</v>
      </c>
      <c r="AT517" s="354">
        <v>617</v>
      </c>
      <c r="AU517" s="354">
        <v>553</v>
      </c>
      <c r="AV517" s="354">
        <v>586</v>
      </c>
      <c r="AW517" s="354">
        <v>593</v>
      </c>
      <c r="AX517" s="354">
        <v>574</v>
      </c>
      <c r="AY517" s="354">
        <v>532</v>
      </c>
      <c r="AZ517" s="354">
        <v>548</v>
      </c>
      <c r="BA517" s="354">
        <v>555</v>
      </c>
      <c r="BB517" s="354">
        <v>493</v>
      </c>
      <c r="BC517" s="354">
        <v>523</v>
      </c>
      <c r="BD517" s="354">
        <v>539</v>
      </c>
      <c r="BE517" s="354">
        <v>428</v>
      </c>
      <c r="BF517" s="354">
        <v>504</v>
      </c>
      <c r="BG517" s="354">
        <v>432</v>
      </c>
      <c r="BH517" s="354">
        <v>497</v>
      </c>
      <c r="BI517" s="354">
        <v>493</v>
      </c>
      <c r="BJ517" s="354">
        <v>561</v>
      </c>
      <c r="BK517" s="354">
        <v>569</v>
      </c>
      <c r="BL517" s="354">
        <v>636</v>
      </c>
      <c r="BM517" s="354">
        <v>634</v>
      </c>
      <c r="BN517" s="354">
        <v>601</v>
      </c>
      <c r="BO517" s="354">
        <v>597</v>
      </c>
      <c r="BP517" s="354">
        <v>623</v>
      </c>
      <c r="BQ517" s="354">
        <v>631</v>
      </c>
      <c r="BR517" s="354">
        <v>707</v>
      </c>
      <c r="BS517" s="354">
        <v>646</v>
      </c>
      <c r="BT517" s="354">
        <v>672</v>
      </c>
      <c r="BU517" s="354">
        <v>661</v>
      </c>
      <c r="BV517" s="354">
        <v>655</v>
      </c>
      <c r="BW517" s="354">
        <v>574</v>
      </c>
      <c r="BX517" s="354">
        <v>580</v>
      </c>
      <c r="BY517" s="354">
        <v>594</v>
      </c>
      <c r="BZ517" s="354">
        <v>511</v>
      </c>
      <c r="CA517" s="354">
        <v>490</v>
      </c>
      <c r="CB517" s="354">
        <v>470</v>
      </c>
      <c r="CC517" s="354">
        <v>535</v>
      </c>
      <c r="CD517" s="354">
        <v>469</v>
      </c>
      <c r="CE517" s="354">
        <v>488</v>
      </c>
      <c r="CF517" s="354">
        <v>479</v>
      </c>
      <c r="CG517" s="354">
        <v>457</v>
      </c>
      <c r="CH517" s="354">
        <v>484</v>
      </c>
      <c r="CI517" s="354">
        <v>455</v>
      </c>
      <c r="CJ517" s="354">
        <v>541</v>
      </c>
      <c r="CK517" s="354">
        <v>404</v>
      </c>
      <c r="CL517" s="354">
        <v>398</v>
      </c>
      <c r="CM517" s="354">
        <v>348</v>
      </c>
      <c r="CN517" s="354">
        <v>298</v>
      </c>
      <c r="CO517" s="354">
        <v>266</v>
      </c>
      <c r="CP517" s="354">
        <v>246</v>
      </c>
      <c r="CQ517" s="354">
        <v>224</v>
      </c>
      <c r="CR517" s="354">
        <v>223</v>
      </c>
      <c r="CS517" s="354">
        <v>187</v>
      </c>
      <c r="CT517" s="354">
        <v>157</v>
      </c>
      <c r="CU517" s="354">
        <v>143</v>
      </c>
      <c r="CV517" s="354">
        <v>129</v>
      </c>
      <c r="CW517" s="354">
        <v>118</v>
      </c>
      <c r="CX517" s="354">
        <v>110</v>
      </c>
      <c r="CY517" s="354">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5">
      <c r="A518" s="31" t="s">
        <v>75</v>
      </c>
      <c r="B518" s="1" t="s">
        <v>593</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354">
        <v>642</v>
      </c>
      <c r="N518" s="354">
        <v>670</v>
      </c>
      <c r="O518" s="354">
        <v>666</v>
      </c>
      <c r="P518" s="354">
        <v>745</v>
      </c>
      <c r="Q518" s="354">
        <v>708</v>
      </c>
      <c r="R518" s="354">
        <v>814</v>
      </c>
      <c r="S518" s="354">
        <v>772</v>
      </c>
      <c r="T518" s="354">
        <v>756</v>
      </c>
      <c r="U518" s="354">
        <v>790</v>
      </c>
      <c r="V518" s="354">
        <v>869</v>
      </c>
      <c r="W518" s="354">
        <v>878</v>
      </c>
      <c r="X518" s="354">
        <v>861</v>
      </c>
      <c r="Y518" s="354">
        <v>888</v>
      </c>
      <c r="Z518" s="354">
        <v>889</v>
      </c>
      <c r="AA518" s="354">
        <v>863</v>
      </c>
      <c r="AB518" s="354">
        <v>841</v>
      </c>
      <c r="AC518" s="354">
        <v>775</v>
      </c>
      <c r="AD518" s="354">
        <v>759</v>
      </c>
      <c r="AE518" s="354">
        <v>728</v>
      </c>
      <c r="AF518" s="354">
        <v>587</v>
      </c>
      <c r="AG518" s="354">
        <v>503</v>
      </c>
      <c r="AH518" s="354">
        <v>620</v>
      </c>
      <c r="AI518" s="354">
        <v>676</v>
      </c>
      <c r="AJ518" s="354">
        <v>666</v>
      </c>
      <c r="AK518" s="354">
        <v>621</v>
      </c>
      <c r="AL518" s="354">
        <v>702</v>
      </c>
      <c r="AM518" s="354">
        <v>663</v>
      </c>
      <c r="AN518" s="354">
        <v>711</v>
      </c>
      <c r="AO518" s="354">
        <v>738</v>
      </c>
      <c r="AP518" s="354">
        <v>687</v>
      </c>
      <c r="AQ518" s="354">
        <v>701</v>
      </c>
      <c r="AR518" s="354">
        <v>728</v>
      </c>
      <c r="AS518" s="354">
        <v>706</v>
      </c>
      <c r="AT518" s="354">
        <v>774</v>
      </c>
      <c r="AU518" s="354">
        <v>806</v>
      </c>
      <c r="AV518" s="354">
        <v>800</v>
      </c>
      <c r="AW518" s="354">
        <v>846</v>
      </c>
      <c r="AX518" s="354">
        <v>741</v>
      </c>
      <c r="AY518" s="354">
        <v>762</v>
      </c>
      <c r="AZ518" s="354">
        <v>802</v>
      </c>
      <c r="BA518" s="354">
        <v>818</v>
      </c>
      <c r="BB518" s="354">
        <v>893</v>
      </c>
      <c r="BC518" s="354">
        <v>884</v>
      </c>
      <c r="BD518" s="354">
        <v>832</v>
      </c>
      <c r="BE518" s="354">
        <v>669</v>
      </c>
      <c r="BF518" s="354">
        <v>732</v>
      </c>
      <c r="BG518" s="354">
        <v>722</v>
      </c>
      <c r="BH518" s="354">
        <v>807</v>
      </c>
      <c r="BI518" s="354">
        <v>781</v>
      </c>
      <c r="BJ518" s="354">
        <v>815</v>
      </c>
      <c r="BK518" s="354">
        <v>842</v>
      </c>
      <c r="BL518" s="354">
        <v>880</v>
      </c>
      <c r="BM518" s="354">
        <v>853</v>
      </c>
      <c r="BN518" s="354">
        <v>916</v>
      </c>
      <c r="BO518" s="354">
        <v>871</v>
      </c>
      <c r="BP518" s="354">
        <v>920</v>
      </c>
      <c r="BQ518" s="354">
        <v>867</v>
      </c>
      <c r="BR518" s="354">
        <v>906</v>
      </c>
      <c r="BS518" s="354">
        <v>932</v>
      </c>
      <c r="BT518" s="354">
        <v>907</v>
      </c>
      <c r="BU518" s="354">
        <v>934</v>
      </c>
      <c r="BV518" s="354">
        <v>904</v>
      </c>
      <c r="BW518" s="354">
        <v>828</v>
      </c>
      <c r="BX518" s="354">
        <v>857</v>
      </c>
      <c r="BY518" s="354">
        <v>763</v>
      </c>
      <c r="BZ518" s="354">
        <v>786</v>
      </c>
      <c r="CA518" s="354">
        <v>761</v>
      </c>
      <c r="CB518" s="354">
        <v>745</v>
      </c>
      <c r="CC518" s="354">
        <v>753</v>
      </c>
      <c r="CD518" s="354">
        <v>754</v>
      </c>
      <c r="CE518" s="354">
        <v>696</v>
      </c>
      <c r="CF518" s="354">
        <v>706</v>
      </c>
      <c r="CG518" s="354">
        <v>707</v>
      </c>
      <c r="CH518" s="354">
        <v>714</v>
      </c>
      <c r="CI518" s="354">
        <v>737</v>
      </c>
      <c r="CJ518" s="354">
        <v>775</v>
      </c>
      <c r="CK518" s="354">
        <v>562</v>
      </c>
      <c r="CL518" s="354">
        <v>555</v>
      </c>
      <c r="CM518" s="354">
        <v>563</v>
      </c>
      <c r="CN518" s="354">
        <v>468</v>
      </c>
      <c r="CO518" s="354">
        <v>410</v>
      </c>
      <c r="CP518" s="354">
        <v>391</v>
      </c>
      <c r="CQ518" s="354">
        <v>349</v>
      </c>
      <c r="CR518" s="354">
        <v>336</v>
      </c>
      <c r="CS518" s="354">
        <v>307</v>
      </c>
      <c r="CT518" s="354">
        <v>239</v>
      </c>
      <c r="CU518" s="354">
        <v>231</v>
      </c>
      <c r="CV518" s="354">
        <v>180</v>
      </c>
      <c r="CW518" s="354">
        <v>170</v>
      </c>
      <c r="CX518" s="354">
        <v>135</v>
      </c>
      <c r="CY518" s="354">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5">
      <c r="A519" s="31" t="s">
        <v>75</v>
      </c>
      <c r="B519" s="1" t="s">
        <v>594</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354">
        <v>673</v>
      </c>
      <c r="N519" s="354">
        <v>647</v>
      </c>
      <c r="O519" s="354">
        <v>740</v>
      </c>
      <c r="P519" s="354">
        <v>723</v>
      </c>
      <c r="Q519" s="354">
        <v>730</v>
      </c>
      <c r="R519" s="354">
        <v>761</v>
      </c>
      <c r="S519" s="354">
        <v>793</v>
      </c>
      <c r="T519" s="354">
        <v>761</v>
      </c>
      <c r="U519" s="354">
        <v>814</v>
      </c>
      <c r="V519" s="354">
        <v>862</v>
      </c>
      <c r="W519" s="354">
        <v>831</v>
      </c>
      <c r="X519" s="354">
        <v>858</v>
      </c>
      <c r="Y519" s="354">
        <v>859</v>
      </c>
      <c r="Z519" s="354">
        <v>879</v>
      </c>
      <c r="AA519" s="354">
        <v>845</v>
      </c>
      <c r="AB519" s="354">
        <v>853</v>
      </c>
      <c r="AC519" s="354">
        <v>831</v>
      </c>
      <c r="AD519" s="354">
        <v>839</v>
      </c>
      <c r="AE519" s="354">
        <v>753</v>
      </c>
      <c r="AF519" s="354">
        <v>630</v>
      </c>
      <c r="AG519" s="354">
        <v>619</v>
      </c>
      <c r="AH519" s="354">
        <v>629</v>
      </c>
      <c r="AI519" s="354">
        <v>670</v>
      </c>
      <c r="AJ519" s="354">
        <v>758</v>
      </c>
      <c r="AK519" s="354">
        <v>790</v>
      </c>
      <c r="AL519" s="354">
        <v>832</v>
      </c>
      <c r="AM519" s="354">
        <v>753</v>
      </c>
      <c r="AN519" s="354">
        <v>823</v>
      </c>
      <c r="AO519" s="354">
        <v>819</v>
      </c>
      <c r="AP519" s="354">
        <v>821</v>
      </c>
      <c r="AQ519" s="354">
        <v>786</v>
      </c>
      <c r="AR519" s="354">
        <v>853</v>
      </c>
      <c r="AS519" s="354">
        <v>859</v>
      </c>
      <c r="AT519" s="354">
        <v>835</v>
      </c>
      <c r="AU519" s="354">
        <v>874</v>
      </c>
      <c r="AV519" s="354">
        <v>850</v>
      </c>
      <c r="AW519" s="354">
        <v>902</v>
      </c>
      <c r="AX519" s="354">
        <v>921</v>
      </c>
      <c r="AY519" s="354">
        <v>825</v>
      </c>
      <c r="AZ519" s="354">
        <v>847</v>
      </c>
      <c r="BA519" s="354">
        <v>842</v>
      </c>
      <c r="BB519" s="354">
        <v>901</v>
      </c>
      <c r="BC519" s="354">
        <v>918</v>
      </c>
      <c r="BD519" s="354">
        <v>874</v>
      </c>
      <c r="BE519" s="354">
        <v>746</v>
      </c>
      <c r="BF519" s="354">
        <v>759</v>
      </c>
      <c r="BG519" s="354">
        <v>795</v>
      </c>
      <c r="BH519" s="354">
        <v>790</v>
      </c>
      <c r="BI519" s="354">
        <v>799</v>
      </c>
      <c r="BJ519" s="354">
        <v>915</v>
      </c>
      <c r="BK519" s="354">
        <v>955</v>
      </c>
      <c r="BL519" s="354">
        <v>1013</v>
      </c>
      <c r="BM519" s="354">
        <v>995</v>
      </c>
      <c r="BN519" s="354">
        <v>1003</v>
      </c>
      <c r="BO519" s="354">
        <v>969</v>
      </c>
      <c r="BP519" s="354">
        <v>960</v>
      </c>
      <c r="BQ519" s="354">
        <v>1007</v>
      </c>
      <c r="BR519" s="354">
        <v>986</v>
      </c>
      <c r="BS519" s="354">
        <v>968</v>
      </c>
      <c r="BT519" s="354">
        <v>965</v>
      </c>
      <c r="BU519" s="354">
        <v>916</v>
      </c>
      <c r="BV519" s="354">
        <v>884</v>
      </c>
      <c r="BW519" s="354">
        <v>833</v>
      </c>
      <c r="BX519" s="354">
        <v>743</v>
      </c>
      <c r="BY519" s="354">
        <v>790</v>
      </c>
      <c r="BZ519" s="354">
        <v>795</v>
      </c>
      <c r="CA519" s="354">
        <v>774</v>
      </c>
      <c r="CB519" s="354">
        <v>688</v>
      </c>
      <c r="CC519" s="354">
        <v>698</v>
      </c>
      <c r="CD519" s="354">
        <v>716</v>
      </c>
      <c r="CE519" s="354">
        <v>688</v>
      </c>
      <c r="CF519" s="354">
        <v>667</v>
      </c>
      <c r="CG519" s="354">
        <v>680</v>
      </c>
      <c r="CH519" s="354">
        <v>708</v>
      </c>
      <c r="CI519" s="354">
        <v>706</v>
      </c>
      <c r="CJ519" s="354">
        <v>754</v>
      </c>
      <c r="CK519" s="354">
        <v>572</v>
      </c>
      <c r="CL519" s="354">
        <v>512</v>
      </c>
      <c r="CM519" s="354">
        <v>519</v>
      </c>
      <c r="CN519" s="354">
        <v>494</v>
      </c>
      <c r="CO519" s="354">
        <v>429</v>
      </c>
      <c r="CP519" s="354">
        <v>357</v>
      </c>
      <c r="CQ519" s="354">
        <v>308</v>
      </c>
      <c r="CR519" s="354">
        <v>275</v>
      </c>
      <c r="CS519" s="354">
        <v>281</v>
      </c>
      <c r="CT519" s="354">
        <v>235</v>
      </c>
      <c r="CU519" s="354">
        <v>217</v>
      </c>
      <c r="CV519" s="354">
        <v>176</v>
      </c>
      <c r="CW519" s="354">
        <v>132</v>
      </c>
      <c r="CX519" s="354">
        <v>132</v>
      </c>
      <c r="CY519" s="354">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x14ac:dyDescent="0.2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25">
      <c r="A521" s="31" t="s">
        <v>79</v>
      </c>
      <c r="B521" s="1" t="s">
        <v>595</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5">
      <c r="A522" s="31" t="s">
        <v>79</v>
      </c>
      <c r="B522" s="1" t="s">
        <v>596</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5">
      <c r="A523" s="31" t="s">
        <v>79</v>
      </c>
      <c r="B523" s="1" t="s">
        <v>597</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5">
      <c r="A524" s="31" t="s">
        <v>79</v>
      </c>
      <c r="B524" s="1" t="s">
        <v>598</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5">
      <c r="A525" s="31" t="s">
        <v>79</v>
      </c>
      <c r="B525" s="1" t="s">
        <v>599</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5">
      <c r="A526" s="31" t="s">
        <v>79</v>
      </c>
      <c r="B526" s="1" t="s">
        <v>600</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5">
      <c r="A527" s="31" t="s">
        <v>79</v>
      </c>
      <c r="B527" s="1" t="s">
        <v>601</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5">
      <c r="A528" s="31" t="s">
        <v>79</v>
      </c>
      <c r="B528" s="1" t="s">
        <v>602</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5">
      <c r="A529" s="31" t="s">
        <v>79</v>
      </c>
      <c r="B529" s="1" t="s">
        <v>603</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5">
      <c r="A530" s="31" t="s">
        <v>79</v>
      </c>
      <c r="B530" s="1" t="s">
        <v>604</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5">
      <c r="A531" s="31" t="s">
        <v>79</v>
      </c>
      <c r="B531" s="1" t="s">
        <v>605</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x14ac:dyDescent="0.2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25">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5">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25">
      <c r="A535" s="374" t="s">
        <v>606</v>
      </c>
      <c r="B535" s="375"/>
      <c r="C535" s="376"/>
      <c r="D535" s="377"/>
      <c r="E535" s="377"/>
      <c r="F535" s="377"/>
      <c r="G535" s="378"/>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5">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25">
      <c r="C537" s="11"/>
      <c r="D537" s="379" t="s">
        <v>607</v>
      </c>
      <c r="E537" s="380" t="s">
        <v>608</v>
      </c>
      <c r="F537" s="379" t="s">
        <v>609</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4" x14ac:dyDescent="0.3">
      <c r="C538" s="11"/>
      <c r="D538" s="381" t="s">
        <v>610</v>
      </c>
      <c r="E538" s="382" t="s">
        <v>611</v>
      </c>
      <c r="F538" s="381" t="s">
        <v>612</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4" x14ac:dyDescent="0.3">
      <c r="C539" s="11"/>
      <c r="D539" s="381" t="s">
        <v>613</v>
      </c>
      <c r="E539" s="382" t="s">
        <v>614</v>
      </c>
      <c r="F539" s="381" t="s">
        <v>615</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4" x14ac:dyDescent="0.3">
      <c r="C540" s="1" t="s">
        <v>616</v>
      </c>
      <c r="D540" s="383">
        <v>60238038</v>
      </c>
      <c r="E540" s="384"/>
      <c r="F540" s="385"/>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4" x14ac:dyDescent="0.3">
      <c r="C541" s="386" t="s">
        <v>617</v>
      </c>
      <c r="D541" s="387"/>
      <c r="E541" s="388">
        <v>60856434</v>
      </c>
      <c r="F541" s="383">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4" x14ac:dyDescent="0.3">
      <c r="C542" s="386" t="s">
        <v>618</v>
      </c>
      <c r="D542" s="387"/>
      <c r="E542" s="389">
        <f>(E541-D540)/D540</f>
        <v>1.0265872205200309E-2</v>
      </c>
      <c r="F542" s="390">
        <f>(F541-D540)/D540</f>
        <v>2.0553358660187437E-2</v>
      </c>
      <c r="G542" s="391">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4" x14ac:dyDescent="0.3">
      <c r="C543" s="386" t="s">
        <v>619</v>
      </c>
      <c r="D543" s="387"/>
      <c r="E543" s="392"/>
      <c r="F543" s="383">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4" x14ac:dyDescent="0.3">
      <c r="C544" s="386" t="s">
        <v>620</v>
      </c>
      <c r="D544" s="387"/>
      <c r="E544" s="392"/>
      <c r="F544" s="383">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5">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5">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5">
      <c r="A547" s="370"/>
      <c r="B547" s="371"/>
      <c r="C547" s="21" t="s">
        <v>621</v>
      </c>
      <c r="D547" s="139" t="s">
        <v>622</v>
      </c>
      <c r="E547" s="139" t="s">
        <v>623</v>
      </c>
      <c r="F547" s="139" t="s">
        <v>624</v>
      </c>
      <c r="G547" s="139" t="s">
        <v>625</v>
      </c>
      <c r="H547" s="139" t="s">
        <v>626</v>
      </c>
      <c r="I547" s="139" t="s">
        <v>627</v>
      </c>
      <c r="J547" s="320" t="s">
        <v>628</v>
      </c>
      <c r="K547" s="323" t="s">
        <v>629</v>
      </c>
      <c r="L547" s="241" t="s">
        <v>630</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5">
      <c r="A548" s="372" t="s">
        <v>631</v>
      </c>
      <c r="C548" s="21" t="s">
        <v>632</v>
      </c>
      <c r="D548" s="1039" t="s">
        <v>633</v>
      </c>
      <c r="E548" s="1040"/>
      <c r="F548" s="1040"/>
      <c r="G548" s="1040"/>
      <c r="H548" s="1040"/>
      <c r="I548" s="1041"/>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5">
      <c r="A549" s="372" t="s">
        <v>631</v>
      </c>
      <c r="B549" s="11">
        <v>0</v>
      </c>
      <c r="C549" s="138" t="s">
        <v>634</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5">
      <c r="A550" s="372" t="s">
        <v>631</v>
      </c>
      <c r="B550" s="11">
        <v>1</v>
      </c>
      <c r="C550" s="138" t="s">
        <v>635</v>
      </c>
      <c r="D550" s="142"/>
      <c r="E550" s="142">
        <v>1.0090702843828887</v>
      </c>
      <c r="F550" s="142">
        <v>1.0170393771683619</v>
      </c>
      <c r="G550" s="142">
        <v>1.0238793000184203</v>
      </c>
      <c r="H550" s="142">
        <v>1.0295635385778663</v>
      </c>
      <c r="I550" s="142">
        <v>1.0351195322438309</v>
      </c>
      <c r="J550" s="321">
        <f>(I550-100%)/5</f>
        <v>7.0239064487661821E-3</v>
      </c>
      <c r="K550" s="324">
        <f t="shared" ref="K550:K563" si="144">(I550/100%)^(1/5)-1</f>
        <v>6.9272652964273984E-3</v>
      </c>
      <c r="L550" s="319">
        <v>6.9272652964273984E-3</v>
      </c>
      <c r="M550" s="315"/>
      <c r="N550" s="315"/>
      <c r="O550" s="316"/>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5">
      <c r="A551" s="372" t="s">
        <v>631</v>
      </c>
      <c r="B551" s="11">
        <v>2</v>
      </c>
      <c r="C551" s="138" t="s">
        <v>636</v>
      </c>
      <c r="D551" s="142"/>
      <c r="E551" s="142">
        <v>0.96173452499784384</v>
      </c>
      <c r="F551" s="142">
        <v>0.949547172001034</v>
      </c>
      <c r="G551" s="142">
        <v>0.93849673400054612</v>
      </c>
      <c r="H551" s="142">
        <v>0.92766778564091124</v>
      </c>
      <c r="I551" s="142">
        <v>0.91680012001884892</v>
      </c>
      <c r="J551" s="321">
        <f t="shared" ref="J551:J563" si="145">(I551-100%)/5</f>
        <v>-1.6639975996230218E-2</v>
      </c>
      <c r="K551" s="324">
        <f t="shared" si="144"/>
        <v>-1.7223117235316776E-2</v>
      </c>
      <c r="L551" s="319">
        <v>-1.7223117235316776E-2</v>
      </c>
      <c r="M551" s="315"/>
      <c r="N551" s="315"/>
      <c r="O551" s="316"/>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5">
      <c r="A552" s="372" t="s">
        <v>631</v>
      </c>
      <c r="B552" s="11">
        <v>3</v>
      </c>
      <c r="C552" s="138" t="s">
        <v>637</v>
      </c>
      <c r="D552" s="142"/>
      <c r="E552" s="142">
        <v>1.0707061745580608</v>
      </c>
      <c r="F552" s="142">
        <v>1.0961797739954167</v>
      </c>
      <c r="G552" s="142">
        <v>1.1120352164720533</v>
      </c>
      <c r="H552" s="142">
        <v>1.1172916519636134</v>
      </c>
      <c r="I552" s="142">
        <v>1.1228072524832799</v>
      </c>
      <c r="J552" s="321">
        <f t="shared" si="145"/>
        <v>2.4561450496655989E-2</v>
      </c>
      <c r="K552" s="324">
        <f t="shared" si="144"/>
        <v>2.3436830336478032E-2</v>
      </c>
      <c r="L552" s="319">
        <v>2.3436830336478032E-2</v>
      </c>
      <c r="M552" s="315"/>
      <c r="N552" s="315"/>
      <c r="O552" s="316"/>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5">
      <c r="A553" s="372" t="s">
        <v>631</v>
      </c>
      <c r="B553" s="11">
        <v>4</v>
      </c>
      <c r="C553" s="138" t="s">
        <v>638</v>
      </c>
      <c r="D553" s="142"/>
      <c r="E553" s="142">
        <v>0.99704312080608826</v>
      </c>
      <c r="F553" s="142">
        <v>0.99705853203848904</v>
      </c>
      <c r="G553" s="142">
        <v>0.99472603914083957</v>
      </c>
      <c r="H553" s="142">
        <v>0.9891090180954597</v>
      </c>
      <c r="I553" s="142">
        <v>0.98354979851924307</v>
      </c>
      <c r="J553" s="321">
        <f t="shared" si="145"/>
        <v>-3.2900402961513866E-3</v>
      </c>
      <c r="K553" s="324">
        <f t="shared" si="144"/>
        <v>-3.3119051937137156E-3</v>
      </c>
      <c r="L553" s="319">
        <v>-3.3119051937137156E-3</v>
      </c>
      <c r="M553" s="315"/>
      <c r="N553" s="315"/>
      <c r="O553" s="316"/>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5">
      <c r="A554" s="372" t="s">
        <v>631</v>
      </c>
      <c r="B554" s="11">
        <v>5</v>
      </c>
      <c r="C554" s="138" t="s">
        <v>639</v>
      </c>
      <c r="D554" s="142"/>
      <c r="E554" s="142">
        <v>0.99263087643060499</v>
      </c>
      <c r="F554" s="142">
        <v>0.99530151668079492</v>
      </c>
      <c r="G554" s="142">
        <v>0.99708461172748208</v>
      </c>
      <c r="H554" s="142">
        <v>0.99857946574262668</v>
      </c>
      <c r="I554" s="142">
        <v>1.0006058081967233</v>
      </c>
      <c r="J554" s="321">
        <f t="shared" si="145"/>
        <v>1.2116163934465796E-4</v>
      </c>
      <c r="K554" s="324">
        <f t="shared" si="144"/>
        <v>1.2113228972654433E-4</v>
      </c>
      <c r="L554" s="319">
        <v>1.2113228972654433E-4</v>
      </c>
      <c r="M554" s="315"/>
      <c r="N554" s="315"/>
      <c r="O554" s="316"/>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5">
      <c r="A555" s="372" t="s">
        <v>631</v>
      </c>
      <c r="B555" s="11">
        <v>6</v>
      </c>
      <c r="C555" s="313" t="s">
        <v>640</v>
      </c>
      <c r="D555" s="314"/>
      <c r="E555" s="314">
        <v>1.0123419501207302</v>
      </c>
      <c r="F555" s="314">
        <v>1.0224746276334522</v>
      </c>
      <c r="G555" s="314">
        <v>1.0318096590054313</v>
      </c>
      <c r="H555" s="314">
        <v>1.040568100689119</v>
      </c>
      <c r="I555" s="314">
        <v>1.0491476885800255</v>
      </c>
      <c r="J555" s="328">
        <f t="shared" si="145"/>
        <v>9.8295377160050983E-3</v>
      </c>
      <c r="K555" s="329">
        <f t="shared" si="144"/>
        <v>9.641807463928842E-3</v>
      </c>
      <c r="L555" s="373">
        <v>9.6418074639288403E-3</v>
      </c>
      <c r="M555" s="315"/>
      <c r="N555" s="315"/>
      <c r="O555" s="316"/>
      <c r="P555" s="13"/>
      <c r="Q555" s="317"/>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5">
      <c r="A556" s="372" t="s">
        <v>631</v>
      </c>
      <c r="B556" s="11">
        <v>7</v>
      </c>
      <c r="C556" s="138" t="s">
        <v>641</v>
      </c>
      <c r="D556" s="142"/>
      <c r="E556" s="142">
        <v>1.0234861902526262</v>
      </c>
      <c r="F556" s="142">
        <v>1.0362595252458171</v>
      </c>
      <c r="G556" s="142">
        <v>1.0484007089616401</v>
      </c>
      <c r="H556" s="142">
        <v>1.0594741481215733</v>
      </c>
      <c r="I556" s="142">
        <v>1.0705464348984648</v>
      </c>
      <c r="J556" s="321">
        <f t="shared" si="145"/>
        <v>1.4109286979692959E-2</v>
      </c>
      <c r="K556" s="324">
        <f t="shared" si="144"/>
        <v>1.372720562144969E-2</v>
      </c>
      <c r="L556" s="319">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5">
      <c r="A557" s="372" t="s">
        <v>631</v>
      </c>
      <c r="B557" s="11">
        <v>8</v>
      </c>
      <c r="C557" s="138" t="s">
        <v>642</v>
      </c>
      <c r="D557" s="142"/>
      <c r="E557" s="142">
        <v>1.0327181385810218</v>
      </c>
      <c r="F557" s="142">
        <v>1.0462000918268668</v>
      </c>
      <c r="G557" s="142">
        <v>1.0579618766687933</v>
      </c>
      <c r="H557" s="142">
        <v>1.0679645783102321</v>
      </c>
      <c r="I557" s="142">
        <v>1.0772361012999514</v>
      </c>
      <c r="J557" s="321">
        <f t="shared" si="145"/>
        <v>1.544722025999028E-2</v>
      </c>
      <c r="K557" s="324">
        <f t="shared" si="144"/>
        <v>1.4990973227517745E-2</v>
      </c>
      <c r="L557" s="319">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5">
      <c r="A558" s="372" t="s">
        <v>631</v>
      </c>
      <c r="B558" s="11">
        <v>9</v>
      </c>
      <c r="C558" s="138" t="s">
        <v>643</v>
      </c>
      <c r="D558" s="142"/>
      <c r="E558" s="142">
        <v>1.0231841082591016</v>
      </c>
      <c r="F558" s="142">
        <v>1.0358890289056439</v>
      </c>
      <c r="G558" s="142">
        <v>1.0481652070229122</v>
      </c>
      <c r="H558" s="142">
        <v>1.0592891805745575</v>
      </c>
      <c r="I558" s="142">
        <v>1.069681907109314</v>
      </c>
      <c r="J558" s="321">
        <f t="shared" si="145"/>
        <v>1.3936381421862798E-2</v>
      </c>
      <c r="K558" s="324">
        <f t="shared" si="144"/>
        <v>1.3563424108683053E-2</v>
      </c>
      <c r="L558" s="319">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5">
      <c r="A559" s="372" t="s">
        <v>631</v>
      </c>
      <c r="B559" s="11">
        <v>10</v>
      </c>
      <c r="C559" s="138" t="s">
        <v>644</v>
      </c>
      <c r="D559" s="142"/>
      <c r="E559" s="142">
        <v>1.0341666734322146</v>
      </c>
      <c r="F559" s="142">
        <v>1.0480179725760268</v>
      </c>
      <c r="G559" s="142">
        <v>1.0601012155156095</v>
      </c>
      <c r="H559" s="142">
        <v>1.0702848288878077</v>
      </c>
      <c r="I559" s="142">
        <v>1.0797421461131422</v>
      </c>
      <c r="J559" s="321">
        <f t="shared" si="145"/>
        <v>1.5948429222628447E-2</v>
      </c>
      <c r="K559" s="324">
        <f t="shared" si="144"/>
        <v>1.5462782371323147E-2</v>
      </c>
      <c r="L559" s="319">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5">
      <c r="A560" s="372" t="s">
        <v>631</v>
      </c>
      <c r="B560" s="11">
        <v>11</v>
      </c>
      <c r="C560" s="138" t="s">
        <v>645</v>
      </c>
      <c r="D560" s="142"/>
      <c r="E560" s="142">
        <v>1.0233409873632719</v>
      </c>
      <c r="F560" s="142">
        <v>1.0360814373748364</v>
      </c>
      <c r="G560" s="142">
        <v>1.0482875093579402</v>
      </c>
      <c r="H560" s="142">
        <v>1.0593852390742311</v>
      </c>
      <c r="I560" s="142">
        <v>1.0701308790705675</v>
      </c>
      <c r="J560" s="321">
        <f t="shared" si="145"/>
        <v>1.4026175814113495E-2</v>
      </c>
      <c r="K560" s="324">
        <f t="shared" si="144"/>
        <v>1.364849335671825E-2</v>
      </c>
      <c r="L560" s="319">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5">
      <c r="A561" s="372" t="s">
        <v>631</v>
      </c>
      <c r="B561" s="11">
        <v>12</v>
      </c>
      <c r="C561" s="138" t="s">
        <v>646</v>
      </c>
      <c r="D561" s="142"/>
      <c r="E561" s="142">
        <v>1.0334066911438702</v>
      </c>
      <c r="F561" s="142">
        <v>1.0470642108004322</v>
      </c>
      <c r="G561" s="142">
        <v>1.0589787988674986</v>
      </c>
      <c r="H561" s="142">
        <v>1.0690674958412283</v>
      </c>
      <c r="I561" s="142">
        <v>1.0784273350333435</v>
      </c>
      <c r="J561" s="321">
        <f t="shared" si="145"/>
        <v>1.5685467006668709E-2</v>
      </c>
      <c r="K561" s="324">
        <f t="shared" si="144"/>
        <v>1.5215354312122953E-2</v>
      </c>
      <c r="L561" s="319">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5">
      <c r="A562" s="372" t="s">
        <v>631</v>
      </c>
      <c r="B562" s="11">
        <v>13</v>
      </c>
      <c r="C562" s="138" t="s">
        <v>647</v>
      </c>
      <c r="D562" s="142"/>
      <c r="E562" s="142">
        <v>1.0535754755454367</v>
      </c>
      <c r="F562" s="142">
        <v>1.079128927735721</v>
      </c>
      <c r="G562" s="142">
        <v>1.10377830980113</v>
      </c>
      <c r="H562" s="142">
        <v>1.1267313398994689</v>
      </c>
      <c r="I562" s="142">
        <v>1.1493400902365778</v>
      </c>
      <c r="J562" s="321">
        <f t="shared" si="145"/>
        <v>2.9868018047315557E-2</v>
      </c>
      <c r="K562" s="324">
        <f t="shared" si="144"/>
        <v>2.8228674820024224E-2</v>
      </c>
      <c r="L562" s="319">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5">
      <c r="A563" s="58"/>
      <c r="B563" s="270">
        <v>14</v>
      </c>
      <c r="C563" s="138" t="s">
        <v>648</v>
      </c>
      <c r="D563" s="142"/>
      <c r="E563" s="142">
        <v>1.0081055095898279</v>
      </c>
      <c r="F563" s="142">
        <v>1.0157451629461605</v>
      </c>
      <c r="G563" s="142">
        <v>1.0222827798035592</v>
      </c>
      <c r="H563" s="142">
        <v>1.0276922014787842</v>
      </c>
      <c r="I563" s="142">
        <v>1.032997413899986</v>
      </c>
      <c r="J563" s="321">
        <f t="shared" si="145"/>
        <v>6.5994827799972008E-3</v>
      </c>
      <c r="K563" s="324">
        <f t="shared" si="144"/>
        <v>6.5140621434043311E-3</v>
      </c>
      <c r="L563" s="319">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5">
      <c r="B564" s="11">
        <v>15</v>
      </c>
      <c r="C564" s="138"/>
      <c r="D564" s="142"/>
      <c r="E564" s="142"/>
      <c r="F564" s="142"/>
      <c r="G564" s="142"/>
      <c r="H564" s="142"/>
      <c r="I564" s="142"/>
      <c r="J564" s="322" t="s">
        <v>649</v>
      </c>
      <c r="K564" s="6"/>
      <c r="L564" s="240" t="s">
        <v>650</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5">
      <c r="E565" s="15"/>
      <c r="L565" s="240" t="s">
        <v>651</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5">
      <c r="E566" s="15"/>
      <c r="L566" s="240" t="s">
        <v>652</v>
      </c>
      <c r="M566" s="13"/>
      <c r="N566" s="13"/>
      <c r="O566" s="13"/>
      <c r="P566" s="13"/>
      <c r="Q566" s="13"/>
      <c r="R566" s="318"/>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5">
      <c r="C567" s="330" t="s">
        <v>653</v>
      </c>
      <c r="E567" s="15"/>
      <c r="L567" s="240" t="s">
        <v>654</v>
      </c>
      <c r="M567" s="13"/>
      <c r="N567" s="13"/>
      <c r="O567" s="13"/>
      <c r="P567" s="13"/>
      <c r="Q567" s="13"/>
      <c r="R567" s="318"/>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5">
      <c r="E568" s="15"/>
      <c r="L568" s="240" t="s">
        <v>655</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5">
      <c r="E569" s="15"/>
      <c r="L569" s="240"/>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5">
      <c r="C570" s="11"/>
      <c r="L570" s="240" t="s">
        <v>656</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25">
      <c r="C571" s="11"/>
      <c r="L571" s="240" t="s">
        <v>657</v>
      </c>
      <c r="M571" s="13"/>
      <c r="N571" s="13"/>
      <c r="O571" s="394"/>
      <c r="P571" s="395" t="s">
        <v>658</v>
      </c>
      <c r="Q571" s="396"/>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85" customHeight="1" x14ac:dyDescent="0.25">
      <c r="C572" s="11"/>
      <c r="M572" s="13"/>
      <c r="N572" s="13"/>
      <c r="O572" s="399" t="s">
        <v>628</v>
      </c>
      <c r="P572" s="399" t="s">
        <v>629</v>
      </c>
      <c r="Q572" s="400" t="s">
        <v>659</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5">
      <c r="A573" s="370"/>
      <c r="B573" s="371"/>
      <c r="C573" s="138" t="s">
        <v>635</v>
      </c>
      <c r="D573" s="393"/>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321">
        <f>(N573-100%)/10</f>
        <v>6.0996339197137541E-3</v>
      </c>
      <c r="P573" s="324">
        <f>(N573/100%)^(1/10)-1</f>
        <v>5.9384037531065026E-3</v>
      </c>
      <c r="Q573" s="397">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5">
      <c r="A574" s="372" t="s">
        <v>660</v>
      </c>
      <c r="C574" s="138" t="s">
        <v>636</v>
      </c>
      <c r="D574" s="393"/>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321">
        <f t="shared" ref="O574:O586" si="146">(N574-100%)/10</f>
        <v>-6.0280923298853817E-3</v>
      </c>
      <c r="P574" s="324">
        <f t="shared" ref="P574:P586" si="147">(N574/100%)^(1/10)-1</f>
        <v>-6.1981420710855994E-3</v>
      </c>
      <c r="Q574" s="397">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5">
      <c r="A575" s="372" t="s">
        <v>660</v>
      </c>
      <c r="C575" s="138" t="s">
        <v>637</v>
      </c>
      <c r="D575" s="393"/>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321">
        <f t="shared" si="146"/>
        <v>1.5087615236704566E-2</v>
      </c>
      <c r="P575" s="324">
        <f t="shared" si="147"/>
        <v>1.4151550808456648E-2</v>
      </c>
      <c r="Q575" s="397">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5">
      <c r="A576" s="372" t="s">
        <v>660</v>
      </c>
      <c r="C576" s="138" t="s">
        <v>638</v>
      </c>
      <c r="D576" s="393"/>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321">
        <f t="shared" si="146"/>
        <v>8.1374209845206378E-4</v>
      </c>
      <c r="P576" s="324">
        <f t="shared" si="147"/>
        <v>8.1077757246905691E-4</v>
      </c>
      <c r="Q576" s="397">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5">
      <c r="A577" s="372" t="s">
        <v>660</v>
      </c>
      <c r="C577" s="138" t="s">
        <v>639</v>
      </c>
      <c r="D577" s="393"/>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321">
        <f t="shared" si="146"/>
        <v>2.5619811438394092E-3</v>
      </c>
      <c r="P577" s="324">
        <f t="shared" si="147"/>
        <v>2.5329148145079028E-3</v>
      </c>
      <c r="Q577" s="397">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5">
      <c r="A578" s="372" t="s">
        <v>660</v>
      </c>
      <c r="C578" s="313" t="s">
        <v>640</v>
      </c>
      <c r="D578" s="314"/>
      <c r="E578" s="314">
        <v>1.0123419501207302</v>
      </c>
      <c r="F578" s="314">
        <v>1.0224746276334522</v>
      </c>
      <c r="G578" s="314">
        <v>1.0318096590054313</v>
      </c>
      <c r="H578" s="314">
        <v>1.040568100689119</v>
      </c>
      <c r="I578" s="314">
        <v>1.0491476885800255</v>
      </c>
      <c r="J578" s="314">
        <v>1.0546473961073131</v>
      </c>
      <c r="K578" s="314">
        <v>1.0600156863772707</v>
      </c>
      <c r="L578" s="314">
        <v>1.0652587749595908</v>
      </c>
      <c r="M578" s="314">
        <v>1.0703773048442411</v>
      </c>
      <c r="N578" s="314">
        <v>1.0753751834317971</v>
      </c>
      <c r="O578" s="328">
        <f t="shared" si="146"/>
        <v>7.5375183431797051E-3</v>
      </c>
      <c r="P578" s="329">
        <f t="shared" si="147"/>
        <v>7.2934292896156272E-3</v>
      </c>
      <c r="Q578" s="329">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5">
      <c r="A579" s="372" t="s">
        <v>660</v>
      </c>
      <c r="C579" s="138" t="s">
        <v>641</v>
      </c>
      <c r="D579" s="393"/>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321">
        <f t="shared" si="146"/>
        <v>9.7308873986410305E-3</v>
      </c>
      <c r="P579" s="324">
        <f t="shared" si="147"/>
        <v>9.3293197294876951E-3</v>
      </c>
      <c r="Q579" s="397">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5">
      <c r="A580" s="372" t="s">
        <v>660</v>
      </c>
      <c r="C580" s="138" t="s">
        <v>642</v>
      </c>
      <c r="D580" s="393"/>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321">
        <f t="shared" si="146"/>
        <v>1.0416577441320607E-2</v>
      </c>
      <c r="P580" s="324">
        <f t="shared" si="147"/>
        <v>9.95826625164975E-3</v>
      </c>
      <c r="Q580" s="397">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5">
      <c r="A581" s="372" t="s">
        <v>660</v>
      </c>
      <c r="C581" s="138" t="s">
        <v>643</v>
      </c>
      <c r="D581" s="393"/>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321">
        <f t="shared" si="146"/>
        <v>9.64227339891921E-3</v>
      </c>
      <c r="P581" s="324">
        <f t="shared" si="147"/>
        <v>9.2477809488915597E-3</v>
      </c>
      <c r="Q581" s="397">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5">
      <c r="A582" s="372" t="s">
        <v>660</v>
      </c>
      <c r="C582" s="138" t="s">
        <v>644</v>
      </c>
      <c r="D582" s="393"/>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321">
        <f t="shared" si="146"/>
        <v>1.0673446748664817E-2</v>
      </c>
      <c r="P582" s="324">
        <f t="shared" si="147"/>
        <v>1.0192973847719333E-2</v>
      </c>
      <c r="Q582" s="397">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5">
      <c r="A583" s="372" t="s">
        <v>660</v>
      </c>
      <c r="C583" s="138" t="s">
        <v>645</v>
      </c>
      <c r="D583" s="393"/>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321">
        <f t="shared" si="146"/>
        <v>9.6882929737077683E-3</v>
      </c>
      <c r="P583" s="324">
        <f t="shared" si="147"/>
        <v>9.2901335764377091E-3</v>
      </c>
      <c r="Q583" s="397">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5">
      <c r="A584" s="372" t="s">
        <v>660</v>
      </c>
      <c r="C584" s="138" t="s">
        <v>646</v>
      </c>
      <c r="D584" s="393"/>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321">
        <f t="shared" si="146"/>
        <v>1.0538678763041154E-2</v>
      </c>
      <c r="P584" s="324">
        <f t="shared" si="147"/>
        <v>1.0069894342066732E-2</v>
      </c>
      <c r="Q584" s="397">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5">
      <c r="A585" s="372" t="s">
        <v>660</v>
      </c>
      <c r="C585" s="138" t="s">
        <v>647</v>
      </c>
      <c r="D585" s="393"/>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321">
        <f t="shared" si="146"/>
        <v>1.7807228078299507E-2</v>
      </c>
      <c r="P585" s="324">
        <f t="shared" si="147"/>
        <v>1.6522963134986579E-2</v>
      </c>
      <c r="Q585" s="397">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5">
      <c r="A586" s="58"/>
      <c r="B586" s="270"/>
      <c r="C586" s="138" t="s">
        <v>648</v>
      </c>
      <c r="D586" s="393"/>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321">
        <f t="shared" si="146"/>
        <v>5.8821170316610384E-3</v>
      </c>
      <c r="P586" s="324">
        <f t="shared" si="147"/>
        <v>5.7319838926312983E-3</v>
      </c>
      <c r="Q586" s="397">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5">
      <c r="C587" s="11"/>
      <c r="E587" s="15"/>
      <c r="M587" s="13"/>
      <c r="N587" s="13"/>
      <c r="O587" s="322" t="s">
        <v>649</v>
      </c>
      <c r="P587" s="322" t="s">
        <v>649</v>
      </c>
      <c r="Q587" s="398"/>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5">
      <c r="C588" s="11"/>
      <c r="E588" s="15"/>
      <c r="M588" s="13"/>
      <c r="N588" s="13"/>
      <c r="O588" s="322" t="s">
        <v>661</v>
      </c>
      <c r="P588" s="322" t="s">
        <v>661</v>
      </c>
      <c r="Q588" s="398"/>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5">
      <c r="C589" s="11"/>
      <c r="E589" s="15"/>
      <c r="M589" s="13"/>
      <c r="N589" s="13"/>
      <c r="O589" s="13"/>
      <c r="P589" s="13"/>
      <c r="Q589" s="398" t="s">
        <v>656</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5">
      <c r="E590" s="15"/>
      <c r="M590" s="13"/>
      <c r="N590" s="13"/>
      <c r="O590" s="13"/>
      <c r="P590" s="13"/>
      <c r="Q590" s="398" t="s">
        <v>657</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5">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5">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5">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5">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5">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5">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5">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5">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5">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5">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5">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5">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5">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5">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5">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5">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5">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5">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5">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5">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5">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5">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5">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5">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5">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5">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5">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5">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5">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5">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5">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5">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5">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5">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5">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5">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5">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5">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5">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5">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5">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5">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5">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5">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5">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5">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5">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5">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5">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5">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5">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5">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5">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5">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5">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5">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5">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5">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5">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5">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5">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5">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5">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5">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5">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5">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5">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5">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5">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5">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5">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5">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5">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5">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5">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5">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5">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5">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5">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5">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5">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5">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5">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5">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5">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5">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5">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5">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5">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5">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5">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5">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5">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5">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5">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5">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5">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5">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5">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5">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5">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5">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5">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5">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5">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5">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5">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5">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5">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5">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5">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5">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5">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5">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5">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5">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5">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5">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5">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5">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5">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5">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5">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5">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5">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5">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5">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5">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5">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5">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5">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5">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5">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5">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5">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5">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5">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5">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5">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5">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5">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5">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5">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5">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5">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5">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5">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5">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5">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5">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5">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5">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5">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5">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5">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5">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5">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5">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5">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5">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5">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5">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5">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5">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5">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5">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5">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5">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5">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5">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5">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5">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5">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5">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5">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5">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5">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5">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5">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5">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5">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5">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5">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5">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5">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5">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5">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5">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5">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5">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5">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5">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5">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5">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5">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5">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5">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5">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5">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5">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5">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5">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5">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5">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5">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5">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5">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5">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5">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5">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5">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5">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5">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5">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5">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5">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5">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5">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5">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5">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5">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5">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5">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5">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5">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5">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5">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5">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5">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5">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5">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5">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5">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5">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5">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5">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5">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5">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5">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5">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5">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5">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5">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5">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5">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5">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5">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5">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5">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5">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5">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5">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5">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5">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5">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5">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5">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5">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5">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5">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5">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5">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5">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5">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5">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5">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5">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5">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5">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5">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5">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5">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5">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5">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5">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5">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5">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5">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5">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5">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5">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5">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5">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5">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5">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5">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5">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5">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5">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5">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5">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5">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5">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5">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5">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5">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5">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5">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5">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5">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5">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5">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5">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5">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5">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5">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5">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5">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5">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P149"/>
  <sheetViews>
    <sheetView showGridLines="0" zoomScale="80" zoomScaleNormal="80" workbookViewId="0"/>
  </sheetViews>
  <sheetFormatPr defaultRowHeight="14.4" x14ac:dyDescent="0.3"/>
  <cols>
    <col min="1" max="1" width="2.44140625" customWidth="1"/>
    <col min="2" max="2" width="5.77734375" customWidth="1"/>
    <col min="3" max="3" width="63" customWidth="1"/>
    <col min="4" max="4" width="13.21875" customWidth="1"/>
    <col min="5" max="5" width="14" customWidth="1"/>
    <col min="6" max="6" width="13.21875" customWidth="1"/>
    <col min="7" max="8" width="13.44140625" customWidth="1"/>
    <col min="9" max="9" width="15.77734375" customWidth="1"/>
    <col min="10" max="15" width="13.44140625" customWidth="1"/>
    <col min="16" max="16" width="36.21875" customWidth="1"/>
  </cols>
  <sheetData>
    <row r="1" spans="2:16" ht="30" customHeight="1" x14ac:dyDescent="0.3">
      <c r="B1" s="592" t="s">
        <v>662</v>
      </c>
    </row>
    <row r="2" spans="2:16" ht="30" customHeight="1" x14ac:dyDescent="0.3">
      <c r="B2" s="593" t="s">
        <v>663</v>
      </c>
      <c r="C2" s="593"/>
      <c r="D2" s="594"/>
      <c r="E2" s="595"/>
      <c r="F2" s="594"/>
      <c r="G2" s="594"/>
      <c r="H2" s="594"/>
      <c r="I2" s="594"/>
      <c r="J2" s="594"/>
      <c r="K2" s="594"/>
      <c r="L2" s="594"/>
      <c r="M2" s="594"/>
      <c r="N2" s="594"/>
      <c r="O2" s="594"/>
      <c r="P2" s="594"/>
    </row>
    <row r="4" spans="2:16" x14ac:dyDescent="0.3">
      <c r="B4" s="150" t="s">
        <v>664</v>
      </c>
      <c r="C4" s="238"/>
      <c r="D4" s="238"/>
      <c r="E4" s="238"/>
      <c r="F4" s="238"/>
      <c r="G4" s="238"/>
      <c r="H4" s="238"/>
      <c r="I4" s="238"/>
      <c r="J4" s="238"/>
      <c r="K4" s="238"/>
      <c r="L4" s="238"/>
      <c r="M4" s="238"/>
      <c r="N4" s="238"/>
      <c r="O4" s="238"/>
      <c r="P4" s="151"/>
    </row>
    <row r="5" spans="2:16" x14ac:dyDescent="0.3">
      <c r="B5" s="154"/>
      <c r="C5" t="s">
        <v>665</v>
      </c>
      <c r="P5" s="153"/>
    </row>
    <row r="6" spans="2:16" x14ac:dyDescent="0.3">
      <c r="B6" s="154"/>
      <c r="C6" t="s">
        <v>666</v>
      </c>
      <c r="P6" s="153"/>
    </row>
    <row r="7" spans="2:16" x14ac:dyDescent="0.3">
      <c r="B7" s="154"/>
      <c r="C7" t="s">
        <v>667</v>
      </c>
      <c r="P7" s="153"/>
    </row>
    <row r="8" spans="2:16" x14ac:dyDescent="0.3">
      <c r="B8" s="155"/>
      <c r="C8" s="156"/>
      <c r="D8" s="156"/>
      <c r="E8" s="156"/>
      <c r="F8" s="156"/>
      <c r="G8" s="156"/>
      <c r="H8" s="156"/>
      <c r="I8" s="156"/>
      <c r="J8" s="156"/>
      <c r="K8" s="156"/>
      <c r="L8" s="156"/>
      <c r="M8" s="156"/>
      <c r="N8" s="156"/>
      <c r="O8" s="156"/>
      <c r="P8" s="157"/>
    </row>
    <row r="10" spans="2:16" x14ac:dyDescent="0.3">
      <c r="B10" s="150" t="s">
        <v>668</v>
      </c>
      <c r="C10" s="238"/>
      <c r="D10" s="238"/>
      <c r="E10" s="238"/>
      <c r="F10" s="238"/>
      <c r="G10" s="238"/>
      <c r="H10" s="238"/>
      <c r="I10" s="238"/>
      <c r="J10" s="238"/>
      <c r="K10" s="238"/>
      <c r="L10" s="238"/>
      <c r="M10" s="238"/>
      <c r="N10" s="238"/>
      <c r="O10" s="238"/>
      <c r="P10" s="151"/>
    </row>
    <row r="11" spans="2:16" x14ac:dyDescent="0.3">
      <c r="B11" s="152"/>
      <c r="C11" t="s">
        <v>669</v>
      </c>
      <c r="E11" s="596" t="s">
        <v>62</v>
      </c>
      <c r="P11" s="153"/>
    </row>
    <row r="12" spans="2:16" x14ac:dyDescent="0.3">
      <c r="B12" s="152"/>
      <c r="C12" t="s">
        <v>82</v>
      </c>
      <c r="E12" s="596" t="s">
        <v>103</v>
      </c>
      <c r="G12" s="128">
        <f>'Population selection'!F14</f>
        <v>45219492</v>
      </c>
      <c r="H12" t="str">
        <f>C25&amp;" population based on selection on left using mid-2022 ONS data"</f>
        <v>Adult population (16 years and above) population based on selection on left using mid-2022 ONS data</v>
      </c>
      <c r="P12" s="153"/>
    </row>
    <row r="13" spans="2:16" x14ac:dyDescent="0.3">
      <c r="B13" s="152"/>
      <c r="E13" s="597"/>
      <c r="G13" s="403">
        <f>2.05533586601874%</f>
        <v>2.0553358660187402E-2</v>
      </c>
      <c r="H13" t="s">
        <v>670</v>
      </c>
      <c r="P13" s="153"/>
    </row>
    <row r="14" spans="2:16" x14ac:dyDescent="0.3">
      <c r="B14" s="152"/>
      <c r="C14" s="147"/>
      <c r="G14" s="128">
        <f>(100%+G13)*G12</f>
        <v>46148904.437507473</v>
      </c>
      <c r="H14" t="s">
        <v>671</v>
      </c>
      <c r="P14" s="153"/>
    </row>
    <row r="15" spans="2:16" x14ac:dyDescent="0.3">
      <c r="B15" s="154"/>
      <c r="C15" t="s">
        <v>672</v>
      </c>
      <c r="E15" s="598" t="s">
        <v>64</v>
      </c>
      <c r="F15" s="518" t="str">
        <f>IF(E15="yes","","If no, enter current locality population below")</f>
        <v>If no, enter current locality population below</v>
      </c>
      <c r="P15" s="153"/>
    </row>
    <row r="16" spans="2:16" x14ac:dyDescent="0.3">
      <c r="B16" s="154"/>
      <c r="F16" s="518" t="str">
        <f>IF(AND(NOT(ISBLANK(E17)),E15="yes"),"error - change cell above to 'no'","")</f>
        <v/>
      </c>
      <c r="P16" s="153"/>
    </row>
    <row r="17" spans="2:16" x14ac:dyDescent="0.3">
      <c r="B17" s="154"/>
      <c r="C17" t="str">
        <f>"Manually entered current locality population "&amp;IF(E15="no","","(n/a)")</f>
        <v xml:space="preserve">Manually entered current locality population </v>
      </c>
      <c r="E17" s="404"/>
      <c r="F17" s="518" t="str">
        <f>IF(E15="yes","Leave blue cell on left blank if NICE estimate is used","")</f>
        <v/>
      </c>
      <c r="P17" s="153"/>
    </row>
    <row r="18" spans="2:16" x14ac:dyDescent="0.3">
      <c r="B18" s="154"/>
      <c r="F18" s="518" t="str">
        <f>IF(AND(ISBLANK(E17),E15="no"),"error - enter current locality population above","")</f>
        <v>error - enter current locality population above</v>
      </c>
      <c r="P18" s="153"/>
    </row>
    <row r="19" spans="2:16" x14ac:dyDescent="0.3">
      <c r="B19" s="154"/>
      <c r="C19" t="s">
        <v>673</v>
      </c>
      <c r="D19" s="599"/>
      <c r="E19" s="403"/>
      <c r="F19" t="str">
        <f>IF(E19=0.00964180746392884,"Enter local value or delete the NICE assumption if required","Local value")</f>
        <v>Local value</v>
      </c>
      <c r="P19" s="153"/>
    </row>
    <row r="20" spans="2:16" x14ac:dyDescent="0.3">
      <c r="B20" s="154"/>
      <c r="C20" t="s">
        <v>674</v>
      </c>
      <c r="D20" s="599"/>
      <c r="E20" s="403">
        <v>0</v>
      </c>
      <c r="F20" t="str">
        <f>IF(E20=0,"Enter local value or delete the NICE assumption if required","Local value")</f>
        <v>Enter local value or delete the NICE assumption if required</v>
      </c>
      <c r="P20" s="153"/>
    </row>
    <row r="21" spans="2:16" x14ac:dyDescent="0.3">
      <c r="B21" s="155"/>
      <c r="C21" s="156"/>
      <c r="D21" s="156"/>
      <c r="E21" s="156"/>
      <c r="F21" s="156"/>
      <c r="G21" s="156"/>
      <c r="H21" s="156"/>
      <c r="I21" s="156"/>
      <c r="J21" s="156"/>
      <c r="K21" s="156"/>
      <c r="L21" s="156"/>
      <c r="M21" s="156"/>
      <c r="N21" s="156"/>
      <c r="O21" s="156"/>
      <c r="P21" s="157"/>
    </row>
    <row r="23" spans="2:16" x14ac:dyDescent="0.3">
      <c r="B23" s="150" t="s">
        <v>675</v>
      </c>
      <c r="C23" s="238"/>
      <c r="D23" s="238"/>
      <c r="E23" s="238"/>
      <c r="F23" s="238"/>
      <c r="G23" s="238"/>
      <c r="H23" s="238"/>
      <c r="I23" s="238"/>
      <c r="J23" s="238"/>
      <c r="K23" s="238"/>
      <c r="L23" s="238"/>
      <c r="M23" s="238"/>
      <c r="N23" s="238"/>
      <c r="O23" s="238"/>
      <c r="P23" s="151"/>
    </row>
    <row r="24" spans="2:16" ht="85.35" customHeight="1" x14ac:dyDescent="0.3">
      <c r="B24" s="152"/>
      <c r="G24" s="201" t="s">
        <v>676</v>
      </c>
      <c r="H24" s="191" t="s">
        <v>677</v>
      </c>
      <c r="I24" s="273"/>
      <c r="J24" s="273"/>
      <c r="K24" s="273"/>
      <c r="L24" s="273"/>
      <c r="M24" s="273"/>
      <c r="N24" s="273"/>
      <c r="O24" s="273"/>
      <c r="P24" s="192"/>
    </row>
    <row r="25" spans="2:16" x14ac:dyDescent="0.3">
      <c r="B25" s="152"/>
      <c r="C25" s="200" t="s">
        <v>678</v>
      </c>
      <c r="D25" s="202"/>
      <c r="E25" s="181"/>
      <c r="F25" s="160"/>
      <c r="G25" s="128">
        <f>IF(ISBLANK(E17),G14,'Population selection'!F16)</f>
        <v>46148904.437507473</v>
      </c>
      <c r="H25" s="199" t="s">
        <v>679</v>
      </c>
      <c r="I25" s="181"/>
      <c r="J25" s="181"/>
      <c r="K25" s="181"/>
      <c r="L25" s="181"/>
      <c r="M25" s="181"/>
      <c r="N25" s="181"/>
      <c r="O25" s="181"/>
      <c r="P25" s="160"/>
    </row>
    <row r="26" spans="2:16" x14ac:dyDescent="0.3">
      <c r="B26" s="152"/>
      <c r="C26" s="401" t="s">
        <v>680</v>
      </c>
      <c r="D26" s="600"/>
      <c r="F26" s="160"/>
      <c r="G26" s="601"/>
      <c r="H26" s="199" t="s">
        <v>679</v>
      </c>
      <c r="I26" s="156"/>
      <c r="J26" s="156"/>
      <c r="K26" s="156"/>
      <c r="L26" s="156"/>
      <c r="M26" s="156"/>
      <c r="N26" s="156"/>
      <c r="O26" s="156"/>
      <c r="P26" s="157"/>
    </row>
    <row r="27" spans="2:16" ht="27" customHeight="1" x14ac:dyDescent="0.3">
      <c r="B27" s="154"/>
      <c r="C27" s="199" t="s">
        <v>681</v>
      </c>
      <c r="D27" s="181"/>
      <c r="E27" s="160"/>
      <c r="F27" s="403">
        <v>0.1</v>
      </c>
      <c r="G27" s="602">
        <f>F27*G25</f>
        <v>4614890.4437507475</v>
      </c>
      <c r="H27" s="1044" t="s">
        <v>682</v>
      </c>
      <c r="I27" s="1045"/>
      <c r="J27" s="1045"/>
      <c r="K27" s="1045"/>
      <c r="L27" s="1045"/>
      <c r="M27" s="1045"/>
      <c r="N27" s="1045"/>
      <c r="O27" s="1045"/>
      <c r="P27" s="1046"/>
    </row>
    <row r="28" spans="2:16" ht="28.5" customHeight="1" x14ac:dyDescent="0.3">
      <c r="B28" s="154"/>
      <c r="C28" s="199" t="s">
        <v>683</v>
      </c>
      <c r="D28" s="181"/>
      <c r="E28" s="160"/>
      <c r="F28" s="403">
        <v>0.83</v>
      </c>
      <c r="G28" s="602">
        <f>G27*F28</f>
        <v>3830359.0683131204</v>
      </c>
      <c r="H28" s="1044" t="s">
        <v>684</v>
      </c>
      <c r="I28" s="1045"/>
      <c r="J28" s="1045"/>
      <c r="K28" s="1045"/>
      <c r="L28" s="1045"/>
      <c r="M28" s="1045"/>
      <c r="N28" s="1045"/>
      <c r="O28" s="1045"/>
      <c r="P28" s="1046"/>
    </row>
    <row r="29" spans="2:16" ht="28.35" customHeight="1" x14ac:dyDescent="0.3">
      <c r="B29" s="154"/>
      <c r="C29" s="199" t="s">
        <v>685</v>
      </c>
      <c r="D29" s="181"/>
      <c r="E29" s="160"/>
      <c r="F29" s="403"/>
      <c r="G29" s="602">
        <f>G28*F29</f>
        <v>0</v>
      </c>
      <c r="H29" s="603" t="s">
        <v>686</v>
      </c>
      <c r="I29" s="604"/>
      <c r="J29" s="604"/>
      <c r="K29" s="604"/>
      <c r="L29" s="604"/>
      <c r="M29" s="604"/>
      <c r="N29" s="604"/>
      <c r="O29" s="604"/>
      <c r="P29" s="605"/>
    </row>
    <row r="30" spans="2:16" ht="41.1" customHeight="1" x14ac:dyDescent="0.3">
      <c r="B30" s="154"/>
      <c r="C30" s="159" t="s">
        <v>687</v>
      </c>
      <c r="D30" s="181"/>
      <c r="E30" s="160"/>
      <c r="F30" s="403"/>
      <c r="G30" s="602">
        <f t="shared" ref="G30:G31" si="0">G29*F30</f>
        <v>0</v>
      </c>
      <c r="H30" s="603" t="s">
        <v>686</v>
      </c>
      <c r="I30" s="604"/>
      <c r="J30" s="604"/>
      <c r="K30" s="604"/>
      <c r="L30" s="604"/>
      <c r="M30" s="604"/>
      <c r="N30" s="604"/>
      <c r="O30" s="604"/>
      <c r="P30" s="605"/>
    </row>
    <row r="31" spans="2:16" ht="43.2" x14ac:dyDescent="0.3">
      <c r="B31" s="154"/>
      <c r="C31" s="159" t="s">
        <v>688</v>
      </c>
      <c r="D31" s="181"/>
      <c r="E31" s="160"/>
      <c r="F31" s="403"/>
      <c r="G31" s="602">
        <f t="shared" si="0"/>
        <v>0</v>
      </c>
      <c r="H31" s="603" t="s">
        <v>686</v>
      </c>
      <c r="I31" s="604"/>
      <c r="J31" s="604"/>
      <c r="K31" s="604"/>
      <c r="L31" s="604"/>
      <c r="M31" s="604"/>
      <c r="N31" s="604"/>
      <c r="O31" s="604"/>
      <c r="P31" s="605"/>
    </row>
    <row r="32" spans="2:16" ht="28.35" customHeight="1" x14ac:dyDescent="0.3">
      <c r="B32" s="154"/>
      <c r="C32" s="1042" t="s">
        <v>689</v>
      </c>
      <c r="D32" s="1043"/>
      <c r="E32" s="160"/>
      <c r="F32" s="403"/>
      <c r="G32" s="602">
        <f>G31*F32</f>
        <v>0</v>
      </c>
      <c r="H32" s="1047" t="s">
        <v>690</v>
      </c>
      <c r="I32" s="1048"/>
      <c r="J32" s="1048"/>
      <c r="K32" s="1048"/>
      <c r="L32" s="1048"/>
      <c r="M32" s="1048"/>
      <c r="N32" s="1048"/>
      <c r="O32" s="1048"/>
      <c r="P32" s="1049"/>
    </row>
    <row r="33" spans="2:16" ht="28.35" customHeight="1" x14ac:dyDescent="0.3">
      <c r="B33" s="154"/>
      <c r="C33" s="699" t="s">
        <v>691</v>
      </c>
      <c r="D33" s="700"/>
      <c r="E33" s="181"/>
      <c r="F33" s="704"/>
      <c r="G33" s="602">
        <f>G31-G32</f>
        <v>0</v>
      </c>
      <c r="H33" s="705"/>
      <c r="I33" s="156"/>
      <c r="J33" s="156"/>
      <c r="K33" s="156"/>
      <c r="M33" s="156"/>
      <c r="N33" s="156"/>
      <c r="O33" s="156"/>
      <c r="P33" s="157"/>
    </row>
    <row r="34" spans="2:16" ht="28.35" customHeight="1" x14ac:dyDescent="0.3">
      <c r="B34" s="155"/>
      <c r="C34" s="190" t="s">
        <v>692</v>
      </c>
      <c r="D34" s="181"/>
      <c r="E34" s="181"/>
      <c r="F34" s="250"/>
      <c r="G34" s="172">
        <f>G33</f>
        <v>0</v>
      </c>
      <c r="H34" s="606" t="s">
        <v>686</v>
      </c>
      <c r="I34" s="181"/>
      <c r="J34" s="181"/>
      <c r="K34" s="181"/>
      <c r="L34" s="181"/>
      <c r="M34" s="181"/>
      <c r="N34" s="181"/>
      <c r="O34" s="181"/>
      <c r="P34" s="160"/>
    </row>
    <row r="35" spans="2:16" x14ac:dyDescent="0.3">
      <c r="B35" s="162"/>
      <c r="C35" s="519"/>
      <c r="D35" s="238"/>
      <c r="E35" s="607"/>
      <c r="F35" s="520"/>
      <c r="G35" s="520"/>
      <c r="H35" s="608"/>
      <c r="I35" s="238"/>
      <c r="J35" s="238"/>
      <c r="K35" s="238"/>
      <c r="L35" s="238"/>
      <c r="M35" s="238"/>
      <c r="N35" s="238"/>
      <c r="O35" s="238"/>
      <c r="P35" s="151"/>
    </row>
    <row r="36" spans="2:16" x14ac:dyDescent="0.3">
      <c r="B36" s="154"/>
      <c r="C36" t="s">
        <v>693</v>
      </c>
      <c r="F36" s="598" t="s">
        <v>60</v>
      </c>
      <c r="G36" s="254"/>
      <c r="H36" s="177"/>
      <c r="P36" s="153"/>
    </row>
    <row r="37" spans="2:16" ht="15" customHeight="1" x14ac:dyDescent="0.3">
      <c r="B37" s="154"/>
      <c r="C37" s="521"/>
      <c r="E37" s="349"/>
      <c r="F37" s="254"/>
      <c r="G37" s="254"/>
      <c r="H37" s="177"/>
      <c r="P37" s="153"/>
    </row>
    <row r="38" spans="2:16" x14ac:dyDescent="0.3">
      <c r="B38" s="154"/>
      <c r="C38" t="str">
        <f>"Manually entered current eligible population "&amp;IF(F36="no","","(n/a)")</f>
        <v>Manually entered current eligible population (n/a)</v>
      </c>
      <c r="F38" s="404">
        <v>100</v>
      </c>
      <c r="G38" s="352" t="str">
        <f>IF(F36="yes","Leave blue cell on left blank if NICE estimate is used","local value")</f>
        <v>Leave blue cell on left blank if NICE estimate is used</v>
      </c>
      <c r="P38" s="153"/>
    </row>
    <row r="39" spans="2:16" x14ac:dyDescent="0.3">
      <c r="B39" s="154"/>
      <c r="G39" s="353" t="str">
        <f>IF(AND(F36="yes",F38&gt;0),"error, set the drop down above to be 'no'","")</f>
        <v>error, set the drop down above to be 'no'</v>
      </c>
      <c r="P39" s="153"/>
    </row>
    <row r="40" spans="2:16" x14ac:dyDescent="0.3">
      <c r="B40" s="154"/>
      <c r="C40" s="156"/>
      <c r="F40" s="198" t="s">
        <v>622</v>
      </c>
      <c r="G40" s="610"/>
      <c r="H40" s="610"/>
      <c r="I40" s="610"/>
      <c r="J40" s="610"/>
      <c r="K40" s="610"/>
      <c r="L40" s="610"/>
      <c r="M40" s="610"/>
      <c r="N40" s="610"/>
      <c r="O40" s="610"/>
      <c r="P40" s="153"/>
    </row>
    <row r="41" spans="2:16" x14ac:dyDescent="0.3">
      <c r="B41" s="154"/>
      <c r="C41" s="199" t="s">
        <v>694</v>
      </c>
      <c r="D41" s="181"/>
      <c r="E41" s="160"/>
      <c r="F41" s="601"/>
      <c r="G41" s="349"/>
      <c r="H41" s="349"/>
      <c r="I41" s="349"/>
      <c r="J41" s="349"/>
      <c r="K41" s="349"/>
      <c r="M41" s="349"/>
      <c r="N41" s="349"/>
      <c r="O41" s="517"/>
      <c r="P41" s="153"/>
    </row>
    <row r="42" spans="2:16" x14ac:dyDescent="0.3">
      <c r="B42" s="154"/>
      <c r="C42" s="199" t="s">
        <v>695</v>
      </c>
      <c r="D42" s="181"/>
      <c r="E42" s="160"/>
      <c r="F42" s="601"/>
      <c r="G42" s="349"/>
      <c r="H42" s="349"/>
      <c r="I42" s="349"/>
      <c r="J42" s="349"/>
      <c r="K42" s="349"/>
      <c r="M42" s="349"/>
      <c r="N42" s="349"/>
      <c r="O42" s="349"/>
      <c r="P42" s="153"/>
    </row>
    <row r="43" spans="2:16" x14ac:dyDescent="0.3">
      <c r="B43" s="154"/>
      <c r="C43" s="271" t="str">
        <f>IF('Inputs and eligible population'!E17=0,"Baseline population (inflated by growth(s))","Manually entered locality population (inflated by growth(s))")</f>
        <v>Baseline population (inflated by growth(s))</v>
      </c>
      <c r="D43" s="181"/>
      <c r="E43" s="160"/>
      <c r="F43" s="128">
        <f>IF(ISBLANK(E17),G14,'Population selection'!F16)</f>
        <v>46148904.437507473</v>
      </c>
      <c r="G43" s="233"/>
      <c r="H43" s="233"/>
      <c r="I43" s="233"/>
      <c r="J43" s="233"/>
      <c r="K43" s="233"/>
      <c r="M43" s="233"/>
      <c r="N43" s="233"/>
      <c r="O43" s="233"/>
      <c r="P43" s="153"/>
    </row>
    <row r="44" spans="2:16" x14ac:dyDescent="0.3">
      <c r="B44" s="154"/>
      <c r="C44" s="190" t="str">
        <f>IF(ISBLANK(F38),"Eligible population, NICE estimate","Eligible population, local estimate")</f>
        <v>Eligible population, local estimate</v>
      </c>
      <c r="D44" s="181"/>
      <c r="E44" s="160"/>
      <c r="F44" s="172">
        <f>IF(ISBLANK(F38),G34,F38)</f>
        <v>100</v>
      </c>
      <c r="G44" s="254"/>
      <c r="H44" s="254"/>
      <c r="I44" s="254"/>
      <c r="J44" s="254"/>
      <c r="K44" s="254"/>
      <c r="L44" s="518" t="str">
        <f>IF(F36="no","local estimate used","")</f>
        <v/>
      </c>
      <c r="M44" s="254"/>
      <c r="N44" s="254"/>
      <c r="O44" s="254"/>
      <c r="P44" s="153"/>
    </row>
    <row r="45" spans="2:16" x14ac:dyDescent="0.3">
      <c r="B45" s="155"/>
      <c r="C45" s="156"/>
      <c r="D45" s="156"/>
      <c r="E45" s="156"/>
      <c r="F45" s="156"/>
      <c r="G45" s="156"/>
      <c r="H45" s="156"/>
      <c r="I45" s="156"/>
      <c r="J45" s="156"/>
      <c r="K45" s="156"/>
      <c r="L45" s="156"/>
      <c r="M45" s="156"/>
      <c r="N45" s="156"/>
      <c r="O45" s="156"/>
      <c r="P45" s="157"/>
    </row>
    <row r="48" spans="2:16" x14ac:dyDescent="0.3">
      <c r="B48" s="150" t="s">
        <v>696</v>
      </c>
      <c r="C48" s="238"/>
      <c r="D48" s="238"/>
      <c r="E48" s="238"/>
      <c r="F48" s="238"/>
      <c r="G48" s="238"/>
      <c r="H48" s="238"/>
      <c r="I48" s="238"/>
      <c r="J48" s="238"/>
      <c r="K48" s="238"/>
      <c r="L48" s="238"/>
      <c r="M48" s="238"/>
      <c r="N48" s="238"/>
      <c r="O48" s="238"/>
      <c r="P48" s="151"/>
    </row>
    <row r="49" spans="2:16" ht="15" thickBot="1" x14ac:dyDescent="0.35">
      <c r="B49" s="154"/>
      <c r="D49" s="350"/>
      <c r="E49" s="350"/>
      <c r="F49" s="350"/>
      <c r="G49" s="350"/>
      <c r="H49" s="350"/>
      <c r="I49" s="350"/>
      <c r="J49" s="350"/>
      <c r="K49" s="350"/>
      <c r="L49" s="350"/>
      <c r="M49" s="350"/>
      <c r="N49" s="350"/>
      <c r="O49" s="350"/>
      <c r="P49" s="153"/>
    </row>
    <row r="50" spans="2:16" ht="15" thickBot="1" x14ac:dyDescent="0.35">
      <c r="B50" s="154"/>
      <c r="C50" s="719"/>
      <c r="D50" s="720" t="s">
        <v>697</v>
      </c>
      <c r="E50" s="611" t="s">
        <v>698</v>
      </c>
      <c r="F50" s="735"/>
      <c r="G50" s="612" t="s">
        <v>698</v>
      </c>
      <c r="H50" s="613" t="s">
        <v>699</v>
      </c>
      <c r="I50" s="614" t="s">
        <v>700</v>
      </c>
      <c r="J50" s="615" t="s">
        <v>701</v>
      </c>
      <c r="K50" s="616" t="s">
        <v>702</v>
      </c>
      <c r="L50" s="724"/>
      <c r="M50" s="725"/>
      <c r="O50" s="350"/>
      <c r="P50" s="153"/>
    </row>
    <row r="51" spans="2:16" x14ac:dyDescent="0.3">
      <c r="B51" s="154"/>
      <c r="C51" s="726"/>
      <c r="D51" s="1037" t="s">
        <v>703</v>
      </c>
      <c r="E51" s="706">
        <v>1</v>
      </c>
      <c r="F51" s="634"/>
      <c r="G51" s="558">
        <f>F44*E51</f>
        <v>100</v>
      </c>
      <c r="H51" s="558">
        <f>G51-G55</f>
        <v>91.311999999999998</v>
      </c>
      <c r="I51" s="558">
        <f>H51-H55</f>
        <v>83.378813440000002</v>
      </c>
      <c r="J51" s="558">
        <f>I51-I55</f>
        <v>76.134862128332799</v>
      </c>
      <c r="K51" s="558">
        <f>J51-J55</f>
        <v>69.520265306623244</v>
      </c>
      <c r="M51" s="727"/>
      <c r="N51" t="s">
        <v>1158</v>
      </c>
      <c r="O51" s="297"/>
      <c r="P51" s="153"/>
    </row>
    <row r="52" spans="2:16" x14ac:dyDescent="0.3">
      <c r="B52" s="154"/>
      <c r="C52" s="728"/>
      <c r="D52" s="599" t="s">
        <v>1147</v>
      </c>
      <c r="E52" s="633"/>
      <c r="F52" s="297"/>
      <c r="G52" s="251">
        <f>G51*$E$52</f>
        <v>0</v>
      </c>
      <c r="H52" s="251">
        <f t="shared" ref="H52:K52" si="1">H51*$E$52</f>
        <v>0</v>
      </c>
      <c r="I52" s="251">
        <f t="shared" si="1"/>
        <v>0</v>
      </c>
      <c r="J52" s="251">
        <f t="shared" si="1"/>
        <v>0</v>
      </c>
      <c r="K52" s="251">
        <f t="shared" si="1"/>
        <v>0</v>
      </c>
      <c r="M52" s="727"/>
      <c r="O52" s="297"/>
      <c r="P52" s="153"/>
    </row>
    <row r="53" spans="2:16" x14ac:dyDescent="0.3">
      <c r="B53" s="154"/>
      <c r="C53" s="728"/>
      <c r="D53" s="599" t="s">
        <v>1148</v>
      </c>
      <c r="E53" s="633"/>
      <c r="F53" s="297"/>
      <c r="G53" s="251">
        <f>G51*$E$53</f>
        <v>0</v>
      </c>
      <c r="H53" s="251">
        <f t="shared" ref="H53:K53" si="2">H51*$E$53</f>
        <v>0</v>
      </c>
      <c r="I53" s="251">
        <f t="shared" si="2"/>
        <v>0</v>
      </c>
      <c r="J53" s="251">
        <f t="shared" si="2"/>
        <v>0</v>
      </c>
      <c r="K53" s="251">
        <f t="shared" si="2"/>
        <v>0</v>
      </c>
      <c r="M53" s="727"/>
      <c r="O53" s="297"/>
      <c r="P53" s="153"/>
    </row>
    <row r="54" spans="2:16" x14ac:dyDescent="0.3">
      <c r="B54" s="154"/>
      <c r="C54" s="728"/>
      <c r="D54" s="599"/>
      <c r="E54" s="617"/>
      <c r="F54" s="634" t="s">
        <v>1149</v>
      </c>
      <c r="G54" s="558">
        <f>SUM(G52:G53)</f>
        <v>0</v>
      </c>
      <c r="H54" s="558">
        <f t="shared" ref="H54:K54" si="3">SUM(H52:H53)</f>
        <v>0</v>
      </c>
      <c r="I54" s="558">
        <f t="shared" si="3"/>
        <v>0</v>
      </c>
      <c r="J54" s="558">
        <f t="shared" si="3"/>
        <v>0</v>
      </c>
      <c r="K54" s="558">
        <f t="shared" si="3"/>
        <v>0</v>
      </c>
      <c r="M54" s="727"/>
      <c r="O54" s="297"/>
      <c r="P54" s="153"/>
    </row>
    <row r="55" spans="2:16" x14ac:dyDescent="0.3">
      <c r="B55" s="154"/>
      <c r="C55" s="728"/>
      <c r="D55" s="599" t="s">
        <v>704</v>
      </c>
      <c r="E55" s="633">
        <f>0.724%*12</f>
        <v>8.6879999999999999E-2</v>
      </c>
      <c r="F55" s="297"/>
      <c r="G55" s="251">
        <f>$E$55*G51</f>
        <v>8.6880000000000006</v>
      </c>
      <c r="H55" s="251">
        <f t="shared" ref="H55:K55" si="4">$E$55*H51</f>
        <v>7.9331865599999993</v>
      </c>
      <c r="I55" s="251">
        <f t="shared" si="4"/>
        <v>7.2439513116671996</v>
      </c>
      <c r="J55" s="251">
        <f t="shared" si="4"/>
        <v>6.6145968217095534</v>
      </c>
      <c r="K55" s="251">
        <f t="shared" si="4"/>
        <v>6.0399206498394271</v>
      </c>
      <c r="M55" s="727"/>
      <c r="O55" s="297"/>
      <c r="P55" s="153"/>
    </row>
    <row r="56" spans="2:16" ht="18" customHeight="1" thickBot="1" x14ac:dyDescent="0.35">
      <c r="B56" s="154"/>
      <c r="C56" s="728"/>
      <c r="D56" s="599" t="s">
        <v>705</v>
      </c>
      <c r="E56" s="633">
        <v>8.5999999999999993E-2</v>
      </c>
      <c r="F56" s="297"/>
      <c r="G56" s="638">
        <f>$E$56*G55</f>
        <v>0.74716799999999994</v>
      </c>
      <c r="H56" s="638">
        <f t="shared" ref="H56:K56" si="5">$E$56*H55</f>
        <v>0.68225404415999991</v>
      </c>
      <c r="I56" s="638">
        <f t="shared" si="5"/>
        <v>0.62297981280337911</v>
      </c>
      <c r="J56" s="638">
        <f t="shared" si="5"/>
        <v>0.56885532666702154</v>
      </c>
      <c r="K56" s="638">
        <f t="shared" si="5"/>
        <v>0.51943317588619065</v>
      </c>
      <c r="M56" s="727"/>
      <c r="O56" s="297"/>
      <c r="P56" s="153"/>
    </row>
    <row r="57" spans="2:16" ht="15" thickBot="1" x14ac:dyDescent="0.35">
      <c r="B57" s="154"/>
      <c r="C57" s="728"/>
      <c r="E57" s="618"/>
      <c r="F57" s="634" t="s">
        <v>706</v>
      </c>
      <c r="G57" s="635">
        <f>SUM(G55:G56)</f>
        <v>9.4351680000000009</v>
      </c>
      <c r="H57" s="636">
        <f t="shared" ref="H57:K57" si="6">SUM(H55:H56)</f>
        <v>8.6154406041599998</v>
      </c>
      <c r="I57" s="636">
        <f t="shared" si="6"/>
        <v>7.8669311244705789</v>
      </c>
      <c r="J57" s="636">
        <f t="shared" si="6"/>
        <v>7.183452148376575</v>
      </c>
      <c r="K57" s="637">
        <f t="shared" si="6"/>
        <v>6.5593538257256174</v>
      </c>
      <c r="M57" s="727"/>
      <c r="O57" s="297"/>
      <c r="P57" s="153"/>
    </row>
    <row r="58" spans="2:16" ht="15" thickBot="1" x14ac:dyDescent="0.35">
      <c r="B58" s="154"/>
      <c r="C58" s="728"/>
      <c r="E58" s="618"/>
      <c r="F58" s="634"/>
      <c r="G58" s="634"/>
      <c r="H58" s="634"/>
      <c r="I58" s="634"/>
      <c r="J58" s="634"/>
      <c r="K58" s="634"/>
      <c r="M58" s="727"/>
      <c r="O58" s="297"/>
      <c r="P58" s="153"/>
    </row>
    <row r="59" spans="2:16" ht="15" thickBot="1" x14ac:dyDescent="0.35">
      <c r="B59" s="154"/>
      <c r="C59" s="728"/>
      <c r="D59" s="599" t="s">
        <v>1146</v>
      </c>
      <c r="E59" s="957"/>
      <c r="F59" s="634"/>
      <c r="G59" s="955">
        <f>$E$59*G54</f>
        <v>0</v>
      </c>
      <c r="H59" s="955">
        <f t="shared" ref="H59:K59" si="7">$E$59*H54</f>
        <v>0</v>
      </c>
      <c r="I59" s="955">
        <f t="shared" si="7"/>
        <v>0</v>
      </c>
      <c r="J59" s="955">
        <f t="shared" si="7"/>
        <v>0</v>
      </c>
      <c r="K59" s="955">
        <f t="shared" si="7"/>
        <v>0</v>
      </c>
      <c r="M59" s="727"/>
      <c r="N59" t="s">
        <v>1144</v>
      </c>
      <c r="O59" s="297"/>
      <c r="P59" s="153"/>
    </row>
    <row r="60" spans="2:16" x14ac:dyDescent="0.3">
      <c r="B60" s="154"/>
      <c r="C60" s="728"/>
      <c r="E60" s="618"/>
      <c r="F60" s="634"/>
      <c r="G60" s="634"/>
      <c r="H60" s="634"/>
      <c r="I60" s="634"/>
      <c r="J60" s="634"/>
      <c r="K60" s="634"/>
      <c r="M60" s="727"/>
      <c r="O60" s="297"/>
      <c r="P60" s="153"/>
    </row>
    <row r="61" spans="2:16" x14ac:dyDescent="0.3">
      <c r="B61" s="154"/>
      <c r="C61" s="726"/>
      <c r="D61" s="1037" t="s">
        <v>707</v>
      </c>
      <c r="E61" s="706">
        <v>0</v>
      </c>
      <c r="F61" s="634"/>
      <c r="G61" s="558">
        <f>F44*E61</f>
        <v>0</v>
      </c>
      <c r="H61" s="558">
        <f>G61-G65</f>
        <v>0</v>
      </c>
      <c r="I61" s="558">
        <f>H61-H65</f>
        <v>0</v>
      </c>
      <c r="J61" s="558">
        <f>I61-I65</f>
        <v>0</v>
      </c>
      <c r="K61" s="558">
        <f>J61-J65</f>
        <v>0</v>
      </c>
      <c r="M61" s="727"/>
      <c r="N61" t="s">
        <v>708</v>
      </c>
      <c r="O61" s="297"/>
      <c r="P61" s="153"/>
    </row>
    <row r="62" spans="2:16" x14ac:dyDescent="0.3">
      <c r="B62" s="154"/>
      <c r="C62" s="726"/>
      <c r="D62" s="599" t="s">
        <v>1147</v>
      </c>
      <c r="E62" s="633"/>
      <c r="F62" s="297"/>
      <c r="G62" s="251">
        <f>G61*$E$62</f>
        <v>0</v>
      </c>
      <c r="H62" s="251">
        <f t="shared" ref="H62:K62" si="8">H61*$E$62</f>
        <v>0</v>
      </c>
      <c r="I62" s="251">
        <f t="shared" si="8"/>
        <v>0</v>
      </c>
      <c r="J62" s="251">
        <f t="shared" si="8"/>
        <v>0</v>
      </c>
      <c r="K62" s="251">
        <f t="shared" si="8"/>
        <v>0</v>
      </c>
      <c r="M62" s="727"/>
      <c r="O62" s="297"/>
      <c r="P62" s="153"/>
    </row>
    <row r="63" spans="2:16" x14ac:dyDescent="0.3">
      <c r="B63" s="154"/>
      <c r="C63" s="726"/>
      <c r="D63" s="599" t="s">
        <v>1148</v>
      </c>
      <c r="E63" s="633"/>
      <c r="F63" s="297"/>
      <c r="G63" s="251">
        <f>G61*$E$63</f>
        <v>0</v>
      </c>
      <c r="H63" s="251">
        <f t="shared" ref="H63:K63" si="9">H61*$E$63</f>
        <v>0</v>
      </c>
      <c r="I63" s="251">
        <f t="shared" si="9"/>
        <v>0</v>
      </c>
      <c r="J63" s="251">
        <f t="shared" si="9"/>
        <v>0</v>
      </c>
      <c r="K63" s="251">
        <f t="shared" si="9"/>
        <v>0</v>
      </c>
      <c r="M63" s="727"/>
      <c r="O63" s="297"/>
      <c r="P63" s="153"/>
    </row>
    <row r="64" spans="2:16" x14ac:dyDescent="0.3">
      <c r="B64" s="154"/>
      <c r="C64" s="726"/>
      <c r="D64" s="599"/>
      <c r="E64" s="617"/>
      <c r="F64" s="634" t="s">
        <v>1149</v>
      </c>
      <c r="G64" s="558">
        <f>SUM(G62:G63)</f>
        <v>0</v>
      </c>
      <c r="H64" s="558">
        <f t="shared" ref="H64" si="10">SUM(H62:H63)</f>
        <v>0</v>
      </c>
      <c r="I64" s="558">
        <f t="shared" ref="I64" si="11">SUM(I62:I63)</f>
        <v>0</v>
      </c>
      <c r="J64" s="558">
        <f t="shared" ref="J64" si="12">SUM(J62:J63)</f>
        <v>0</v>
      </c>
      <c r="K64" s="558">
        <f t="shared" ref="K64" si="13">SUM(K62:K63)</f>
        <v>0</v>
      </c>
      <c r="M64" s="727"/>
      <c r="O64" s="297"/>
      <c r="P64" s="153"/>
    </row>
    <row r="65" spans="2:16" x14ac:dyDescent="0.3">
      <c r="B65" s="154"/>
      <c r="C65" s="728"/>
      <c r="D65" s="599" t="s">
        <v>704</v>
      </c>
      <c r="E65" s="633">
        <v>0.33</v>
      </c>
      <c r="F65" s="297"/>
      <c r="G65" s="251">
        <f>$E$77*G61</f>
        <v>0</v>
      </c>
      <c r="H65" s="251">
        <f t="shared" ref="H65:K65" si="14">$E$77*H61</f>
        <v>0</v>
      </c>
      <c r="I65" s="251">
        <f t="shared" si="14"/>
        <v>0</v>
      </c>
      <c r="J65" s="251">
        <f t="shared" si="14"/>
        <v>0</v>
      </c>
      <c r="K65" s="251">
        <f t="shared" si="14"/>
        <v>0</v>
      </c>
      <c r="M65" s="727"/>
      <c r="O65" s="297"/>
      <c r="P65" s="153"/>
    </row>
    <row r="66" spans="2:16" ht="15" thickBot="1" x14ac:dyDescent="0.35">
      <c r="B66" s="154"/>
      <c r="C66" s="728"/>
      <c r="D66" s="599" t="s">
        <v>705</v>
      </c>
      <c r="E66" s="956">
        <v>3.15E-2</v>
      </c>
      <c r="F66" s="297"/>
      <c r="G66" s="638">
        <f>$E$78*G65</f>
        <v>0</v>
      </c>
      <c r="H66" s="638">
        <f t="shared" ref="H66:K66" si="15">$E$78*H65</f>
        <v>0</v>
      </c>
      <c r="I66" s="638">
        <f t="shared" si="15"/>
        <v>0</v>
      </c>
      <c r="J66" s="638">
        <f t="shared" si="15"/>
        <v>0</v>
      </c>
      <c r="K66" s="638">
        <f t="shared" si="15"/>
        <v>0</v>
      </c>
      <c r="M66" s="727"/>
      <c r="O66" s="297"/>
      <c r="P66" s="153"/>
    </row>
    <row r="67" spans="2:16" ht="15" thickBot="1" x14ac:dyDescent="0.35">
      <c r="B67" s="154"/>
      <c r="C67" s="728"/>
      <c r="D67" s="599"/>
      <c r="E67" s="617"/>
      <c r="F67" s="634" t="s">
        <v>706</v>
      </c>
      <c r="G67" s="635">
        <f>SUM(G65:G66)</f>
        <v>0</v>
      </c>
      <c r="H67" s="635">
        <f t="shared" ref="H67:K67" si="16">SUM(H65:H66)</f>
        <v>0</v>
      </c>
      <c r="I67" s="635">
        <f t="shared" si="16"/>
        <v>0</v>
      </c>
      <c r="J67" s="635">
        <f t="shared" si="16"/>
        <v>0</v>
      </c>
      <c r="K67" s="635">
        <f t="shared" si="16"/>
        <v>0</v>
      </c>
      <c r="M67" s="727"/>
      <c r="O67" s="297"/>
      <c r="P67" s="153"/>
    </row>
    <row r="68" spans="2:16" ht="15" thickBot="1" x14ac:dyDescent="0.35">
      <c r="B68" s="154"/>
      <c r="C68" s="728"/>
      <c r="D68" s="599"/>
      <c r="E68" s="617"/>
      <c r="F68" s="297"/>
      <c r="G68" s="951"/>
      <c r="H68" s="952"/>
      <c r="I68" s="952"/>
      <c r="J68" s="952"/>
      <c r="K68" s="953"/>
      <c r="M68" s="727"/>
      <c r="O68" s="297"/>
      <c r="P68" s="153"/>
    </row>
    <row r="69" spans="2:16" ht="15" thickBot="1" x14ac:dyDescent="0.35">
      <c r="B69" s="154"/>
      <c r="C69" s="728"/>
      <c r="D69" s="599" t="s">
        <v>1146</v>
      </c>
      <c r="E69" s="1038"/>
      <c r="F69" s="634"/>
      <c r="G69" s="955">
        <f>$E$69*G64</f>
        <v>0</v>
      </c>
      <c r="H69" s="955">
        <f t="shared" ref="H69:K69" si="17">$E$69*H64</f>
        <v>0</v>
      </c>
      <c r="I69" s="955">
        <f t="shared" si="17"/>
        <v>0</v>
      </c>
      <c r="J69" s="955">
        <f t="shared" si="17"/>
        <v>0</v>
      </c>
      <c r="K69" s="955">
        <f t="shared" si="17"/>
        <v>0</v>
      </c>
      <c r="M69" s="727"/>
      <c r="N69" t="s">
        <v>1144</v>
      </c>
      <c r="O69" s="297"/>
      <c r="P69" s="153"/>
    </row>
    <row r="70" spans="2:16" ht="15" thickBot="1" x14ac:dyDescent="0.35">
      <c r="B70" s="154"/>
      <c r="C70" s="729"/>
      <c r="D70" s="730"/>
      <c r="E70" s="731"/>
      <c r="F70" s="954"/>
      <c r="G70" s="954"/>
      <c r="H70" s="954"/>
      <c r="I70" s="954"/>
      <c r="J70" s="954"/>
      <c r="K70" s="954"/>
      <c r="L70" s="733"/>
      <c r="M70" s="734"/>
      <c r="O70" s="297"/>
      <c r="P70" s="153"/>
    </row>
    <row r="71" spans="2:16" ht="15" thickBot="1" x14ac:dyDescent="0.35">
      <c r="B71" s="154"/>
      <c r="E71" s="618"/>
      <c r="F71" s="297"/>
      <c r="G71" s="634"/>
      <c r="H71" s="634"/>
      <c r="I71" s="634"/>
      <c r="J71" s="634"/>
      <c r="K71" s="634"/>
      <c r="O71" s="297"/>
      <c r="P71" s="153"/>
    </row>
    <row r="72" spans="2:16" x14ac:dyDescent="0.3">
      <c r="B72" s="154"/>
      <c r="C72" s="719"/>
      <c r="D72" s="720" t="s">
        <v>709</v>
      </c>
      <c r="E72" s="721"/>
      <c r="F72" s="722"/>
      <c r="G72" s="723"/>
      <c r="H72" s="723"/>
      <c r="I72" s="723"/>
      <c r="J72" s="723"/>
      <c r="K72" s="723"/>
      <c r="L72" s="724"/>
      <c r="M72" s="725"/>
      <c r="O72" s="297"/>
      <c r="P72" s="153"/>
    </row>
    <row r="73" spans="2:16" x14ac:dyDescent="0.3">
      <c r="B73" s="154"/>
      <c r="C73" s="726"/>
      <c r="D73" s="1037" t="s">
        <v>707</v>
      </c>
      <c r="E73" s="706">
        <v>1</v>
      </c>
      <c r="F73" s="634"/>
      <c r="G73" s="558">
        <f>F44*E73</f>
        <v>100</v>
      </c>
      <c r="H73" s="558">
        <f>G73-G77</f>
        <v>67</v>
      </c>
      <c r="I73" s="558">
        <f>H73-H77</f>
        <v>44.89</v>
      </c>
      <c r="J73" s="558">
        <f>I73-I77</f>
        <v>30.0763</v>
      </c>
      <c r="K73" s="558">
        <f>J73-J77</f>
        <v>20.151121</v>
      </c>
      <c r="M73" s="727"/>
      <c r="O73" s="297"/>
      <c r="P73" s="153"/>
    </row>
    <row r="74" spans="2:16" x14ac:dyDescent="0.3">
      <c r="B74" s="154"/>
      <c r="C74" s="726"/>
      <c r="D74" s="599" t="s">
        <v>1147</v>
      </c>
      <c r="E74" s="633"/>
      <c r="F74" s="297"/>
      <c r="G74" s="251">
        <f>G73*$E$74</f>
        <v>0</v>
      </c>
      <c r="H74" s="251">
        <f t="shared" ref="H74:K74" si="18">H73*$E$74</f>
        <v>0</v>
      </c>
      <c r="I74" s="251">
        <f t="shared" si="18"/>
        <v>0</v>
      </c>
      <c r="J74" s="251">
        <f t="shared" si="18"/>
        <v>0</v>
      </c>
      <c r="K74" s="251">
        <f t="shared" si="18"/>
        <v>0</v>
      </c>
      <c r="M74" s="727"/>
      <c r="O74" s="297"/>
      <c r="P74" s="153"/>
    </row>
    <row r="75" spans="2:16" x14ac:dyDescent="0.3">
      <c r="B75" s="154"/>
      <c r="C75" s="726"/>
      <c r="D75" s="599" t="s">
        <v>1148</v>
      </c>
      <c r="E75" s="633">
        <v>0.5</v>
      </c>
      <c r="F75" s="297"/>
      <c r="G75" s="251">
        <f>G73*$E$75</f>
        <v>50</v>
      </c>
      <c r="H75" s="251">
        <f t="shared" ref="H75:K75" si="19">H73*$E$75</f>
        <v>33.5</v>
      </c>
      <c r="I75" s="251">
        <f t="shared" si="19"/>
        <v>22.445</v>
      </c>
      <c r="J75" s="251">
        <f t="shared" si="19"/>
        <v>15.03815</v>
      </c>
      <c r="K75" s="251">
        <f t="shared" si="19"/>
        <v>10.0755605</v>
      </c>
      <c r="M75" s="727"/>
      <c r="O75" s="297"/>
      <c r="P75" s="153"/>
    </row>
    <row r="76" spans="2:16" x14ac:dyDescent="0.3">
      <c r="B76" s="154"/>
      <c r="C76" s="726"/>
      <c r="D76" s="599"/>
      <c r="E76" s="617"/>
      <c r="F76" s="634" t="s">
        <v>1149</v>
      </c>
      <c r="G76" s="558">
        <f>SUM(G74:G75)</f>
        <v>50</v>
      </c>
      <c r="H76" s="558">
        <f t="shared" ref="H76" si="20">SUM(H74:H75)</f>
        <v>33.5</v>
      </c>
      <c r="I76" s="558">
        <f t="shared" ref="I76" si="21">SUM(I74:I75)</f>
        <v>22.445</v>
      </c>
      <c r="J76" s="558">
        <f t="shared" ref="J76" si="22">SUM(J74:J75)</f>
        <v>15.03815</v>
      </c>
      <c r="K76" s="558">
        <f t="shared" ref="K76" si="23">SUM(K74:K75)</f>
        <v>10.0755605</v>
      </c>
      <c r="M76" s="727"/>
      <c r="O76" s="297"/>
      <c r="P76" s="153"/>
    </row>
    <row r="77" spans="2:16" x14ac:dyDescent="0.3">
      <c r="B77" s="154"/>
      <c r="C77" s="728"/>
      <c r="D77" s="599" t="s">
        <v>704</v>
      </c>
      <c r="E77" s="633">
        <v>0.33</v>
      </c>
      <c r="F77" s="297"/>
      <c r="G77" s="251">
        <f>$E$77*G73</f>
        <v>33</v>
      </c>
      <c r="H77" s="251">
        <f t="shared" ref="H77:K77" si="24">$E$77*H73</f>
        <v>22.11</v>
      </c>
      <c r="I77" s="251">
        <f t="shared" si="24"/>
        <v>14.813700000000001</v>
      </c>
      <c r="J77" s="251">
        <f t="shared" si="24"/>
        <v>9.925179</v>
      </c>
      <c r="K77" s="251">
        <f t="shared" si="24"/>
        <v>6.6498699300000004</v>
      </c>
      <c r="M77" s="727"/>
      <c r="O77" s="297"/>
      <c r="P77" s="153"/>
    </row>
    <row r="78" spans="2:16" ht="15" thickBot="1" x14ac:dyDescent="0.35">
      <c r="B78" s="154"/>
      <c r="C78" s="728"/>
      <c r="D78" s="599" t="s">
        <v>705</v>
      </c>
      <c r="E78" s="633">
        <v>3.15E-2</v>
      </c>
      <c r="F78" s="297"/>
      <c r="G78" s="638">
        <f>$E$78*G77</f>
        <v>1.0395000000000001</v>
      </c>
      <c r="H78" s="638">
        <f t="shared" ref="H78:K78" si="25">$E$78*H77</f>
        <v>0.696465</v>
      </c>
      <c r="I78" s="638">
        <f t="shared" si="25"/>
        <v>0.46663155000000001</v>
      </c>
      <c r="J78" s="638">
        <f t="shared" si="25"/>
        <v>0.31264313850000003</v>
      </c>
      <c r="K78" s="638">
        <f t="shared" si="25"/>
        <v>0.20947090279500002</v>
      </c>
      <c r="M78" s="727"/>
      <c r="O78" s="297"/>
      <c r="P78" s="553"/>
    </row>
    <row r="79" spans="2:16" ht="15" thickBot="1" x14ac:dyDescent="0.35">
      <c r="B79" s="154"/>
      <c r="C79" s="728"/>
      <c r="D79" s="599"/>
      <c r="E79" s="617"/>
      <c r="F79" s="634" t="s">
        <v>706</v>
      </c>
      <c r="G79" s="635">
        <f>SUM(G77:G78)</f>
        <v>34.039499999999997</v>
      </c>
      <c r="H79" s="635">
        <f t="shared" ref="H79:K79" si="26">SUM(H77:H78)</f>
        <v>22.806464999999999</v>
      </c>
      <c r="I79" s="635">
        <f t="shared" si="26"/>
        <v>15.280331550000001</v>
      </c>
      <c r="J79" s="635">
        <f t="shared" si="26"/>
        <v>10.2378221385</v>
      </c>
      <c r="K79" s="635">
        <f t="shared" si="26"/>
        <v>6.8593408327950005</v>
      </c>
      <c r="M79" s="727"/>
      <c r="O79" s="297"/>
      <c r="P79" s="553"/>
    </row>
    <row r="80" spans="2:16" ht="15" thickBot="1" x14ac:dyDescent="0.35">
      <c r="B80" s="154"/>
      <c r="C80" s="728"/>
      <c r="D80" s="599"/>
      <c r="E80" s="617"/>
      <c r="F80" s="297"/>
      <c r="G80" s="297"/>
      <c r="H80" s="297"/>
      <c r="I80" s="297"/>
      <c r="J80" s="297"/>
      <c r="K80" s="297"/>
      <c r="M80" s="727"/>
      <c r="O80" s="297"/>
      <c r="P80" s="553"/>
    </row>
    <row r="81" spans="2:16" ht="15" thickBot="1" x14ac:dyDescent="0.35">
      <c r="B81" s="154"/>
      <c r="C81" s="728"/>
      <c r="D81" s="599" t="s">
        <v>1146</v>
      </c>
      <c r="E81" s="1038"/>
      <c r="F81" s="634"/>
      <c r="G81" s="955">
        <f>$E$81*G76</f>
        <v>0</v>
      </c>
      <c r="H81" s="955">
        <f t="shared" ref="H81:K81" si="27">$E$81*H76</f>
        <v>0</v>
      </c>
      <c r="I81" s="955">
        <f t="shared" si="27"/>
        <v>0</v>
      </c>
      <c r="J81" s="955">
        <f t="shared" si="27"/>
        <v>0</v>
      </c>
      <c r="K81" s="955">
        <f t="shared" si="27"/>
        <v>0</v>
      </c>
      <c r="M81" s="727"/>
      <c r="N81" t="s">
        <v>1144</v>
      </c>
      <c r="O81" s="297"/>
      <c r="P81" s="553"/>
    </row>
    <row r="82" spans="2:16" ht="15" thickBot="1" x14ac:dyDescent="0.35">
      <c r="B82" s="154"/>
      <c r="C82" s="729"/>
      <c r="D82" s="730"/>
      <c r="E82" s="731"/>
      <c r="F82" s="732"/>
      <c r="G82" s="732"/>
      <c r="H82" s="732"/>
      <c r="I82" s="732"/>
      <c r="J82" s="732"/>
      <c r="K82" s="732"/>
      <c r="L82" s="733"/>
      <c r="M82" s="734"/>
      <c r="O82" s="297"/>
      <c r="P82" s="153"/>
    </row>
    <row r="83" spans="2:16" x14ac:dyDescent="0.3">
      <c r="B83" s="154"/>
      <c r="D83" s="599"/>
      <c r="E83" s="617"/>
      <c r="F83" s="297"/>
      <c r="G83" s="297"/>
      <c r="H83" s="297"/>
      <c r="I83" s="297"/>
      <c r="J83" s="297"/>
      <c r="K83" s="297"/>
      <c r="O83" s="297"/>
      <c r="P83" s="153"/>
    </row>
    <row r="84" spans="2:16" x14ac:dyDescent="0.3">
      <c r="B84" s="154"/>
      <c r="C84" s="147" t="s">
        <v>710</v>
      </c>
      <c r="E84" s="618"/>
      <c r="F84" s="618"/>
      <c r="G84" s="618"/>
      <c r="H84" s="618"/>
      <c r="I84" s="618"/>
      <c r="J84" s="618"/>
      <c r="K84" s="233"/>
      <c r="M84" s="233"/>
      <c r="P84" s="153"/>
    </row>
    <row r="85" spans="2:16" x14ac:dyDescent="0.3">
      <c r="B85" s="154"/>
      <c r="C85" t="s">
        <v>711</v>
      </c>
      <c r="E85" s="618"/>
      <c r="F85" s="618"/>
      <c r="G85" s="618"/>
      <c r="H85" s="618"/>
      <c r="I85" s="618"/>
      <c r="J85" s="618"/>
      <c r="P85" s="153"/>
    </row>
    <row r="86" spans="2:16" x14ac:dyDescent="0.3">
      <c r="B86" s="154"/>
      <c r="C86" t="s">
        <v>712</v>
      </c>
      <c r="E86" s="618"/>
      <c r="F86" s="618"/>
      <c r="G86" s="618"/>
      <c r="H86" s="618"/>
      <c r="I86" s="618"/>
      <c r="J86" s="618"/>
      <c r="N86" s="233"/>
      <c r="P86" s="153"/>
    </row>
    <row r="87" spans="2:16" x14ac:dyDescent="0.3">
      <c r="B87" s="155"/>
      <c r="C87" s="156"/>
      <c r="D87" s="156"/>
      <c r="E87" s="156"/>
      <c r="F87" s="156"/>
      <c r="G87" s="156"/>
      <c r="H87" s="156"/>
      <c r="I87" s="156"/>
      <c r="J87" s="156"/>
      <c r="K87" s="156"/>
      <c r="L87" s="156"/>
      <c r="M87" s="156"/>
      <c r="N87" s="156"/>
      <c r="O87" s="156"/>
      <c r="P87" s="157"/>
    </row>
    <row r="88" spans="2:16" x14ac:dyDescent="0.3">
      <c r="D88" s="181"/>
      <c r="K88" s="181"/>
    </row>
    <row r="89" spans="2:16" x14ac:dyDescent="0.3">
      <c r="B89" s="150" t="s">
        <v>713</v>
      </c>
      <c r="C89" s="238"/>
      <c r="D89" s="238"/>
      <c r="E89" s="238"/>
      <c r="F89" s="238"/>
      <c r="G89" s="238"/>
      <c r="H89" s="238"/>
      <c r="I89" s="238"/>
      <c r="J89" s="238"/>
      <c r="K89" s="238"/>
      <c r="L89" s="238"/>
      <c r="M89" s="238"/>
      <c r="N89" s="238"/>
      <c r="O89" s="238"/>
      <c r="P89" s="151"/>
    </row>
    <row r="90" spans="2:16" x14ac:dyDescent="0.3">
      <c r="B90" s="154" t="s">
        <v>714</v>
      </c>
      <c r="P90" s="153"/>
    </row>
    <row r="91" spans="2:16" x14ac:dyDescent="0.3">
      <c r="B91" s="154" t="s">
        <v>715</v>
      </c>
      <c r="P91" s="153"/>
    </row>
    <row r="92" spans="2:16" x14ac:dyDescent="0.3">
      <c r="B92" s="154" t="s">
        <v>716</v>
      </c>
      <c r="P92" s="153"/>
    </row>
    <row r="93" spans="2:16" x14ac:dyDescent="0.3">
      <c r="B93" s="154"/>
      <c r="P93" s="153"/>
    </row>
    <row r="94" spans="2:16" x14ac:dyDescent="0.3">
      <c r="B94" s="154"/>
      <c r="C94" s="619"/>
      <c r="D94" s="620"/>
      <c r="E94" s="620"/>
      <c r="F94" s="620"/>
      <c r="P94" s="153"/>
    </row>
    <row r="95" spans="2:16" ht="43.35" customHeight="1" x14ac:dyDescent="0.3">
      <c r="B95" s="154"/>
      <c r="C95" s="277" t="s">
        <v>717</v>
      </c>
      <c r="D95" s="277" t="s">
        <v>718</v>
      </c>
      <c r="E95" s="277" t="s">
        <v>719</v>
      </c>
      <c r="F95" s="545" t="s">
        <v>720</v>
      </c>
      <c r="G95" s="546" t="s">
        <v>721</v>
      </c>
      <c r="H95" s="277" t="s">
        <v>722</v>
      </c>
      <c r="I95" s="277" t="s">
        <v>723</v>
      </c>
      <c r="J95" s="277" t="s">
        <v>724</v>
      </c>
      <c r="P95" s="153"/>
    </row>
    <row r="96" spans="2:16" ht="35.1" customHeight="1" x14ac:dyDescent="0.3">
      <c r="B96" s="154"/>
      <c r="C96" s="968" t="s">
        <v>1127</v>
      </c>
      <c r="D96" s="158" t="s">
        <v>726</v>
      </c>
      <c r="E96" s="609" t="s">
        <v>727</v>
      </c>
      <c r="F96" s="949"/>
      <c r="G96" s="965"/>
      <c r="H96" s="158"/>
      <c r="I96" s="158"/>
      <c r="J96" s="158"/>
      <c r="P96" s="153"/>
    </row>
    <row r="97" spans="2:16" ht="35.1" customHeight="1" x14ac:dyDescent="0.3">
      <c r="B97" s="154"/>
      <c r="C97" s="968" t="s">
        <v>1130</v>
      </c>
      <c r="D97" s="158" t="s">
        <v>729</v>
      </c>
      <c r="E97" s="609" t="s">
        <v>1097</v>
      </c>
      <c r="F97" s="949"/>
      <c r="G97" s="965"/>
      <c r="H97" s="908" t="s">
        <v>930</v>
      </c>
      <c r="I97" s="623">
        <f>IFERROR(VLOOKUP(H97,payscales!B12:K47,10,0),0)</f>
        <v>45.94</v>
      </c>
      <c r="J97" s="623">
        <f>I97/60*G97</f>
        <v>0</v>
      </c>
      <c r="P97" s="153"/>
    </row>
    <row r="98" spans="2:16" ht="35.1" customHeight="1" x14ac:dyDescent="0.3">
      <c r="B98" s="154"/>
      <c r="C98" s="968" t="s">
        <v>1131</v>
      </c>
      <c r="D98" s="158" t="s">
        <v>726</v>
      </c>
      <c r="E98" s="609" t="s">
        <v>727</v>
      </c>
      <c r="F98" s="966"/>
      <c r="G98" s="967"/>
      <c r="H98" s="158"/>
      <c r="I98" s="158"/>
      <c r="J98" s="158"/>
      <c r="P98" s="153"/>
    </row>
    <row r="99" spans="2:16" ht="35.1" customHeight="1" x14ac:dyDescent="0.3">
      <c r="B99" s="154"/>
      <c r="C99" s="968" t="s">
        <v>1132</v>
      </c>
      <c r="D99" s="158" t="s">
        <v>729</v>
      </c>
      <c r="E99" s="609" t="s">
        <v>1097</v>
      </c>
      <c r="F99" s="949"/>
      <c r="G99" s="907"/>
      <c r="H99" s="908" t="s">
        <v>930</v>
      </c>
      <c r="I99" s="623">
        <f>IFERROR(VLOOKUP(H99,payscales!B14:K49,10,0),0)</f>
        <v>45.94</v>
      </c>
      <c r="J99" s="623">
        <f>I99/60*G99</f>
        <v>0</v>
      </c>
      <c r="P99" s="153"/>
    </row>
    <row r="100" spans="2:16" ht="35.1" customHeight="1" x14ac:dyDescent="0.3">
      <c r="B100" s="154"/>
      <c r="C100" s="969" t="s">
        <v>1127</v>
      </c>
      <c r="D100" s="158" t="s">
        <v>726</v>
      </c>
      <c r="E100" s="609" t="s">
        <v>727</v>
      </c>
      <c r="F100" s="907"/>
      <c r="G100" s="950"/>
      <c r="H100" s="158"/>
      <c r="I100" s="158"/>
      <c r="J100" s="158"/>
      <c r="P100" s="153"/>
    </row>
    <row r="101" spans="2:16" ht="35.1" customHeight="1" x14ac:dyDescent="0.3">
      <c r="B101" s="154"/>
      <c r="C101" s="969" t="s">
        <v>1130</v>
      </c>
      <c r="D101" s="158" t="s">
        <v>729</v>
      </c>
      <c r="E101" s="609" t="s">
        <v>1097</v>
      </c>
      <c r="F101" s="907"/>
      <c r="G101" s="950"/>
      <c r="H101" s="908" t="s">
        <v>930</v>
      </c>
      <c r="I101" s="623">
        <f>IFERROR(VLOOKUP(H101,payscales!B16:K51,10,0),0)</f>
        <v>45.94</v>
      </c>
      <c r="J101" s="623">
        <f>I101/60*F101</f>
        <v>0</v>
      </c>
      <c r="P101" s="153"/>
    </row>
    <row r="102" spans="2:16" ht="35.1" customHeight="1" x14ac:dyDescent="0.3">
      <c r="B102" s="154"/>
      <c r="C102" s="969" t="s">
        <v>1131</v>
      </c>
      <c r="D102" s="158" t="s">
        <v>726</v>
      </c>
      <c r="E102" s="609" t="s">
        <v>727</v>
      </c>
      <c r="F102" s="907"/>
      <c r="G102" s="950"/>
      <c r="H102" s="158"/>
      <c r="I102" s="158"/>
      <c r="J102" s="158"/>
      <c r="P102" s="153"/>
    </row>
    <row r="103" spans="2:16" ht="35.1" customHeight="1" x14ac:dyDescent="0.3">
      <c r="B103" s="154"/>
      <c r="C103" s="969" t="s">
        <v>1132</v>
      </c>
      <c r="D103" s="158" t="s">
        <v>729</v>
      </c>
      <c r="E103" s="609" t="s">
        <v>1097</v>
      </c>
      <c r="F103" s="907"/>
      <c r="G103" s="950"/>
      <c r="H103" s="908" t="s">
        <v>930</v>
      </c>
      <c r="I103" s="623">
        <f>IFERROR(VLOOKUP(H103,payscales!B18:K53,10,0),0)</f>
        <v>45.94</v>
      </c>
      <c r="J103" s="623">
        <f>I103/60*F103</f>
        <v>0</v>
      </c>
      <c r="P103" s="153"/>
    </row>
    <row r="104" spans="2:16" ht="35.1" customHeight="1" x14ac:dyDescent="0.3">
      <c r="B104" s="154"/>
      <c r="C104" s="800" t="s">
        <v>725</v>
      </c>
      <c r="D104" s="158" t="s">
        <v>726</v>
      </c>
      <c r="E104" s="609" t="s">
        <v>727</v>
      </c>
      <c r="F104" s="895"/>
      <c r="G104" s="965"/>
      <c r="H104" s="158"/>
      <c r="I104" s="701"/>
      <c r="J104" s="701"/>
      <c r="P104" s="153"/>
    </row>
    <row r="105" spans="2:16" ht="35.1" customHeight="1" x14ac:dyDescent="0.3">
      <c r="B105" s="154"/>
      <c r="C105" s="800" t="s">
        <v>728</v>
      </c>
      <c r="D105" s="158" t="s">
        <v>729</v>
      </c>
      <c r="E105" s="609" t="s">
        <v>1097</v>
      </c>
      <c r="F105" s="895"/>
      <c r="G105" s="965"/>
      <c r="H105" s="908" t="s">
        <v>930</v>
      </c>
      <c r="I105" s="623">
        <f>IFERROR(VLOOKUP(H105,payscales!B16:K51,10,0),0)</f>
        <v>45.94</v>
      </c>
      <c r="J105" s="623">
        <f>I105/60*G105</f>
        <v>0</v>
      </c>
      <c r="P105" s="153"/>
    </row>
    <row r="106" spans="2:16" ht="35.1" customHeight="1" x14ac:dyDescent="0.3">
      <c r="B106" s="154"/>
      <c r="C106" s="800" t="s">
        <v>1098</v>
      </c>
      <c r="D106" s="158" t="s">
        <v>726</v>
      </c>
      <c r="E106" s="609" t="s">
        <v>727</v>
      </c>
      <c r="F106" s="895"/>
      <c r="G106" s="906"/>
      <c r="H106" s="158"/>
      <c r="I106" s="701"/>
      <c r="J106" s="701"/>
      <c r="P106" s="153"/>
    </row>
    <row r="107" spans="2:16" ht="35.1" customHeight="1" x14ac:dyDescent="0.3">
      <c r="B107" s="154"/>
      <c r="C107" s="800" t="s">
        <v>732</v>
      </c>
      <c r="D107" s="158" t="s">
        <v>729</v>
      </c>
      <c r="E107" s="609" t="s">
        <v>1097</v>
      </c>
      <c r="F107" s="898"/>
      <c r="G107" s="906"/>
      <c r="H107" s="908" t="s">
        <v>930</v>
      </c>
      <c r="I107" s="623">
        <f>IFERROR(VLOOKUP(H107,payscales!B18:K53,10,0),0)</f>
        <v>45.94</v>
      </c>
      <c r="J107" s="623">
        <f>I107/60*G107</f>
        <v>0</v>
      </c>
      <c r="P107" s="153"/>
    </row>
    <row r="108" spans="2:16" ht="35.1" customHeight="1" x14ac:dyDescent="0.3">
      <c r="B108" s="154"/>
      <c r="C108" s="894" t="s">
        <v>725</v>
      </c>
      <c r="D108" s="158" t="s">
        <v>726</v>
      </c>
      <c r="E108" s="609" t="s">
        <v>727</v>
      </c>
      <c r="F108" s="907"/>
      <c r="G108" s="896"/>
      <c r="H108" s="158"/>
      <c r="I108" s="158"/>
      <c r="J108" s="909"/>
      <c r="P108" s="153"/>
    </row>
    <row r="109" spans="2:16" ht="35.1" customHeight="1" x14ac:dyDescent="0.3">
      <c r="B109" s="154"/>
      <c r="C109" s="894" t="s">
        <v>728</v>
      </c>
      <c r="D109" s="158" t="s">
        <v>729</v>
      </c>
      <c r="E109" s="609" t="s">
        <v>1097</v>
      </c>
      <c r="F109" s="907"/>
      <c r="G109" s="897"/>
      <c r="H109" s="908" t="s">
        <v>930</v>
      </c>
      <c r="I109" s="623">
        <f>IFERROR(VLOOKUP(H109,payscales!B20:K55,10,0),0)</f>
        <v>45.94</v>
      </c>
      <c r="J109" s="623">
        <f>I109/60*F109</f>
        <v>0</v>
      </c>
      <c r="P109" s="153"/>
    </row>
    <row r="110" spans="2:16" ht="35.1" customHeight="1" x14ac:dyDescent="0.3">
      <c r="B110" s="154"/>
      <c r="C110" s="894" t="s">
        <v>731</v>
      </c>
      <c r="D110" s="158" t="s">
        <v>726</v>
      </c>
      <c r="E110" s="609" t="s">
        <v>727</v>
      </c>
      <c r="F110" s="907"/>
      <c r="G110" s="897"/>
      <c r="H110" s="158"/>
      <c r="I110" s="701"/>
      <c r="J110" s="701"/>
      <c r="P110" s="153"/>
    </row>
    <row r="111" spans="2:16" ht="35.1" customHeight="1" x14ac:dyDescent="0.3">
      <c r="B111" s="154"/>
      <c r="C111" s="894" t="s">
        <v>732</v>
      </c>
      <c r="D111" s="158" t="s">
        <v>729</v>
      </c>
      <c r="E111" s="609" t="s">
        <v>1097</v>
      </c>
      <c r="F111" s="907"/>
      <c r="G111" s="898"/>
      <c r="H111" s="908" t="s">
        <v>930</v>
      </c>
      <c r="I111" s="623">
        <f>IFERROR(VLOOKUP(H111,payscales!B22:K57,10,0),0)</f>
        <v>45.94</v>
      </c>
      <c r="J111" s="623">
        <f>I111/60*F111</f>
        <v>0</v>
      </c>
      <c r="P111" s="153"/>
    </row>
    <row r="112" spans="2:16" ht="35.1" customHeight="1" x14ac:dyDescent="0.3">
      <c r="B112" s="154"/>
      <c r="C112" s="621" t="s">
        <v>733</v>
      </c>
      <c r="D112" s="158" t="s">
        <v>726</v>
      </c>
      <c r="E112" s="609" t="s">
        <v>727</v>
      </c>
      <c r="F112" s="622"/>
      <c r="G112" s="622"/>
      <c r="H112" s="158"/>
      <c r="I112" s="701"/>
      <c r="J112" s="701"/>
      <c r="P112" s="153"/>
    </row>
    <row r="113" spans="2:16" ht="35.1" customHeight="1" x14ac:dyDescent="0.3">
      <c r="B113" s="154"/>
      <c r="C113" s="621" t="s">
        <v>733</v>
      </c>
      <c r="D113" s="158" t="s">
        <v>729</v>
      </c>
      <c r="E113" s="609" t="s">
        <v>1097</v>
      </c>
      <c r="F113" s="622"/>
      <c r="G113" s="622"/>
      <c r="H113" s="908" t="s">
        <v>947</v>
      </c>
      <c r="I113" s="623">
        <f>IFERROR(VLOOKUP(H113,payscales!B24:K59,10,0),0)</f>
        <v>139.46</v>
      </c>
      <c r="J113" s="623">
        <f>I113/60*F113</f>
        <v>0</v>
      </c>
      <c r="P113" s="153"/>
    </row>
    <row r="114" spans="2:16" ht="35.1" customHeight="1" x14ac:dyDescent="0.3">
      <c r="B114" s="154"/>
      <c r="C114" s="624" t="s">
        <v>735</v>
      </c>
      <c r="D114" s="158" t="s">
        <v>726</v>
      </c>
      <c r="E114" s="609" t="s">
        <v>727</v>
      </c>
      <c r="F114" s="622"/>
      <c r="G114" s="622"/>
      <c r="H114" s="158"/>
      <c r="I114" s="701"/>
      <c r="J114" s="701"/>
      <c r="P114" s="153"/>
    </row>
    <row r="115" spans="2:16" ht="35.1" customHeight="1" x14ac:dyDescent="0.3">
      <c r="B115" s="154"/>
      <c r="C115" s="624" t="s">
        <v>735</v>
      </c>
      <c r="D115" s="158" t="s">
        <v>729</v>
      </c>
      <c r="E115" s="609" t="s">
        <v>1097</v>
      </c>
      <c r="F115" s="626"/>
      <c r="G115" s="622"/>
      <c r="H115" s="908" t="s">
        <v>947</v>
      </c>
      <c r="I115" s="623">
        <f>IFERROR(VLOOKUP(H115,payscales!B26:K61,10,0),0)</f>
        <v>139.46</v>
      </c>
      <c r="J115" s="623">
        <f>I115/60*F115</f>
        <v>0</v>
      </c>
      <c r="P115" s="153"/>
    </row>
    <row r="116" spans="2:16" ht="35.1" customHeight="1" x14ac:dyDescent="0.3">
      <c r="B116" s="154"/>
      <c r="C116" s="625" t="s">
        <v>736</v>
      </c>
      <c r="D116" s="158" t="s">
        <v>737</v>
      </c>
      <c r="E116" s="158" t="s">
        <v>738</v>
      </c>
      <c r="F116" s="626"/>
      <c r="G116" s="622"/>
      <c r="H116" s="158"/>
      <c r="I116" s="701"/>
      <c r="J116" s="701"/>
      <c r="P116" s="153"/>
    </row>
    <row r="117" spans="2:16" ht="35.1" customHeight="1" x14ac:dyDescent="0.3">
      <c r="B117" s="154"/>
      <c r="C117" s="625" t="s">
        <v>736</v>
      </c>
      <c r="D117" s="158" t="s">
        <v>729</v>
      </c>
      <c r="E117" s="609" t="s">
        <v>1097</v>
      </c>
      <c r="F117" s="626"/>
      <c r="G117" s="626"/>
      <c r="H117" s="908" t="s">
        <v>1126</v>
      </c>
      <c r="I117" s="623">
        <f>IFERROR(VLOOKUP(H117,payscales!B28:K63,10,0),0)</f>
        <v>95.22</v>
      </c>
      <c r="J117" s="623">
        <f>I117/60*F117</f>
        <v>0</v>
      </c>
      <c r="P117" s="153"/>
    </row>
    <row r="118" spans="2:16" ht="44.1" customHeight="1" x14ac:dyDescent="0.3">
      <c r="B118" s="154"/>
      <c r="C118" s="736" t="s">
        <v>739</v>
      </c>
      <c r="D118" s="158" t="s">
        <v>737</v>
      </c>
      <c r="E118" s="158" t="s">
        <v>738</v>
      </c>
      <c r="F118" s="691">
        <f>VLOOKUP($E$12,'ICB COSTING'!$A$2:$T$44,13,0)</f>
        <v>3.5309523809523804</v>
      </c>
      <c r="G118" s="691">
        <f>VLOOKUP($E$12,'ICB COSTING'!$A$2:$T$44,13,0)</f>
        <v>3.5309523809523804</v>
      </c>
      <c r="H118" s="158"/>
      <c r="I118" s="701"/>
      <c r="J118" s="701"/>
      <c r="P118" s="153"/>
    </row>
    <row r="119" spans="2:16" x14ac:dyDescent="0.3">
      <c r="B119" s="154"/>
      <c r="C119" s="522" t="s">
        <v>740</v>
      </c>
      <c r="D119" s="599"/>
      <c r="P119" s="153"/>
    </row>
    <row r="120" spans="2:16" x14ac:dyDescent="0.3">
      <c r="B120" s="154"/>
      <c r="C120" t="s">
        <v>741</v>
      </c>
      <c r="D120" s="599"/>
      <c r="P120" s="153"/>
    </row>
    <row r="121" spans="2:16" x14ac:dyDescent="0.3">
      <c r="B121" s="154"/>
      <c r="C121" s="177" t="s">
        <v>742</v>
      </c>
      <c r="D121" s="599"/>
      <c r="P121" s="153"/>
    </row>
    <row r="122" spans="2:16" x14ac:dyDescent="0.3">
      <c r="B122" s="154"/>
      <c r="C122" t="s">
        <v>743</v>
      </c>
      <c r="D122" s="599"/>
      <c r="P122" s="153"/>
    </row>
    <row r="123" spans="2:16" x14ac:dyDescent="0.3">
      <c r="B123" s="154"/>
      <c r="C123" t="s">
        <v>744</v>
      </c>
      <c r="D123" s="599"/>
      <c r="P123" s="153"/>
    </row>
    <row r="124" spans="2:16" x14ac:dyDescent="0.3">
      <c r="B124" s="154"/>
      <c r="C124" s="627" t="s">
        <v>745</v>
      </c>
      <c r="D124" s="599"/>
      <c r="P124" s="153"/>
    </row>
    <row r="125" spans="2:16" x14ac:dyDescent="0.3">
      <c r="B125" s="154"/>
      <c r="C125" s="627" t="s">
        <v>746</v>
      </c>
      <c r="D125" s="599"/>
      <c r="P125" s="153"/>
    </row>
    <row r="126" spans="2:16" x14ac:dyDescent="0.3">
      <c r="B126" s="154"/>
      <c r="C126" s="628" t="s">
        <v>747</v>
      </c>
      <c r="D126" s="599"/>
      <c r="P126" s="153"/>
    </row>
    <row r="127" spans="2:16" x14ac:dyDescent="0.3">
      <c r="B127" s="154"/>
      <c r="C127" t="s">
        <v>748</v>
      </c>
      <c r="D127" s="599"/>
      <c r="P127" s="153"/>
    </row>
    <row r="128" spans="2:16" x14ac:dyDescent="0.3">
      <c r="B128" s="154"/>
      <c r="D128" s="599"/>
      <c r="P128" s="153"/>
    </row>
    <row r="129" spans="2:16" x14ac:dyDescent="0.3">
      <c r="B129" s="155"/>
      <c r="C129" s="156"/>
      <c r="D129" s="629"/>
      <c r="E129" s="629"/>
      <c r="F129" s="629"/>
      <c r="G129" s="629"/>
      <c r="H129" s="156"/>
      <c r="I129" s="156"/>
      <c r="J129" s="156"/>
      <c r="K129" s="156"/>
      <c r="L129" s="156"/>
      <c r="M129" s="156"/>
      <c r="N129" s="156"/>
      <c r="O129" s="156"/>
      <c r="P129" s="157"/>
    </row>
    <row r="130" spans="2:16" x14ac:dyDescent="0.3">
      <c r="D130" s="599"/>
      <c r="E130" s="599"/>
      <c r="F130" s="599"/>
      <c r="G130" s="599"/>
    </row>
    <row r="131" spans="2:16" x14ac:dyDescent="0.3">
      <c r="B131" s="274" t="s">
        <v>749</v>
      </c>
      <c r="C131" s="273"/>
      <c r="D131" s="273"/>
      <c r="E131" s="273"/>
      <c r="F131" s="273"/>
      <c r="G131" s="273"/>
      <c r="H131" s="273"/>
      <c r="I131" s="273"/>
      <c r="J131" s="273"/>
      <c r="K131" s="273"/>
      <c r="L131" s="273"/>
      <c r="M131" s="273"/>
      <c r="N131" s="273"/>
      <c r="O131" s="273"/>
      <c r="P131" s="192"/>
    </row>
    <row r="132" spans="2:16" x14ac:dyDescent="0.3">
      <c r="B132" s="196"/>
      <c r="C132" s="189"/>
      <c r="D132" s="189"/>
      <c r="E132" s="189"/>
      <c r="F132" s="189"/>
      <c r="G132" s="189"/>
      <c r="H132" s="189"/>
      <c r="I132" s="189"/>
      <c r="J132" s="189"/>
      <c r="K132" s="189"/>
      <c r="L132" s="189"/>
      <c r="M132" s="189"/>
      <c r="N132" s="189"/>
      <c r="O132" s="189"/>
      <c r="P132" s="197"/>
    </row>
    <row r="133" spans="2:16" x14ac:dyDescent="0.3">
      <c r="B133" s="196"/>
      <c r="C133" s="523" t="s">
        <v>750</v>
      </c>
      <c r="D133" s="189"/>
      <c r="E133" s="189"/>
      <c r="F133" s="189"/>
      <c r="G133" s="189"/>
      <c r="H133" s="189"/>
      <c r="I133" s="189"/>
      <c r="J133" s="189"/>
      <c r="K133" s="189"/>
      <c r="L133" s="189"/>
      <c r="M133" s="189"/>
      <c r="N133" s="189"/>
      <c r="O133" s="189"/>
      <c r="P133" s="197"/>
    </row>
    <row r="134" spans="2:16" x14ac:dyDescent="0.3">
      <c r="B134" s="196"/>
      <c r="C134" s="630" t="s">
        <v>751</v>
      </c>
      <c r="D134" s="189"/>
      <c r="E134" s="189"/>
      <c r="F134" s="189"/>
      <c r="G134" s="189"/>
      <c r="H134" s="189"/>
      <c r="I134" s="189"/>
      <c r="J134" s="189"/>
      <c r="K134" s="189"/>
      <c r="L134" s="189"/>
      <c r="M134" s="189"/>
      <c r="N134" s="189"/>
      <c r="O134" s="189"/>
      <c r="P134" s="197"/>
    </row>
    <row r="135" spans="2:16" x14ac:dyDescent="0.3">
      <c r="B135" s="196"/>
      <c r="C135" s="524" t="s">
        <v>752</v>
      </c>
      <c r="D135" s="189"/>
      <c r="E135" s="189"/>
      <c r="F135" s="189"/>
      <c r="G135" s="189"/>
      <c r="H135" s="189"/>
      <c r="I135" s="189"/>
      <c r="J135" s="189"/>
      <c r="K135" s="189"/>
      <c r="L135" s="189"/>
      <c r="M135" s="189"/>
      <c r="N135" s="189"/>
      <c r="O135" s="189"/>
      <c r="P135" s="197"/>
    </row>
    <row r="136" spans="2:16" x14ac:dyDescent="0.3">
      <c r="B136" s="196"/>
      <c r="C136" s="189"/>
      <c r="D136" s="189"/>
      <c r="E136" s="189"/>
      <c r="F136" s="189"/>
      <c r="G136" s="189"/>
      <c r="H136" s="189"/>
      <c r="I136" s="189"/>
      <c r="J136" s="189"/>
      <c r="K136" s="189"/>
      <c r="L136" s="189"/>
      <c r="M136" s="189"/>
      <c r="N136" s="189"/>
      <c r="O136" s="189"/>
      <c r="P136" s="197"/>
    </row>
    <row r="137" spans="2:16" x14ac:dyDescent="0.3">
      <c r="B137" s="196"/>
      <c r="C137" s="630" t="s">
        <v>753</v>
      </c>
      <c r="D137" s="189"/>
      <c r="E137" s="189"/>
      <c r="F137" s="189"/>
      <c r="G137" s="189"/>
      <c r="H137" s="189"/>
      <c r="I137" s="189"/>
      <c r="J137" s="189"/>
      <c r="K137" s="189"/>
      <c r="L137" s="189"/>
      <c r="M137" s="189"/>
      <c r="N137" s="189"/>
      <c r="O137" s="189"/>
      <c r="P137" s="197"/>
    </row>
    <row r="138" spans="2:16" x14ac:dyDescent="0.3">
      <c r="B138" s="196"/>
      <c r="C138" s="524" t="s">
        <v>754</v>
      </c>
      <c r="D138" s="189"/>
      <c r="E138" s="189"/>
      <c r="F138" s="189"/>
      <c r="G138" s="189"/>
      <c r="H138" s="189"/>
      <c r="I138" s="189"/>
      <c r="J138" s="189"/>
      <c r="K138" s="189"/>
      <c r="L138" s="189"/>
      <c r="M138" s="189"/>
      <c r="N138" s="189"/>
      <c r="O138" s="189"/>
      <c r="P138" s="197"/>
    </row>
    <row r="139" spans="2:16" x14ac:dyDescent="0.3">
      <c r="B139" s="196"/>
      <c r="C139" s="189"/>
      <c r="D139" s="189"/>
      <c r="E139" s="189"/>
      <c r="F139" s="189"/>
      <c r="G139" s="189"/>
      <c r="H139" s="189"/>
      <c r="I139" s="189"/>
      <c r="J139" s="189"/>
      <c r="K139" s="189"/>
      <c r="L139" s="189"/>
      <c r="M139" s="189"/>
      <c r="N139" s="189"/>
      <c r="O139" s="189"/>
      <c r="P139" s="197"/>
    </row>
    <row r="140" spans="2:16" x14ac:dyDescent="0.3">
      <c r="B140" s="196"/>
      <c r="C140" s="189" t="s">
        <v>755</v>
      </c>
      <c r="D140" s="189"/>
      <c r="E140" s="189"/>
      <c r="F140" s="189"/>
      <c r="G140" s="189"/>
      <c r="H140" s="189"/>
      <c r="I140" s="189"/>
      <c r="J140" s="189"/>
      <c r="K140" s="189"/>
      <c r="L140" s="189"/>
      <c r="M140" s="189"/>
      <c r="N140" s="189"/>
      <c r="O140" s="189"/>
      <c r="P140" s="197"/>
    </row>
    <row r="141" spans="2:16" x14ac:dyDescent="0.3">
      <c r="B141" s="196"/>
      <c r="C141" s="189" t="s">
        <v>756</v>
      </c>
      <c r="D141" s="189"/>
      <c r="E141" s="189"/>
      <c r="F141" s="189"/>
      <c r="G141" s="189"/>
      <c r="H141" s="189"/>
      <c r="I141" s="189"/>
      <c r="J141" s="189"/>
      <c r="K141" s="189"/>
      <c r="L141" s="189"/>
      <c r="M141" s="189"/>
      <c r="N141" s="189"/>
      <c r="O141" s="189"/>
      <c r="P141" s="197"/>
    </row>
    <row r="142" spans="2:16" x14ac:dyDescent="0.3">
      <c r="B142" s="196"/>
      <c r="C142" s="189"/>
      <c r="D142" s="189"/>
      <c r="E142" s="189"/>
      <c r="F142" s="189"/>
      <c r="G142" s="189"/>
      <c r="H142" s="189"/>
      <c r="I142" s="189"/>
      <c r="J142" s="189"/>
      <c r="K142" s="189"/>
      <c r="L142" s="189"/>
      <c r="M142" s="189"/>
      <c r="N142" s="189"/>
      <c r="O142" s="189"/>
      <c r="P142" s="197"/>
    </row>
    <row r="143" spans="2:16" x14ac:dyDescent="0.3">
      <c r="B143" s="196"/>
      <c r="C143" s="189" t="s">
        <v>757</v>
      </c>
      <c r="D143" s="189"/>
      <c r="E143" s="189"/>
      <c r="F143" s="189"/>
      <c r="G143" s="189"/>
      <c r="H143" s="189"/>
      <c r="I143" s="189"/>
      <c r="J143" s="189"/>
      <c r="K143" s="189"/>
      <c r="L143" s="189"/>
      <c r="M143" s="189"/>
      <c r="N143" s="189"/>
      <c r="O143" s="189"/>
      <c r="P143" s="197"/>
    </row>
    <row r="144" spans="2:16" x14ac:dyDescent="0.3">
      <c r="B144" s="196"/>
      <c r="C144" s="630" t="s">
        <v>758</v>
      </c>
      <c r="D144" s="189"/>
      <c r="E144" s="189"/>
      <c r="F144" s="189"/>
      <c r="G144" s="189"/>
      <c r="H144" s="189"/>
      <c r="I144" s="189"/>
      <c r="J144" s="189"/>
      <c r="K144" s="189"/>
      <c r="L144" s="189"/>
      <c r="M144" s="189"/>
      <c r="N144" s="189"/>
      <c r="O144" s="189"/>
      <c r="P144" s="197"/>
    </row>
    <row r="145" spans="2:16" x14ac:dyDescent="0.3">
      <c r="B145" s="196"/>
      <c r="C145" s="524" t="s">
        <v>759</v>
      </c>
      <c r="D145" s="189"/>
      <c r="E145" s="189"/>
      <c r="F145" s="189"/>
      <c r="G145" s="189"/>
      <c r="H145" s="189"/>
      <c r="I145" s="189"/>
      <c r="J145" s="189"/>
      <c r="K145" s="189"/>
      <c r="L145" s="189"/>
      <c r="M145" s="189"/>
      <c r="N145" s="189"/>
      <c r="O145" s="189"/>
      <c r="P145" s="197"/>
    </row>
    <row r="146" spans="2:16" x14ac:dyDescent="0.3">
      <c r="B146" s="196"/>
      <c r="C146" s="189" t="s">
        <v>760</v>
      </c>
      <c r="D146" s="189"/>
      <c r="E146" s="189"/>
      <c r="F146" s="189"/>
      <c r="G146" s="189"/>
      <c r="H146" s="189"/>
      <c r="I146" s="189"/>
      <c r="J146" s="189"/>
      <c r="K146" s="189"/>
      <c r="L146" s="189"/>
      <c r="M146" s="189"/>
      <c r="N146" s="189"/>
      <c r="O146" s="189"/>
      <c r="P146" s="197"/>
    </row>
    <row r="147" spans="2:16" x14ac:dyDescent="0.3">
      <c r="B147" s="196"/>
      <c r="C147" s="189" t="s">
        <v>761</v>
      </c>
      <c r="D147" s="189"/>
      <c r="E147" s="189"/>
      <c r="F147" s="189"/>
      <c r="G147" s="189"/>
      <c r="H147" s="189"/>
      <c r="I147" s="189"/>
      <c r="J147" s="189"/>
      <c r="K147" s="189"/>
      <c r="L147" s="189"/>
      <c r="M147" s="189"/>
      <c r="N147" s="189"/>
      <c r="O147" s="189"/>
      <c r="P147" s="197"/>
    </row>
    <row r="148" spans="2:16" x14ac:dyDescent="0.3">
      <c r="B148" s="196"/>
      <c r="C148" s="189" t="s">
        <v>762</v>
      </c>
      <c r="D148" s="189"/>
      <c r="E148" s="189"/>
      <c r="F148" s="189"/>
      <c r="G148" s="189"/>
      <c r="H148" s="189"/>
      <c r="I148" s="189"/>
      <c r="J148" s="189"/>
      <c r="K148" s="189"/>
      <c r="L148" s="189"/>
      <c r="M148" s="189"/>
      <c r="N148" s="189"/>
      <c r="O148" s="189"/>
      <c r="P148" s="197"/>
    </row>
    <row r="149" spans="2:16" x14ac:dyDescent="0.3">
      <c r="B149" s="194"/>
      <c r="C149" s="631"/>
      <c r="D149" s="193"/>
      <c r="E149" s="193"/>
      <c r="F149" s="193"/>
      <c r="G149" s="193"/>
      <c r="H149" s="193"/>
      <c r="I149" s="193"/>
      <c r="J149" s="193"/>
      <c r="K149" s="193"/>
      <c r="L149" s="193"/>
      <c r="M149" s="193"/>
      <c r="N149" s="193"/>
      <c r="O149" s="193"/>
      <c r="P149" s="195"/>
    </row>
  </sheetData>
  <sheetProtection algorithmName="SHA-512" hashValue="wJpDf3nY/upQvrsyH03iVyd6wF/PK6f3SK5ncXSuF2Jz1+wumebbgXtSzltnvFqVwKxcXhsZhEePS28Kc+NtgA==" saltValue="hKA1de1vKWx4GaKRdVu9FA==" spinCount="100000" sheet="1" objects="1" scenarios="1"/>
  <protectedRanges>
    <protectedRange sqref="E11:E13 E15 E17 E19:E20 F36 E37:F37 G39 G94:H94 F38 F57:F60 O51:O56 O73:O83 G35:G37 E35:F35 F27:G34 I108 F112:G118 H97 H99 E70:K70 F69 H101 H103:H118 E82:K83 F81 E51:K56 E61:K68 E73:K80" name="Range1"/>
  </protectedRanges>
  <mergeCells count="4">
    <mergeCell ref="C32:D32"/>
    <mergeCell ref="H27:P27"/>
    <mergeCell ref="H28:P28"/>
    <mergeCell ref="H32:P32"/>
  </mergeCells>
  <phoneticPr fontId="43" type="noConversion"/>
  <conditionalFormatting sqref="G12:G14">
    <cfRule type="cellIs" dxfId="0" priority="1" operator="equal">
      <formula>0</formula>
    </cfRule>
  </conditionalFormatting>
  <dataValidations disablePrompts="1" count="2">
    <dataValidation type="list" allowBlank="1" showInputMessage="1" showErrorMessage="1" sqref="E11" xr:uid="{A1309421-97D1-407A-BD55-015169719BCD}">
      <formula1>ORGTYPE</formula1>
    </dataValidation>
    <dataValidation type="list" allowBlank="1" showInputMessage="1" showErrorMessage="1" sqref="H105 H107 H109 H111 H113 H115 H117 H97 H99 H101 H103" xr:uid="{566A17B8-3471-4687-8C9D-7FF313D754A7}">
      <formula1>Bands</formula1>
    </dataValidation>
  </dataValidations>
  <hyperlinks>
    <hyperlink ref="C135" r:id="rId1" xr:uid="{EFCC9E55-E11C-4C6A-A2A6-6DCC7F1CB831}"/>
    <hyperlink ref="C138" r:id="rId2" xr:uid="{19825AB5-AE27-49DC-ADE1-00694DF9F6D9}"/>
    <hyperlink ref="C145" r:id="rId3" xr:uid="{D437A207-70B8-4AD3-B4EF-AE1CCC50890A}"/>
    <hyperlink ref="H27" r:id="rId4" display="S. Swain et al. / Osteoarthritis and Cartilage 28 (2020) 792e801" xr:uid="{4AF88AB6-AA6B-4687-BC56-6409C8E19E5B}"/>
    <hyperlink ref="H28" r:id="rId5" xr:uid="{A667E83F-8D84-4A0B-B9F5-83E846E899DF}"/>
  </hyperlinks>
  <pageMargins left="0.7" right="0.7" top="0.75" bottom="0.75" header="0.3" footer="0.3"/>
  <pageSetup paperSize="9" scale="25" orientation="portrait" r:id="rId6"/>
  <ignoredErrors>
    <ignoredError sqref="G13 G27:G29 G31:G33 E55 F118:I118 J105:J115 J117 I98 I97:J97 I104:I117 I99:J99 I101:J103" unlockedFormula="1"/>
    <ignoredError sqref="G30" evalError="1" unlockedFormula="1"/>
  </ignoredErrors>
  <legacyDrawing r:id="rId7"/>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Please select yes or no" xr:uid="{39366EE1-C007-48FC-9822-34A2EDD2FCE5}">
          <x14:formula1>
            <xm:f>'Population selection'!$R$6:$R$7</xm:f>
          </x14:formula1>
          <xm:sqref>E15 F36</xm:sqref>
        </x14:dataValidation>
        <x14:dataValidation type="list" allowBlank="1" showInputMessage="1" showErrorMessage="1" xr:uid="{A6BC5C51-FF9A-4F12-89AC-EF46E73BECE7}">
          <x14:formula1>
            <xm:f>INDIRECT('Population selection'!$O$7)</xm:f>
          </x14:formula1>
          <xm:sqref>E12:E13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R70"/>
  <sheetViews>
    <sheetView showGridLines="0" zoomScale="80" zoomScaleNormal="80" workbookViewId="0"/>
  </sheetViews>
  <sheetFormatPr defaultColWidth="9.21875" defaultRowHeight="13.2" x14ac:dyDescent="0.25"/>
  <cols>
    <col min="1" max="1" width="4.44140625" style="3" customWidth="1"/>
    <col min="2" max="2" width="71.5546875" style="3" customWidth="1"/>
    <col min="3" max="3" width="29.77734375" style="3" bestFit="1" customWidth="1"/>
    <col min="4" max="4" width="11.77734375" style="3" customWidth="1"/>
    <col min="5" max="5" width="11.44140625" style="3" customWidth="1"/>
    <col min="6" max="6" width="10.77734375" style="3" customWidth="1"/>
    <col min="7" max="7" width="10.44140625" style="3" bestFit="1" customWidth="1"/>
    <col min="8" max="8" width="11.21875" style="3" customWidth="1"/>
    <col min="9" max="9" width="10.21875" style="3" customWidth="1"/>
    <col min="10" max="10" width="13" style="3" bestFit="1" customWidth="1"/>
    <col min="11" max="11" width="11.21875" style="3" bestFit="1" customWidth="1"/>
    <col min="12" max="14" width="11.21875" style="3" customWidth="1"/>
    <col min="15" max="15" width="11.21875" style="3" bestFit="1" customWidth="1"/>
    <col min="16" max="16" width="9.44140625" style="3" customWidth="1"/>
    <col min="17" max="16384" width="9.21875" style="3"/>
  </cols>
  <sheetData>
    <row r="1" spans="1:18" ht="30" customHeight="1" x14ac:dyDescent="0.4">
      <c r="A1" s="179"/>
      <c r="B1" s="346" t="str">
        <f>'Inputs and eligible population'!B1</f>
        <v>AposHealth for osteoarthritis of the knee</v>
      </c>
      <c r="C1" s="146"/>
      <c r="D1" s="131"/>
      <c r="E1" s="131"/>
      <c r="F1" s="131"/>
      <c r="G1" s="131"/>
      <c r="H1" s="131"/>
      <c r="I1" s="131"/>
      <c r="J1" s="131" t="s">
        <v>763</v>
      </c>
      <c r="K1" s="131"/>
      <c r="L1" s="131"/>
      <c r="M1" s="131"/>
      <c r="N1" s="131"/>
      <c r="O1" s="131"/>
      <c r="P1" s="179"/>
    </row>
    <row r="2" spans="1:18" ht="26.25" customHeight="1" x14ac:dyDescent="0.4">
      <c r="A2" s="179"/>
      <c r="B2" s="144" t="s">
        <v>48</v>
      </c>
      <c r="C2" s="145" t="s">
        <v>763</v>
      </c>
      <c r="D2" s="131" t="s">
        <v>763</v>
      </c>
      <c r="E2" s="131" t="s">
        <v>763</v>
      </c>
      <c r="F2" s="131" t="s">
        <v>763</v>
      </c>
      <c r="G2" s="131" t="s">
        <v>763</v>
      </c>
      <c r="H2" s="131" t="s">
        <v>763</v>
      </c>
      <c r="I2" s="131" t="s">
        <v>763</v>
      </c>
      <c r="J2" s="131" t="s">
        <v>763</v>
      </c>
      <c r="K2" s="131"/>
      <c r="L2" s="131"/>
      <c r="M2" s="131"/>
      <c r="N2" s="131"/>
      <c r="O2" s="131"/>
      <c r="P2" s="179"/>
    </row>
    <row r="3" spans="1:18" ht="14.85" customHeight="1" x14ac:dyDescent="0.4">
      <c r="A3" s="179"/>
      <c r="B3" s="129"/>
      <c r="C3" s="146"/>
      <c r="D3" s="131"/>
      <c r="E3" s="131"/>
      <c r="F3" s="131"/>
      <c r="G3" s="131" t="s">
        <v>763</v>
      </c>
      <c r="H3" s="131" t="s">
        <v>763</v>
      </c>
      <c r="I3" s="131" t="s">
        <v>763</v>
      </c>
      <c r="J3" s="131" t="s">
        <v>763</v>
      </c>
      <c r="K3" s="131"/>
      <c r="L3" s="131"/>
      <c r="M3" s="131"/>
      <c r="N3" s="131"/>
      <c r="O3" s="131"/>
      <c r="P3" s="179"/>
    </row>
    <row r="4" spans="1:18" ht="14.85" customHeight="1" x14ac:dyDescent="0.4">
      <c r="A4" s="179"/>
      <c r="B4" t="s">
        <v>764</v>
      </c>
      <c r="C4" s="146"/>
      <c r="D4" s="131"/>
      <c r="E4" s="131"/>
      <c r="F4" s="131"/>
      <c r="G4" s="131" t="s">
        <v>763</v>
      </c>
      <c r="H4" s="131" t="s">
        <v>763</v>
      </c>
      <c r="I4" s="131" t="s">
        <v>763</v>
      </c>
      <c r="J4" s="131" t="s">
        <v>763</v>
      </c>
      <c r="K4" s="131"/>
      <c r="L4" s="131"/>
      <c r="M4" s="131"/>
      <c r="N4" s="131"/>
      <c r="O4" s="131"/>
      <c r="P4" s="179"/>
    </row>
    <row r="5" spans="1:18" ht="14.85" customHeight="1" x14ac:dyDescent="0.4">
      <c r="A5" s="179"/>
      <c r="B5" t="s">
        <v>666</v>
      </c>
      <c r="C5" s="146"/>
      <c r="D5" s="131"/>
      <c r="E5" s="131"/>
      <c r="F5" s="131"/>
      <c r="G5" s="131"/>
      <c r="H5" s="131" t="s">
        <v>763</v>
      </c>
      <c r="I5" s="131" t="s">
        <v>763</v>
      </c>
      <c r="J5" s="131" t="s">
        <v>763</v>
      </c>
      <c r="K5" s="131"/>
      <c r="L5" s="131"/>
      <c r="M5" s="131"/>
      <c r="N5" s="131"/>
      <c r="O5" s="131"/>
      <c r="P5" s="179"/>
    </row>
    <row r="6" spans="1:18" s="206" customFormat="1" ht="14.4" x14ac:dyDescent="0.3">
      <c r="A6" s="208"/>
      <c r="B6" s="204" t="s">
        <v>765</v>
      </c>
      <c r="C6" s="208"/>
      <c r="D6" s="208"/>
      <c r="E6" s="208"/>
      <c r="F6" s="208"/>
      <c r="G6" s="208"/>
      <c r="H6" s="208"/>
      <c r="I6" s="208"/>
      <c r="J6" s="208"/>
      <c r="K6" s="208"/>
      <c r="L6" s="208"/>
      <c r="M6" s="208"/>
      <c r="N6" s="208"/>
      <c r="O6" s="208"/>
      <c r="P6" s="208"/>
      <c r="R6" s="3"/>
    </row>
    <row r="7" spans="1:18" s="206" customFormat="1" ht="49.35" customHeight="1" x14ac:dyDescent="0.3">
      <c r="A7" s="208"/>
      <c r="B7" s="209" t="s">
        <v>766</v>
      </c>
      <c r="C7" s="281"/>
      <c r="D7" s="414"/>
      <c r="E7" s="414"/>
      <c r="F7" s="414"/>
      <c r="G7" s="414"/>
      <c r="H7" s="207" t="s">
        <v>767</v>
      </c>
      <c r="I7" s="207" t="s">
        <v>768</v>
      </c>
      <c r="J7" s="210" t="s">
        <v>769</v>
      </c>
      <c r="K7" s="501"/>
      <c r="L7" s="501"/>
      <c r="M7" s="208"/>
      <c r="N7" s="208"/>
      <c r="O7" s="208"/>
      <c r="P7" s="208"/>
      <c r="R7" s="3"/>
    </row>
    <row r="8" spans="1:18" s="206" customFormat="1" ht="14.4" x14ac:dyDescent="0.3">
      <c r="A8" s="208"/>
      <c r="B8" s="411" t="s">
        <v>770</v>
      </c>
      <c r="C8" s="416"/>
      <c r="D8" s="409"/>
      <c r="E8" s="409"/>
      <c r="F8" s="410"/>
      <c r="G8" s="410"/>
      <c r="H8" s="415">
        <v>800</v>
      </c>
      <c r="I8" s="412">
        <v>0.2</v>
      </c>
      <c r="J8" s="413">
        <f>H8*(1+I8)</f>
        <v>960</v>
      </c>
      <c r="K8" s="502"/>
      <c r="L8" s="526"/>
      <c r="M8" s="208"/>
      <c r="N8" s="208"/>
      <c r="O8" s="208"/>
      <c r="P8" s="208"/>
      <c r="R8" s="3"/>
    </row>
    <row r="9" spans="1:18" s="206" customFormat="1" ht="14.4" x14ac:dyDescent="0.3">
      <c r="A9" s="208"/>
      <c r="B9" s="411" t="s">
        <v>771</v>
      </c>
      <c r="C9" s="416"/>
      <c r="D9" s="409"/>
      <c r="E9" s="409"/>
      <c r="F9" s="410"/>
      <c r="G9" s="410"/>
      <c r="H9" s="415"/>
      <c r="I9" s="412"/>
      <c r="J9" s="413"/>
      <c r="K9" s="502"/>
      <c r="L9" s="526"/>
      <c r="M9" s="208"/>
      <c r="N9" s="208"/>
      <c r="O9" s="208"/>
      <c r="P9" s="208"/>
      <c r="R9" s="3"/>
    </row>
    <row r="10" spans="1:18" s="4" customFormat="1" ht="14.4" x14ac:dyDescent="0.3">
      <c r="A10" s="5"/>
      <c r="B10" s="422" t="s">
        <v>772</v>
      </c>
      <c r="C10" s="421"/>
      <c r="D10" s="417"/>
      <c r="E10" s="418"/>
      <c r="F10" s="419"/>
      <c r="G10" s="420"/>
      <c r="H10" s="420"/>
      <c r="I10" s="420"/>
      <c r="J10" s="427">
        <f>SUM(J8:J9)</f>
        <v>960</v>
      </c>
      <c r="K10" s="171"/>
      <c r="L10" s="525"/>
      <c r="M10" s="5"/>
      <c r="N10" s="5"/>
      <c r="O10" s="5"/>
      <c r="P10" s="5"/>
      <c r="R10" s="3"/>
    </row>
    <row r="11" spans="1:18" s="4" customFormat="1" ht="23.1" customHeight="1" x14ac:dyDescent="0.25">
      <c r="A11" s="5"/>
      <c r="B11" s="662" t="s">
        <v>1140</v>
      </c>
      <c r="C11" s="5"/>
      <c r="D11" s="168"/>
      <c r="E11" s="112"/>
      <c r="F11" s="169"/>
      <c r="G11" s="170"/>
      <c r="H11" s="170"/>
      <c r="I11" s="170"/>
      <c r="J11" s="525"/>
      <c r="K11" s="171"/>
      <c r="L11" s="525"/>
      <c r="M11" s="5"/>
      <c r="N11" s="5"/>
      <c r="O11" s="5"/>
      <c r="P11" s="5"/>
      <c r="R11" s="3"/>
    </row>
    <row r="12" spans="1:18" s="4" customFormat="1" ht="13.8" x14ac:dyDescent="0.25">
      <c r="A12" s="5"/>
      <c r="B12" s="663" t="s">
        <v>773</v>
      </c>
      <c r="C12" s="5"/>
      <c r="D12" s="168"/>
      <c r="E12" s="112" t="s">
        <v>774</v>
      </c>
      <c r="F12" s="169"/>
      <c r="G12" s="170"/>
      <c r="H12" s="170"/>
      <c r="I12" s="170"/>
      <c r="J12" s="525"/>
      <c r="K12" s="171"/>
      <c r="L12" s="525"/>
      <c r="M12" s="5"/>
      <c r="N12" s="5"/>
      <c r="O12" s="5"/>
      <c r="P12" s="5"/>
      <c r="R12" s="3"/>
    </row>
    <row r="13" spans="1:18" s="4" customFormat="1" ht="13.8" x14ac:dyDescent="0.25">
      <c r="A13" s="423"/>
      <c r="B13" s="423" t="s">
        <v>775</v>
      </c>
      <c r="C13" s="423"/>
      <c r="D13" s="132"/>
      <c r="E13" s="424"/>
      <c r="F13" s="424"/>
      <c r="G13" s="425"/>
      <c r="H13" s="149"/>
      <c r="I13" s="179"/>
      <c r="J13" s="179"/>
      <c r="K13" s="179"/>
      <c r="L13" s="179"/>
      <c r="M13" s="179"/>
      <c r="N13" s="179"/>
      <c r="O13" s="179"/>
      <c r="P13" s="5"/>
      <c r="R13" s="3"/>
    </row>
    <row r="14" spans="1:18" s="4" customFormat="1" ht="13.8" x14ac:dyDescent="0.25">
      <c r="A14" s="423"/>
      <c r="B14" s="423" t="s">
        <v>776</v>
      </c>
      <c r="C14" s="423"/>
      <c r="D14" s="132"/>
      <c r="E14" s="424"/>
      <c r="F14" s="424"/>
      <c r="G14" s="425"/>
      <c r="H14" s="149"/>
      <c r="I14" s="179"/>
      <c r="J14" s="179"/>
      <c r="K14" s="179"/>
      <c r="L14" s="179"/>
      <c r="M14" s="179"/>
      <c r="N14" s="179"/>
      <c r="O14" s="179"/>
      <c r="P14" s="5"/>
      <c r="R14" s="3"/>
    </row>
    <row r="15" spans="1:18" s="4" customFormat="1" ht="13.8" x14ac:dyDescent="0.25">
      <c r="A15" s="426"/>
      <c r="B15" s="426" t="s">
        <v>777</v>
      </c>
      <c r="C15" s="423"/>
      <c r="D15" s="132"/>
      <c r="E15" s="424"/>
      <c r="F15" s="424"/>
      <c r="G15" s="425"/>
      <c r="H15" s="149"/>
      <c r="I15" s="179"/>
      <c r="J15" s="179"/>
      <c r="K15" s="179"/>
      <c r="L15" s="179"/>
      <c r="M15" s="179"/>
      <c r="N15" s="179"/>
      <c r="O15" s="179"/>
      <c r="P15" s="5"/>
      <c r="R15" s="3"/>
    </row>
    <row r="16" spans="1:18" s="4" customFormat="1" ht="14.4" thickBot="1" x14ac:dyDescent="0.3">
      <c r="A16" s="5"/>
      <c r="B16" s="532"/>
      <c r="C16" s="532"/>
      <c r="D16" s="533"/>
      <c r="E16" s="534"/>
      <c r="F16" s="535"/>
      <c r="G16" s="536"/>
      <c r="H16" s="532"/>
      <c r="I16" s="532"/>
      <c r="J16" s="537"/>
      <c r="K16" s="537"/>
      <c r="L16" s="537"/>
      <c r="M16" s="537"/>
      <c r="N16" s="537"/>
      <c r="O16" s="537"/>
      <c r="P16" s="5"/>
      <c r="R16" s="3"/>
    </row>
    <row r="17" spans="1:18" s="4" customFormat="1" ht="22.35" customHeight="1" x14ac:dyDescent="0.25">
      <c r="A17" s="428"/>
      <c r="B17" s="429" t="s">
        <v>1145</v>
      </c>
      <c r="C17" s="429"/>
      <c r="D17" s="179"/>
      <c r="E17" s="430"/>
      <c r="F17" s="179"/>
      <c r="G17" s="179"/>
      <c r="H17" s="149"/>
      <c r="I17" s="179"/>
      <c r="J17" s="179"/>
      <c r="K17" s="179"/>
      <c r="L17" s="179"/>
      <c r="M17" s="179"/>
      <c r="N17" s="179"/>
      <c r="O17" s="179"/>
      <c r="P17" s="5"/>
      <c r="R17" s="3"/>
    </row>
    <row r="18" spans="1:18" s="4" customFormat="1" ht="13.8" x14ac:dyDescent="0.25">
      <c r="A18" s="431"/>
      <c r="B18" s="179" t="s">
        <v>778</v>
      </c>
      <c r="C18" s="179"/>
      <c r="D18" s="179"/>
      <c r="E18" s="430"/>
      <c r="F18" s="179"/>
      <c r="G18" s="179"/>
      <c r="H18" s="149"/>
      <c r="I18" s="179"/>
      <c r="J18" s="179"/>
      <c r="K18" s="179"/>
      <c r="L18" s="179"/>
      <c r="M18" s="179"/>
      <c r="N18" s="179"/>
      <c r="O18" s="179"/>
      <c r="P18" s="5"/>
      <c r="R18" s="3"/>
    </row>
    <row r="19" spans="1:18" s="4" customFormat="1" ht="13.8" x14ac:dyDescent="0.25">
      <c r="A19" s="431"/>
      <c r="B19" s="179" t="s">
        <v>779</v>
      </c>
      <c r="C19" s="179"/>
      <c r="D19" s="179"/>
      <c r="E19" s="430"/>
      <c r="F19" s="179"/>
      <c r="G19" s="179"/>
      <c r="H19" s="149"/>
      <c r="I19" s="179"/>
      <c r="J19" s="179"/>
      <c r="K19" s="179"/>
      <c r="L19" s="179"/>
      <c r="M19" s="179"/>
      <c r="N19" s="179"/>
      <c r="O19" s="179"/>
      <c r="P19" s="5"/>
      <c r="R19" s="3"/>
    </row>
    <row r="20" spans="1:18" s="4" customFormat="1" ht="13.8" x14ac:dyDescent="0.25">
      <c r="A20" s="432"/>
      <c r="B20" s="432" t="s">
        <v>780</v>
      </c>
      <c r="C20" s="432"/>
      <c r="D20" s="179"/>
      <c r="E20" s="430"/>
      <c r="F20" s="179"/>
      <c r="G20" s="179"/>
      <c r="H20" s="149"/>
      <c r="I20" s="179"/>
      <c r="J20" s="179"/>
      <c r="K20" s="179"/>
      <c r="L20" s="179"/>
      <c r="M20" s="179"/>
      <c r="N20" s="179"/>
      <c r="O20" s="179"/>
      <c r="P20" s="5"/>
      <c r="R20" s="3"/>
    </row>
    <row r="21" spans="1:18" s="4" customFormat="1" ht="13.8" x14ac:dyDescent="0.25">
      <c r="A21" s="432"/>
      <c r="B21" s="432" t="s">
        <v>781</v>
      </c>
      <c r="C21" s="432"/>
      <c r="D21" s="179"/>
      <c r="E21" s="430"/>
      <c r="F21" s="179"/>
      <c r="G21" s="179"/>
      <c r="H21" s="149"/>
      <c r="I21" s="179"/>
      <c r="J21" s="179"/>
      <c r="K21" s="179"/>
      <c r="L21" s="179"/>
      <c r="M21" s="179"/>
      <c r="N21" s="179"/>
      <c r="O21" s="179"/>
      <c r="P21" s="5"/>
      <c r="R21" s="3"/>
    </row>
    <row r="22" spans="1:18" s="4" customFormat="1" ht="13.8" x14ac:dyDescent="0.25">
      <c r="A22" s="432"/>
      <c r="B22" s="432" t="s">
        <v>782</v>
      </c>
      <c r="C22" s="432"/>
      <c r="D22" s="179"/>
      <c r="E22" s="430"/>
      <c r="F22" s="179"/>
      <c r="G22" s="179"/>
      <c r="H22" s="149"/>
      <c r="I22" s="179"/>
      <c r="J22" s="179"/>
      <c r="K22" s="179"/>
      <c r="L22" s="179"/>
      <c r="M22" s="179"/>
      <c r="N22" s="179"/>
      <c r="O22" s="179"/>
      <c r="P22" s="5"/>
      <c r="R22" s="3"/>
    </row>
    <row r="23" spans="1:18" s="4" customFormat="1" ht="14.4" x14ac:dyDescent="0.3">
      <c r="A23" s="5"/>
      <c r="B23" s="280"/>
      <c r="C23" s="5"/>
      <c r="D23" s="168"/>
      <c r="E23" s="112"/>
      <c r="F23" s="169"/>
      <c r="G23" s="170"/>
      <c r="H23" s="5"/>
      <c r="I23" s="5"/>
      <c r="J23" s="171"/>
      <c r="K23" s="171"/>
      <c r="L23" s="171"/>
      <c r="M23" s="171"/>
      <c r="N23" s="171"/>
      <c r="O23" s="171"/>
      <c r="P23" s="5"/>
      <c r="R23" s="3"/>
    </row>
    <row r="24" spans="1:18" ht="105.6" customHeight="1" x14ac:dyDescent="0.25">
      <c r="A24" s="483"/>
      <c r="B24" s="958" t="s">
        <v>1141</v>
      </c>
      <c r="C24" s="495"/>
      <c r="D24" s="496"/>
      <c r="E24" s="497" t="s">
        <v>783</v>
      </c>
      <c r="F24" s="497" t="s">
        <v>784</v>
      </c>
      <c r="G24" s="497" t="s">
        <v>785</v>
      </c>
      <c r="H24" s="497" t="s">
        <v>786</v>
      </c>
      <c r="I24" s="497" t="s">
        <v>787</v>
      </c>
      <c r="J24" s="973" t="s">
        <v>788</v>
      </c>
      <c r="K24" s="499"/>
      <c r="L24" s="497" t="s">
        <v>789</v>
      </c>
      <c r="M24" s="497" t="s">
        <v>784</v>
      </c>
      <c r="N24" s="497" t="s">
        <v>790</v>
      </c>
      <c r="O24" s="499"/>
      <c r="P24" s="179"/>
    </row>
    <row r="25" spans="1:18" x14ac:dyDescent="0.25">
      <c r="A25" s="439"/>
      <c r="B25" s="542" t="s">
        <v>791</v>
      </c>
      <c r="C25" s="543"/>
      <c r="D25" s="544"/>
      <c r="E25" s="435"/>
      <c r="F25" s="436">
        <v>10</v>
      </c>
      <c r="G25" s="469">
        <v>10</v>
      </c>
      <c r="H25" s="504">
        <f t="shared" ref="H25" si="0">F25*G25</f>
        <v>100</v>
      </c>
      <c r="I25" s="437"/>
      <c r="J25" s="974">
        <f t="shared" ref="J25:J31" si="1">I25*H25</f>
        <v>0</v>
      </c>
      <c r="K25" s="972"/>
      <c r="L25" s="437"/>
      <c r="M25" s="436">
        <v>5</v>
      </c>
      <c r="N25" s="976">
        <f>L25*M25*$G$25</f>
        <v>0</v>
      </c>
      <c r="O25" s="500"/>
      <c r="P25" s="179"/>
    </row>
    <row r="26" spans="1:18" x14ac:dyDescent="0.25">
      <c r="A26" s="439"/>
      <c r="B26" s="442" t="s">
        <v>792</v>
      </c>
      <c r="C26" s="443"/>
      <c r="D26" s="487"/>
      <c r="E26" s="441"/>
      <c r="F26" s="436">
        <v>1</v>
      </c>
      <c r="G26" s="469">
        <v>79.989999999999995</v>
      </c>
      <c r="H26" s="504">
        <f t="shared" ref="H26:H31" si="2">F26*G26</f>
        <v>79.989999999999995</v>
      </c>
      <c r="I26" s="437"/>
      <c r="J26" s="974">
        <f t="shared" si="1"/>
        <v>0</v>
      </c>
      <c r="K26" s="972"/>
      <c r="L26" s="437"/>
      <c r="M26" s="436">
        <v>1</v>
      </c>
      <c r="N26" s="976">
        <f>L26*M26*$G$26</f>
        <v>0</v>
      </c>
      <c r="O26" s="500"/>
      <c r="P26" s="179"/>
    </row>
    <row r="27" spans="1:18" x14ac:dyDescent="0.25">
      <c r="A27" s="439"/>
      <c r="B27" s="442" t="s">
        <v>793</v>
      </c>
      <c r="C27" s="443"/>
      <c r="D27" s="487"/>
      <c r="E27" s="441"/>
      <c r="F27" s="436">
        <v>1</v>
      </c>
      <c r="G27" s="469">
        <v>107.99</v>
      </c>
      <c r="H27" s="504">
        <f t="shared" si="2"/>
        <v>107.99</v>
      </c>
      <c r="I27" s="437"/>
      <c r="J27" s="974">
        <f t="shared" si="1"/>
        <v>0</v>
      </c>
      <c r="K27" s="972"/>
      <c r="L27" s="437"/>
      <c r="M27" s="436">
        <v>1</v>
      </c>
      <c r="N27" s="976">
        <f>L27*M27*$G$27</f>
        <v>0</v>
      </c>
      <c r="O27" s="500"/>
      <c r="P27" s="179"/>
    </row>
    <row r="28" spans="1:18" x14ac:dyDescent="0.25">
      <c r="A28" s="439"/>
      <c r="B28" s="442" t="s">
        <v>794</v>
      </c>
      <c r="C28" s="443"/>
      <c r="D28" s="487"/>
      <c r="E28" s="441"/>
      <c r="F28" s="436">
        <v>1</v>
      </c>
      <c r="G28" s="469">
        <v>7.5</v>
      </c>
      <c r="H28" s="504">
        <f t="shared" si="2"/>
        <v>7.5</v>
      </c>
      <c r="I28" s="437"/>
      <c r="J28" s="974">
        <f t="shared" si="1"/>
        <v>0</v>
      </c>
      <c r="K28" s="972"/>
      <c r="L28" s="437"/>
      <c r="M28" s="436">
        <v>1</v>
      </c>
      <c r="N28" s="976">
        <f>L28*M28*$G$28</f>
        <v>0</v>
      </c>
      <c r="O28" s="500"/>
      <c r="P28" s="179"/>
    </row>
    <row r="29" spans="1:18" x14ac:dyDescent="0.25">
      <c r="A29" s="484"/>
      <c r="B29" s="442" t="s">
        <v>795</v>
      </c>
      <c r="C29" s="443"/>
      <c r="D29" s="487"/>
      <c r="E29" s="441"/>
      <c r="F29" s="436">
        <v>1</v>
      </c>
      <c r="G29" s="469">
        <v>1</v>
      </c>
      <c r="H29" s="504">
        <f t="shared" si="2"/>
        <v>1</v>
      </c>
      <c r="I29" s="437"/>
      <c r="J29" s="974">
        <f t="shared" si="1"/>
        <v>0</v>
      </c>
      <c r="K29" s="972"/>
      <c r="L29" s="437"/>
      <c r="M29" s="436"/>
      <c r="N29" s="976">
        <f>L29*M29*$G$29</f>
        <v>0</v>
      </c>
      <c r="O29" s="500"/>
      <c r="P29" s="179"/>
    </row>
    <row r="30" spans="1:18" s="445" customFormat="1" ht="12.6" customHeight="1" x14ac:dyDescent="0.25">
      <c r="A30" s="484"/>
      <c r="B30" s="442"/>
      <c r="C30" s="443"/>
      <c r="D30" s="487"/>
      <c r="E30" s="440"/>
      <c r="F30" s="444"/>
      <c r="G30" s="469"/>
      <c r="H30" s="504">
        <f t="shared" si="2"/>
        <v>0</v>
      </c>
      <c r="I30" s="437"/>
      <c r="J30" s="974"/>
      <c r="K30" s="972"/>
      <c r="L30" s="437"/>
      <c r="M30" s="444"/>
      <c r="N30" s="976">
        <f>L30*M30*$G$30</f>
        <v>0</v>
      </c>
      <c r="O30" s="500"/>
      <c r="P30" s="429"/>
    </row>
    <row r="31" spans="1:18" ht="12.6" customHeight="1" x14ac:dyDescent="0.25">
      <c r="A31" s="484"/>
      <c r="B31" s="442"/>
      <c r="C31" s="443"/>
      <c r="D31" s="487"/>
      <c r="E31" s="440"/>
      <c r="F31" s="444"/>
      <c r="G31" s="469"/>
      <c r="H31" s="504">
        <f t="shared" si="2"/>
        <v>0</v>
      </c>
      <c r="I31" s="437"/>
      <c r="J31" s="974">
        <f t="shared" si="1"/>
        <v>0</v>
      </c>
      <c r="K31" s="972"/>
      <c r="L31" s="437"/>
      <c r="M31" s="444"/>
      <c r="N31" s="976">
        <f>L31*M31*$G$31</f>
        <v>0</v>
      </c>
      <c r="O31" s="500"/>
      <c r="P31" s="179"/>
    </row>
    <row r="32" spans="1:18" ht="16.350000000000001" customHeight="1" x14ac:dyDescent="0.25">
      <c r="A32" s="482"/>
      <c r="B32" s="477" t="s">
        <v>796</v>
      </c>
      <c r="C32" s="434"/>
      <c r="D32" s="434"/>
      <c r="E32" s="446"/>
      <c r="F32" s="447"/>
      <c r="G32" s="448"/>
      <c r="H32" s="448"/>
      <c r="I32" s="503">
        <f>SUM(I25:I31)</f>
        <v>0</v>
      </c>
      <c r="J32" s="975">
        <f>SUM(J25:J31)</f>
        <v>0</v>
      </c>
      <c r="K32" s="425"/>
      <c r="L32" s="503">
        <f>SUM(L25:L31)</f>
        <v>0</v>
      </c>
      <c r="M32" s="503"/>
      <c r="N32" s="977">
        <f>SUM(N25:N31)</f>
        <v>0</v>
      </c>
      <c r="O32" s="425"/>
      <c r="P32" s="179"/>
    </row>
    <row r="33" spans="1:18" x14ac:dyDescent="0.25">
      <c r="A33" s="482"/>
      <c r="B33" s="482"/>
      <c r="C33" s="439"/>
      <c r="D33" s="439"/>
      <c r="E33" s="429"/>
      <c r="F33" s="449"/>
      <c r="G33" s="425"/>
      <c r="H33" s="425"/>
      <c r="I33" s="450"/>
      <c r="J33" s="425"/>
      <c r="K33" s="425"/>
      <c r="L33" s="425"/>
      <c r="M33" s="450"/>
      <c r="N33" s="450"/>
      <c r="O33" s="425"/>
      <c r="P33" s="179"/>
    </row>
    <row r="34" spans="1:18" x14ac:dyDescent="0.25">
      <c r="A34" s="482"/>
      <c r="B34" s="439" t="s">
        <v>1142</v>
      </c>
      <c r="C34" s="439"/>
      <c r="D34" s="439"/>
      <c r="E34" s="429"/>
      <c r="F34" s="449"/>
      <c r="G34" s="425"/>
      <c r="H34" s="425"/>
      <c r="I34" s="450"/>
      <c r="J34" s="425"/>
      <c r="K34" s="425"/>
      <c r="L34" s="425"/>
      <c r="M34" s="425"/>
      <c r="N34" s="425"/>
      <c r="O34" s="425"/>
      <c r="P34" s="179"/>
    </row>
    <row r="35" spans="1:18" ht="13.8" thickBot="1" x14ac:dyDescent="0.3">
      <c r="A35" s="482"/>
      <c r="B35" s="527"/>
      <c r="C35" s="527"/>
      <c r="D35" s="527"/>
      <c r="E35" s="528"/>
      <c r="F35" s="529"/>
      <c r="G35" s="530"/>
      <c r="H35" s="530"/>
      <c r="I35" s="531"/>
      <c r="J35" s="530"/>
      <c r="K35" s="530"/>
      <c r="L35" s="530"/>
      <c r="M35" s="530"/>
      <c r="N35" s="530"/>
      <c r="O35" s="530"/>
      <c r="P35" s="179"/>
    </row>
    <row r="36" spans="1:18" x14ac:dyDescent="0.25">
      <c r="A36" s="439"/>
      <c r="B36" s="439"/>
      <c r="C36" s="439"/>
      <c r="D36" s="439"/>
      <c r="E36" s="429"/>
      <c r="F36" s="452"/>
      <c r="G36" s="179"/>
      <c r="H36" s="179"/>
      <c r="I36" s="453"/>
      <c r="J36" s="425"/>
      <c r="K36" s="425"/>
      <c r="L36" s="425"/>
      <c r="M36" s="425"/>
      <c r="N36" s="425"/>
      <c r="O36" s="425"/>
      <c r="P36" s="179"/>
    </row>
    <row r="37" spans="1:18" s="4" customFormat="1" ht="14.4" x14ac:dyDescent="0.3">
      <c r="A37" s="5"/>
      <c r="B37" s="5"/>
      <c r="C37" s="280"/>
      <c r="D37" s="5"/>
      <c r="E37" s="168"/>
      <c r="F37" s="112"/>
      <c r="G37" s="169"/>
      <c r="H37" s="170"/>
      <c r="I37" s="5"/>
      <c r="J37" s="5"/>
      <c r="K37" s="5"/>
      <c r="L37" s="5"/>
      <c r="M37" s="5"/>
      <c r="N37" s="5"/>
      <c r="O37" s="5"/>
      <c r="P37" s="5"/>
      <c r="R37" s="3"/>
    </row>
    <row r="38" spans="1:18" s="4" customFormat="1" ht="14.4" x14ac:dyDescent="0.3">
      <c r="A38" s="5"/>
      <c r="B38" s="505" t="s">
        <v>797</v>
      </c>
      <c r="C38" s="280"/>
      <c r="D38" s="5"/>
      <c r="E38" s="168"/>
      <c r="F38" s="112"/>
      <c r="G38" s="169"/>
      <c r="H38" s="170"/>
      <c r="I38" s="5"/>
      <c r="J38" s="5"/>
      <c r="K38" s="5"/>
      <c r="L38" s="5"/>
      <c r="M38" s="5"/>
      <c r="N38" s="5"/>
      <c r="O38" s="5"/>
      <c r="P38" s="5"/>
      <c r="R38" s="3"/>
    </row>
    <row r="39" spans="1:18" s="717" customFormat="1" ht="16.5" customHeight="1" x14ac:dyDescent="0.3">
      <c r="A39" s="707"/>
      <c r="B39" s="708" t="str">
        <f>'Inputs and eligible population'!E12</f>
        <v>England</v>
      </c>
      <c r="C39" s="709"/>
      <c r="D39" s="709"/>
      <c r="E39" s="710"/>
      <c r="F39" s="711"/>
      <c r="G39" s="712"/>
      <c r="H39" s="713"/>
      <c r="I39" s="714"/>
      <c r="J39" s="714"/>
      <c r="K39" s="714"/>
      <c r="L39" s="714"/>
      <c r="M39" s="714"/>
      <c r="N39" s="715">
        <f>VLOOKUP(B39,'ICB COSTING'!$A$2:$T$44,11,0)</f>
        <v>9872.2857142857138</v>
      </c>
      <c r="O39" s="1033"/>
      <c r="P39" s="716"/>
    </row>
    <row r="40" spans="1:18" s="4" customFormat="1" ht="15.6" customHeight="1" x14ac:dyDescent="0.25">
      <c r="A40" s="5"/>
      <c r="B40" s="5" t="s">
        <v>798</v>
      </c>
      <c r="C40" s="5"/>
      <c r="D40" s="5"/>
      <c r="E40" s="5"/>
      <c r="F40" s="5"/>
      <c r="G40" s="5"/>
      <c r="H40" s="5"/>
      <c r="I40" s="5"/>
      <c r="J40" s="5"/>
      <c r="K40" s="5"/>
      <c r="L40" s="5"/>
      <c r="M40" s="5"/>
      <c r="N40" s="5"/>
      <c r="O40" s="5"/>
      <c r="P40" s="5"/>
    </row>
    <row r="41" spans="1:18" s="4" customFormat="1" ht="15.6" customHeight="1" x14ac:dyDescent="0.25">
      <c r="A41" s="5"/>
      <c r="B41" s="718" t="s">
        <v>799</v>
      </c>
      <c r="C41" s="5"/>
      <c r="D41" s="5"/>
      <c r="E41" s="5"/>
      <c r="F41" s="5"/>
      <c r="G41" s="5"/>
      <c r="H41" s="5"/>
      <c r="I41" s="5"/>
      <c r="J41" s="5"/>
      <c r="K41" s="5"/>
      <c r="L41" s="5"/>
      <c r="M41" s="5"/>
      <c r="N41" s="5"/>
      <c r="O41" s="5"/>
      <c r="P41" s="5"/>
    </row>
    <row r="42" spans="1:18" x14ac:dyDescent="0.25">
      <c r="A42" s="179"/>
      <c r="B42" s="179" t="s">
        <v>800</v>
      </c>
      <c r="C42" s="179"/>
      <c r="D42" s="179"/>
      <c r="E42" s="179"/>
      <c r="F42" s="179"/>
      <c r="G42" s="179"/>
      <c r="H42" s="179"/>
      <c r="I42" s="179"/>
      <c r="J42" s="179"/>
      <c r="K42" s="179"/>
      <c r="L42" s="179"/>
      <c r="M42" s="179"/>
      <c r="N42" s="179"/>
      <c r="O42" s="179"/>
      <c r="P42" s="179"/>
    </row>
    <row r="43" spans="1:18" ht="13.8" x14ac:dyDescent="0.25">
      <c r="A43" s="485"/>
      <c r="B43" s="538"/>
      <c r="C43" s="463"/>
      <c r="D43" s="463"/>
      <c r="E43" s="179"/>
      <c r="F43" s="179"/>
      <c r="G43" s="179"/>
      <c r="H43" s="179"/>
      <c r="I43" s="179"/>
      <c r="J43" s="179"/>
      <c r="K43" s="179"/>
      <c r="L43" s="179"/>
      <c r="M43" s="179"/>
      <c r="N43" s="465"/>
      <c r="O43" s="179"/>
      <c r="P43" s="179"/>
    </row>
    <row r="44" spans="1:18" ht="13.8" thickBot="1" x14ac:dyDescent="0.3">
      <c r="A44" s="439"/>
      <c r="B44" s="527"/>
      <c r="C44" s="527"/>
      <c r="D44" s="527"/>
      <c r="E44" s="539"/>
      <c r="F44" s="539"/>
      <c r="G44" s="539"/>
      <c r="H44" s="539"/>
      <c r="I44" s="539"/>
      <c r="J44" s="539"/>
      <c r="K44" s="539"/>
      <c r="L44" s="539"/>
      <c r="M44" s="539"/>
      <c r="N44" s="539"/>
      <c r="O44" s="539"/>
      <c r="P44" s="179"/>
    </row>
    <row r="45" spans="1:18" s="4" customFormat="1" ht="14.4" x14ac:dyDescent="0.3">
      <c r="A45" s="5"/>
      <c r="B45" s="5"/>
      <c r="C45" s="455"/>
      <c r="D45" s="456"/>
      <c r="E45" s="457"/>
      <c r="F45" s="458"/>
      <c r="G45" s="459"/>
      <c r="H45" s="460"/>
      <c r="I45" s="461"/>
      <c r="J45" s="461"/>
      <c r="K45" s="461"/>
      <c r="L45" s="461"/>
      <c r="M45" s="461"/>
      <c r="N45" s="461"/>
      <c r="O45" s="461"/>
      <c r="P45" s="5"/>
      <c r="R45" s="3"/>
    </row>
    <row r="46" spans="1:18" ht="13.8" thickBot="1" x14ac:dyDescent="0.3">
      <c r="A46" s="429"/>
      <c r="B46" s="429" t="s">
        <v>801</v>
      </c>
      <c r="C46" s="179"/>
      <c r="D46" s="179"/>
      <c r="E46" s="179"/>
      <c r="F46" s="179"/>
      <c r="G46" s="179"/>
      <c r="H46" s="179"/>
      <c r="I46" s="179"/>
      <c r="J46" s="179"/>
      <c r="K46" s="179"/>
      <c r="L46" s="179"/>
      <c r="M46" s="179"/>
      <c r="N46" s="179"/>
      <c r="O46" s="179"/>
      <c r="P46" s="179"/>
    </row>
    <row r="47" spans="1:18" ht="56.1" customHeight="1" x14ac:dyDescent="0.25">
      <c r="A47" s="486"/>
      <c r="B47" s="466" t="s">
        <v>802</v>
      </c>
      <c r="C47" s="433" t="s">
        <v>803</v>
      </c>
      <c r="D47" s="433" t="s">
        <v>804</v>
      </c>
      <c r="E47" s="433" t="s">
        <v>805</v>
      </c>
      <c r="F47" s="433" t="s">
        <v>806</v>
      </c>
      <c r="G47" s="433" t="s">
        <v>807</v>
      </c>
      <c r="H47" s="433" t="s">
        <v>808</v>
      </c>
      <c r="I47" s="433" t="s">
        <v>769</v>
      </c>
      <c r="J47" s="498" t="s">
        <v>809</v>
      </c>
      <c r="K47" s="506" t="s">
        <v>810</v>
      </c>
      <c r="L47" s="499"/>
      <c r="M47" s="506" t="s">
        <v>811</v>
      </c>
      <c r="N47" s="506" t="s">
        <v>790</v>
      </c>
      <c r="O47" s="179"/>
      <c r="P47" s="179"/>
    </row>
    <row r="48" spans="1:18" x14ac:dyDescent="0.25">
      <c r="A48" s="179"/>
      <c r="B48" s="438" t="s">
        <v>812</v>
      </c>
      <c r="C48" s="467">
        <v>1</v>
      </c>
      <c r="D48" s="468">
        <v>3.3</v>
      </c>
      <c r="E48" s="469">
        <v>23.99</v>
      </c>
      <c r="F48" s="470">
        <f t="shared" ref="F48:F56" si="3">IFERROR(E48/(C48*D48),"")</f>
        <v>7.2696969696969695</v>
      </c>
      <c r="G48" s="438">
        <v>3.3</v>
      </c>
      <c r="H48" s="470">
        <f t="shared" ref="H48:H56" si="4">IFERROR(F48*G48,"")</f>
        <v>23.99</v>
      </c>
      <c r="I48" s="480">
        <f t="shared" ref="I48:I56" si="5">IFERROR(G48*H48,"")</f>
        <v>79.166999999999987</v>
      </c>
      <c r="J48" s="659"/>
      <c r="K48" s="508">
        <f>IFERROR(J48*I48,0)</f>
        <v>0</v>
      </c>
      <c r="L48" s="494"/>
      <c r="M48" s="660"/>
      <c r="N48" s="508">
        <f>IFERROR(M48*I48,0)</f>
        <v>0</v>
      </c>
      <c r="O48" s="179"/>
      <c r="P48" s="179"/>
    </row>
    <row r="49" spans="1:16" x14ac:dyDescent="0.25">
      <c r="A49" s="179"/>
      <c r="B49" s="438" t="s">
        <v>813</v>
      </c>
      <c r="C49" s="467">
        <v>1</v>
      </c>
      <c r="D49" s="468">
        <v>125</v>
      </c>
      <c r="E49" s="469">
        <v>4.75</v>
      </c>
      <c r="F49" s="470">
        <f t="shared" si="3"/>
        <v>3.7999999999999999E-2</v>
      </c>
      <c r="G49" s="438">
        <v>80</v>
      </c>
      <c r="H49" s="470">
        <f t="shared" si="4"/>
        <v>3.04</v>
      </c>
      <c r="I49" s="480">
        <f t="shared" si="5"/>
        <v>243.2</v>
      </c>
      <c r="J49" s="659"/>
      <c r="K49" s="508">
        <f t="shared" ref="K49:K56" si="6">IFERROR(J49*I49,0)</f>
        <v>0</v>
      </c>
      <c r="L49" s="494"/>
      <c r="M49" s="660"/>
      <c r="N49" s="508">
        <f t="shared" ref="N49:N56" si="7">IFERROR(M49*I49,0)</f>
        <v>0</v>
      </c>
      <c r="O49" s="179"/>
      <c r="P49" s="179"/>
    </row>
    <row r="50" spans="1:16" x14ac:dyDescent="0.25">
      <c r="A50" s="179"/>
      <c r="B50" s="438" t="s">
        <v>814</v>
      </c>
      <c r="C50" s="467">
        <v>28</v>
      </c>
      <c r="D50" s="468">
        <v>5</v>
      </c>
      <c r="E50" s="469">
        <v>0.85</v>
      </c>
      <c r="F50" s="470">
        <f t="shared" si="3"/>
        <v>6.0714285714285714E-3</v>
      </c>
      <c r="G50" s="438">
        <v>15</v>
      </c>
      <c r="H50" s="470">
        <f t="shared" si="4"/>
        <v>9.1071428571428567E-2</v>
      </c>
      <c r="I50" s="480">
        <f t="shared" si="5"/>
        <v>1.3660714285714286</v>
      </c>
      <c r="J50" s="659"/>
      <c r="K50" s="508">
        <f t="shared" si="6"/>
        <v>0</v>
      </c>
      <c r="L50" s="494"/>
      <c r="M50" s="660"/>
      <c r="N50" s="508">
        <f t="shared" si="7"/>
        <v>0</v>
      </c>
      <c r="O50" s="179"/>
      <c r="P50" s="179"/>
    </row>
    <row r="51" spans="1:16" x14ac:dyDescent="0.25">
      <c r="A51" s="179"/>
      <c r="B51" s="438" t="s">
        <v>815</v>
      </c>
      <c r="C51" s="467">
        <v>10</v>
      </c>
      <c r="D51" s="471">
        <v>20</v>
      </c>
      <c r="E51" s="469">
        <v>120</v>
      </c>
      <c r="F51" s="470">
        <f t="shared" si="3"/>
        <v>0.6</v>
      </c>
      <c r="G51" s="438">
        <v>20</v>
      </c>
      <c r="H51" s="470">
        <f t="shared" si="4"/>
        <v>12</v>
      </c>
      <c r="I51" s="480">
        <f t="shared" si="5"/>
        <v>240</v>
      </c>
      <c r="J51" s="659"/>
      <c r="K51" s="508">
        <f t="shared" si="6"/>
        <v>0</v>
      </c>
      <c r="L51" s="494"/>
      <c r="M51" s="660"/>
      <c r="N51" s="508">
        <f t="shared" si="7"/>
        <v>0</v>
      </c>
      <c r="O51" s="179"/>
      <c r="P51" s="179"/>
    </row>
    <row r="52" spans="1:16" x14ac:dyDescent="0.25">
      <c r="A52" s="488"/>
      <c r="B52" s="467"/>
      <c r="C52" s="436"/>
      <c r="D52" s="472"/>
      <c r="E52" s="469"/>
      <c r="F52" s="470" t="str">
        <f t="shared" si="3"/>
        <v/>
      </c>
      <c r="G52" s="473"/>
      <c r="H52" s="470" t="str">
        <f t="shared" si="4"/>
        <v/>
      </c>
      <c r="I52" s="480" t="str">
        <f t="shared" si="5"/>
        <v/>
      </c>
      <c r="J52" s="659"/>
      <c r="K52" s="508">
        <f t="shared" si="6"/>
        <v>0</v>
      </c>
      <c r="L52" s="494"/>
      <c r="M52" s="660"/>
      <c r="N52" s="508">
        <f t="shared" si="7"/>
        <v>0</v>
      </c>
      <c r="O52" s="179"/>
      <c r="P52" s="179"/>
    </row>
    <row r="53" spans="1:16" x14ac:dyDescent="0.25">
      <c r="A53" s="488"/>
      <c r="B53" s="467"/>
      <c r="C53" s="436"/>
      <c r="D53" s="472"/>
      <c r="E53" s="469"/>
      <c r="F53" s="470" t="str">
        <f t="shared" si="3"/>
        <v/>
      </c>
      <c r="G53" s="473"/>
      <c r="H53" s="470" t="str">
        <f t="shared" si="4"/>
        <v/>
      </c>
      <c r="I53" s="480" t="str">
        <f t="shared" si="5"/>
        <v/>
      </c>
      <c r="J53" s="659"/>
      <c r="K53" s="508">
        <f t="shared" si="6"/>
        <v>0</v>
      </c>
      <c r="L53" s="494"/>
      <c r="M53" s="660"/>
      <c r="N53" s="508">
        <f t="shared" si="7"/>
        <v>0</v>
      </c>
      <c r="O53" s="179"/>
      <c r="P53" s="179"/>
    </row>
    <row r="54" spans="1:16" x14ac:dyDescent="0.25">
      <c r="A54" s="488"/>
      <c r="B54" s="467"/>
      <c r="C54" s="436"/>
      <c r="D54" s="472"/>
      <c r="E54" s="469"/>
      <c r="F54" s="470" t="str">
        <f t="shared" si="3"/>
        <v/>
      </c>
      <c r="G54" s="473"/>
      <c r="H54" s="470" t="str">
        <f t="shared" si="4"/>
        <v/>
      </c>
      <c r="I54" s="480" t="str">
        <f t="shared" si="5"/>
        <v/>
      </c>
      <c r="J54" s="659"/>
      <c r="K54" s="508">
        <f t="shared" si="6"/>
        <v>0</v>
      </c>
      <c r="L54" s="494"/>
      <c r="M54" s="660"/>
      <c r="N54" s="508">
        <f t="shared" si="7"/>
        <v>0</v>
      </c>
      <c r="O54" s="179"/>
      <c r="P54" s="179"/>
    </row>
    <row r="55" spans="1:16" x14ac:dyDescent="0.25">
      <c r="A55" s="488"/>
      <c r="B55" s="467"/>
      <c r="C55" s="436"/>
      <c r="D55" s="474"/>
      <c r="E55" s="469"/>
      <c r="F55" s="470" t="str">
        <f t="shared" si="3"/>
        <v/>
      </c>
      <c r="G55" s="473"/>
      <c r="H55" s="470" t="str">
        <f t="shared" si="4"/>
        <v/>
      </c>
      <c r="I55" s="480" t="str">
        <f t="shared" si="5"/>
        <v/>
      </c>
      <c r="J55" s="659"/>
      <c r="K55" s="508">
        <f t="shared" si="6"/>
        <v>0</v>
      </c>
      <c r="L55" s="494"/>
      <c r="M55" s="660"/>
      <c r="N55" s="508">
        <f t="shared" si="7"/>
        <v>0</v>
      </c>
      <c r="O55" s="179"/>
      <c r="P55" s="179"/>
    </row>
    <row r="56" spans="1:16" x14ac:dyDescent="0.25">
      <c r="A56" s="488"/>
      <c r="B56" s="467"/>
      <c r="C56" s="436"/>
      <c r="D56" s="475"/>
      <c r="E56" s="469"/>
      <c r="F56" s="470" t="str">
        <f t="shared" si="3"/>
        <v/>
      </c>
      <c r="G56" s="476"/>
      <c r="H56" s="470" t="str">
        <f t="shared" si="4"/>
        <v/>
      </c>
      <c r="I56" s="480" t="str">
        <f t="shared" si="5"/>
        <v/>
      </c>
      <c r="J56" s="659"/>
      <c r="K56" s="508">
        <f t="shared" si="6"/>
        <v>0</v>
      </c>
      <c r="L56" s="494"/>
      <c r="M56" s="660"/>
      <c r="N56" s="508">
        <f t="shared" si="7"/>
        <v>0</v>
      </c>
      <c r="O56" s="179"/>
      <c r="P56" s="179"/>
    </row>
    <row r="57" spans="1:16" s="445" customFormat="1" ht="13.8" thickBot="1" x14ac:dyDescent="0.3">
      <c r="A57" s="429"/>
      <c r="B57" s="477" t="s">
        <v>796</v>
      </c>
      <c r="C57" s="446"/>
      <c r="D57" s="446"/>
      <c r="E57" s="446"/>
      <c r="F57" s="478"/>
      <c r="G57" s="479"/>
      <c r="H57" s="478"/>
      <c r="I57" s="481">
        <f>IFERROR(AVERAGE(I48:I56),0)</f>
        <v>140.93326785714285</v>
      </c>
      <c r="J57" s="509">
        <f>SUM(J48:J56)</f>
        <v>0</v>
      </c>
      <c r="K57" s="507">
        <f>SUM(K48:K56)</f>
        <v>0</v>
      </c>
      <c r="L57" s="425"/>
      <c r="M57" s="632"/>
      <c r="N57" s="507">
        <f>SUM(N48:N56)</f>
        <v>0</v>
      </c>
      <c r="O57" s="429"/>
      <c r="P57" s="429"/>
    </row>
    <row r="58" spans="1:16" x14ac:dyDescent="0.25">
      <c r="A58" s="179"/>
      <c r="B58" s="179"/>
      <c r="C58" s="179"/>
      <c r="D58" s="179"/>
      <c r="E58" s="179"/>
      <c r="F58" s="179"/>
      <c r="G58" s="179"/>
      <c r="H58" s="179"/>
      <c r="I58" s="179"/>
      <c r="J58" s="452"/>
      <c r="K58" s="452"/>
      <c r="L58" s="452"/>
      <c r="M58" s="452"/>
      <c r="N58" s="452"/>
      <c r="O58" s="452"/>
      <c r="P58" s="179"/>
    </row>
    <row r="59" spans="1:16" ht="14.1" customHeight="1" x14ac:dyDescent="0.25">
      <c r="A59" s="179"/>
      <c r="B59" s="179" t="s">
        <v>816</v>
      </c>
      <c r="C59" s="179"/>
      <c r="D59" s="179"/>
      <c r="E59" s="179"/>
      <c r="F59" s="179"/>
      <c r="G59" s="179"/>
      <c r="H59" s="179"/>
      <c r="I59" s="179"/>
      <c r="J59" s="179"/>
      <c r="K59" s="179"/>
      <c r="L59" s="179"/>
      <c r="M59" s="179"/>
      <c r="N59" s="179"/>
      <c r="O59" s="179"/>
      <c r="P59" s="179"/>
    </row>
    <row r="60" spans="1:16" ht="14.1" customHeight="1" x14ac:dyDescent="0.25">
      <c r="A60" s="179"/>
      <c r="B60" s="179" t="s">
        <v>1143</v>
      </c>
      <c r="C60" s="179"/>
      <c r="D60" s="179"/>
      <c r="E60" s="179"/>
      <c r="F60" s="179"/>
      <c r="G60" s="179"/>
      <c r="H60" s="179"/>
      <c r="I60" s="179"/>
      <c r="J60" s="179"/>
      <c r="K60" s="179"/>
      <c r="L60" s="179"/>
      <c r="M60" s="179"/>
      <c r="N60" s="179"/>
      <c r="O60" s="179"/>
      <c r="P60" s="179"/>
    </row>
    <row r="61" spans="1:16" ht="13.8" thickBot="1" x14ac:dyDescent="0.3">
      <c r="A61" s="179"/>
      <c r="B61" s="539"/>
      <c r="C61" s="539"/>
      <c r="D61" s="539"/>
      <c r="E61" s="539"/>
      <c r="F61" s="539"/>
      <c r="G61" s="539"/>
      <c r="H61" s="539"/>
      <c r="I61" s="539"/>
      <c r="J61" s="539"/>
      <c r="K61" s="539"/>
      <c r="L61" s="539"/>
      <c r="M61" s="539"/>
      <c r="N61" s="539"/>
      <c r="O61" s="539"/>
      <c r="P61" s="179"/>
    </row>
    <row r="62" spans="1:16" ht="25.35" customHeight="1" x14ac:dyDescent="0.25">
      <c r="A62" s="179"/>
      <c r="B62" s="491" t="s">
        <v>817</v>
      </c>
      <c r="C62" s="179"/>
      <c r="D62" s="179"/>
      <c r="E62" s="179"/>
      <c r="F62" s="179"/>
      <c r="G62" s="179"/>
      <c r="H62" s="179"/>
      <c r="I62" s="179"/>
      <c r="J62" s="429"/>
      <c r="K62" s="429"/>
      <c r="L62" s="429"/>
      <c r="M62" s="429"/>
      <c r="N62" s="429"/>
      <c r="O62" s="429"/>
      <c r="P62" s="179"/>
    </row>
    <row r="63" spans="1:16" ht="26.4" x14ac:dyDescent="0.25">
      <c r="A63" s="179"/>
      <c r="B63" s="493" t="s">
        <v>818</v>
      </c>
      <c r="C63" s="446" t="s">
        <v>819</v>
      </c>
      <c r="D63" s="477" t="s">
        <v>820</v>
      </c>
      <c r="E63" s="446"/>
      <c r="F63" s="446"/>
      <c r="G63" s="446"/>
      <c r="H63" s="446"/>
      <c r="I63" s="446"/>
      <c r="J63" s="510"/>
      <c r="K63" s="433" t="s">
        <v>821</v>
      </c>
      <c r="L63" s="499"/>
      <c r="M63" s="433" t="s">
        <v>822</v>
      </c>
      <c r="N63" s="499"/>
      <c r="O63" s="499"/>
      <c r="P63" s="179"/>
    </row>
    <row r="64" spans="1:16" x14ac:dyDescent="0.25">
      <c r="A64" s="179"/>
      <c r="B64" s="492" t="s">
        <v>823</v>
      </c>
      <c r="C64" s="451">
        <v>110</v>
      </c>
      <c r="D64" s="462" t="s">
        <v>824</v>
      </c>
      <c r="E64" s="454"/>
      <c r="F64" s="454"/>
      <c r="G64" s="454"/>
      <c r="H64" s="454"/>
      <c r="I64" s="454"/>
      <c r="J64" s="511"/>
      <c r="K64" s="661">
        <v>181</v>
      </c>
      <c r="L64" s="500"/>
      <c r="M64" s="661">
        <f>K64*0.8</f>
        <v>144.80000000000001</v>
      </c>
      <c r="N64" s="500"/>
      <c r="O64" s="500"/>
      <c r="P64" s="179"/>
    </row>
    <row r="65" spans="1:16" x14ac:dyDescent="0.25">
      <c r="A65" s="179"/>
      <c r="B65" s="492" t="s">
        <v>823</v>
      </c>
      <c r="C65" s="451">
        <v>110</v>
      </c>
      <c r="D65" s="462" t="s">
        <v>825</v>
      </c>
      <c r="E65" s="454"/>
      <c r="F65" s="454"/>
      <c r="G65" s="454"/>
      <c r="H65" s="454"/>
      <c r="I65" s="454"/>
      <c r="J65" s="743"/>
      <c r="K65" s="661">
        <v>72</v>
      </c>
      <c r="L65" s="500"/>
      <c r="M65" s="661">
        <f>K65*0.8</f>
        <v>57.6</v>
      </c>
      <c r="N65" s="500"/>
      <c r="O65" s="500"/>
      <c r="P65" s="179"/>
    </row>
    <row r="66" spans="1:16" x14ac:dyDescent="0.25">
      <c r="A66" s="179"/>
      <c r="B66" s="179"/>
      <c r="C66" s="179"/>
      <c r="D66" s="179"/>
      <c r="E66" s="179"/>
      <c r="F66" s="179"/>
      <c r="G66" s="179"/>
      <c r="H66" s="179"/>
      <c r="I66" s="179"/>
      <c r="J66" s="179"/>
      <c r="K66" s="179"/>
      <c r="L66" s="179"/>
      <c r="M66" s="179"/>
      <c r="N66" s="179"/>
      <c r="O66" s="179"/>
      <c r="P66" s="179"/>
    </row>
    <row r="67" spans="1:16" x14ac:dyDescent="0.25">
      <c r="A67" s="179"/>
      <c r="B67" s="179" t="s">
        <v>826</v>
      </c>
      <c r="C67" s="179"/>
      <c r="D67" s="179"/>
      <c r="E67" s="179"/>
      <c r="F67" s="179"/>
      <c r="G67" s="179"/>
      <c r="H67" s="179"/>
      <c r="I67" s="179"/>
      <c r="J67" s="179"/>
      <c r="K67" s="179"/>
      <c r="L67" s="179"/>
      <c r="M67" s="179"/>
      <c r="N67" s="179"/>
      <c r="O67" s="179"/>
      <c r="P67" s="179"/>
    </row>
    <row r="68" spans="1:16" x14ac:dyDescent="0.25">
      <c r="A68" s="179"/>
      <c r="B68" s="463" t="s">
        <v>827</v>
      </c>
      <c r="C68" s="463"/>
      <c r="D68" s="463"/>
      <c r="E68" s="179"/>
      <c r="F68" s="179"/>
      <c r="G68" s="179"/>
      <c r="H68" s="179"/>
      <c r="I68" s="179"/>
      <c r="J68" s="179"/>
      <c r="K68" s="179"/>
      <c r="L68" s="179"/>
      <c r="M68" s="179"/>
      <c r="N68" s="179"/>
      <c r="O68" s="179"/>
      <c r="P68" s="179"/>
    </row>
    <row r="69" spans="1:16" x14ac:dyDescent="0.25">
      <c r="A69" s="179"/>
      <c r="B69" s="464" t="s">
        <v>828</v>
      </c>
      <c r="C69" s="464"/>
      <c r="D69" s="464"/>
      <c r="E69" s="179"/>
      <c r="F69" s="179"/>
      <c r="G69" s="179"/>
      <c r="H69" s="179"/>
      <c r="I69" s="179"/>
      <c r="J69" s="179"/>
      <c r="K69" s="179"/>
      <c r="L69" s="179"/>
      <c r="M69" s="179"/>
      <c r="N69" s="179"/>
      <c r="O69" s="179"/>
      <c r="P69" s="179"/>
    </row>
    <row r="70" spans="1:16" x14ac:dyDescent="0.25">
      <c r="A70" s="179"/>
      <c r="B70" s="179"/>
      <c r="C70" s="179"/>
      <c r="D70" s="179"/>
      <c r="E70" s="179"/>
      <c r="F70" s="179"/>
      <c r="G70" s="179"/>
      <c r="H70" s="179"/>
      <c r="I70" s="179"/>
      <c r="J70" s="179"/>
      <c r="K70" s="179"/>
      <c r="L70" s="179"/>
      <c r="M70" s="179"/>
      <c r="N70" s="179"/>
      <c r="O70" s="179"/>
      <c r="P70" s="179"/>
    </row>
  </sheetData>
  <sheetProtection algorithmName="SHA-512" hashValue="ULqF25nnu0l9chzZZHmGuSgpt9Kz01r6mTy6BCsfA468rNuBZZ0RL3v9kByX9soDCW7TEqU2vkxrQeB9SWW3Tg==" saltValue="Xjh+hxR7ELUOIaQSGMRyhw==" spinCount="100000" sheet="1" objects="1" scenarios="1"/>
  <hyperlinks>
    <hyperlink ref="B12" r:id="rId1" xr:uid="{E7440B19-6714-414A-8973-67EBBFF18DB5}"/>
    <hyperlink ref="B41" r:id="rId2" xr:uid="{52963115-6F2B-471F-B554-C08021C07B2F}"/>
  </hyperlinks>
  <pageMargins left="0.70866141732283472" right="0.70866141732283472" top="0.74803149606299213" bottom="0.74803149606299213" header="0.31496062992125984" footer="0.31496062992125984"/>
  <pageSetup paperSize="9" scale="36" orientation="portrait" r:id="rId3"/>
  <ignoredErrors>
    <ignoredError sqref="J8 H25:H27 H28 M64:M65 H29:H3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J60"/>
  <sheetViews>
    <sheetView showGridLines="0" zoomScale="80" zoomScaleNormal="80" zoomScaleSheetLayoutView="80" workbookViewId="0"/>
  </sheetViews>
  <sheetFormatPr defaultColWidth="8.77734375" defaultRowHeight="14.4" x14ac:dyDescent="0.3"/>
  <cols>
    <col min="1" max="1" width="3.5546875" customWidth="1"/>
    <col min="2" max="2" width="75.5546875" style="1" customWidth="1"/>
    <col min="3" max="7" width="11.5546875" customWidth="1"/>
    <col min="8" max="8" width="15.77734375" customWidth="1"/>
    <col min="9" max="9" width="1.44140625" customWidth="1"/>
    <col min="10" max="10" width="8.77734375" style="133"/>
  </cols>
  <sheetData>
    <row r="1" spans="2:10" ht="30" customHeight="1" x14ac:dyDescent="0.3">
      <c r="B1" s="345" t="str">
        <f>'Inputs and eligible population'!B1</f>
        <v>AposHealth for osteoarthritis of the knee</v>
      </c>
      <c r="C1" s="141"/>
      <c r="D1" s="141"/>
      <c r="E1" s="141"/>
      <c r="F1" s="141"/>
      <c r="G1" s="141"/>
      <c r="H1" s="141"/>
    </row>
    <row r="2" spans="2:10" ht="30" customHeight="1" x14ac:dyDescent="0.3">
      <c r="B2" s="266" t="s">
        <v>22</v>
      </c>
      <c r="D2" s="127" t="s">
        <v>763</v>
      </c>
      <c r="E2" s="127" t="s">
        <v>763</v>
      </c>
      <c r="F2" s="127" t="s">
        <v>763</v>
      </c>
      <c r="G2" s="127" t="s">
        <v>763</v>
      </c>
      <c r="H2" s="127" t="s">
        <v>763</v>
      </c>
    </row>
    <row r="3" spans="2:10" ht="20.100000000000001" customHeight="1" x14ac:dyDescent="0.3">
      <c r="B3" s="137" t="s">
        <v>829</v>
      </c>
      <c r="C3" s="133" t="s">
        <v>763</v>
      </c>
      <c r="D3" s="133" t="s">
        <v>763</v>
      </c>
      <c r="E3" s="133" t="s">
        <v>763</v>
      </c>
      <c r="F3" s="133" t="s">
        <v>763</v>
      </c>
      <c r="G3" s="133" t="s">
        <v>763</v>
      </c>
      <c r="H3" s="133" t="s">
        <v>763</v>
      </c>
    </row>
    <row r="4" spans="2:10" x14ac:dyDescent="0.3">
      <c r="B4" t="s">
        <v>830</v>
      </c>
    </row>
    <row r="5" spans="2:10" x14ac:dyDescent="0.3">
      <c r="B5" t="s">
        <v>831</v>
      </c>
    </row>
    <row r="6" spans="2:10" x14ac:dyDescent="0.3">
      <c r="B6" t="s">
        <v>832</v>
      </c>
    </row>
    <row r="7" spans="2:10" x14ac:dyDescent="0.3">
      <c r="B7" s="147" t="s">
        <v>833</v>
      </c>
    </row>
    <row r="8" spans="2:10" x14ac:dyDescent="0.3">
      <c r="B8" s="208"/>
      <c r="F8" s="133"/>
      <c r="G8" s="133"/>
      <c r="H8" s="133"/>
    </row>
    <row r="9" spans="2:10" x14ac:dyDescent="0.3">
      <c r="B9" s="213" t="s">
        <v>834</v>
      </c>
      <c r="C9" s="647" t="s">
        <v>623</v>
      </c>
      <c r="D9" s="646"/>
      <c r="E9" s="646"/>
      <c r="F9" s="646"/>
      <c r="G9" s="646"/>
    </row>
    <row r="10" spans="2:10" s="147" customFormat="1" x14ac:dyDescent="0.3">
      <c r="B10" s="159" t="s">
        <v>692</v>
      </c>
      <c r="C10" s="128">
        <f>'Inputs and eligible population'!F44</f>
        <v>100</v>
      </c>
      <c r="D10" s="233"/>
      <c r="E10" s="233"/>
      <c r="F10" s="233"/>
      <c r="G10" s="233"/>
      <c r="H10"/>
      <c r="J10" s="785"/>
    </row>
    <row r="11" spans="2:10" ht="14.85" customHeight="1" x14ac:dyDescent="0.3">
      <c r="B11" s="205"/>
      <c r="C11" s="133"/>
      <c r="D11" s="133"/>
      <c r="E11" s="133"/>
      <c r="F11" s="133"/>
      <c r="G11" s="133"/>
    </row>
    <row r="12" spans="2:10" x14ac:dyDescent="0.3">
      <c r="B12" s="216" t="s">
        <v>835</v>
      </c>
      <c r="C12" s="648" t="s">
        <v>623</v>
      </c>
      <c r="D12" s="648" t="s">
        <v>624</v>
      </c>
      <c r="E12" s="647" t="s">
        <v>625</v>
      </c>
      <c r="F12" s="647" t="s">
        <v>626</v>
      </c>
      <c r="G12" s="648" t="s">
        <v>627</v>
      </c>
    </row>
    <row r="13" spans="2:10" x14ac:dyDescent="0.3">
      <c r="B13" s="215" t="s">
        <v>836</v>
      </c>
      <c r="C13" s="648"/>
      <c r="D13" s="648"/>
      <c r="E13" s="647"/>
      <c r="F13" s="647"/>
      <c r="G13" s="648"/>
    </row>
    <row r="14" spans="2:10" x14ac:dyDescent="0.3">
      <c r="B14" s="214" t="s">
        <v>837</v>
      </c>
      <c r="C14" s="128">
        <f>'Inputs and eligible population'!G51</f>
        <v>100</v>
      </c>
      <c r="D14" s="128">
        <f>'Inputs and eligible population'!H51</f>
        <v>91.311999999999998</v>
      </c>
      <c r="E14" s="128">
        <f>'Inputs and eligible population'!I51</f>
        <v>83.378813440000002</v>
      </c>
      <c r="F14" s="128">
        <f>'Inputs and eligible population'!J51</f>
        <v>76.134862128332799</v>
      </c>
      <c r="G14" s="128">
        <f>'Inputs and eligible population'!K51</f>
        <v>69.520265306623244</v>
      </c>
    </row>
    <row r="15" spans="2:10" x14ac:dyDescent="0.3">
      <c r="B15" s="214" t="s">
        <v>838</v>
      </c>
      <c r="C15" s="128">
        <f>'Inputs and eligible population'!G61</f>
        <v>0</v>
      </c>
      <c r="D15" s="128">
        <f>'Inputs and eligible population'!H61</f>
        <v>0</v>
      </c>
      <c r="E15" s="128">
        <f>'Inputs and eligible population'!I61</f>
        <v>0</v>
      </c>
      <c r="F15" s="128">
        <f>'Inputs and eligible population'!J61</f>
        <v>0</v>
      </c>
      <c r="G15" s="128">
        <f>'Inputs and eligible population'!K61</f>
        <v>0</v>
      </c>
    </row>
    <row r="16" spans="2:10" x14ac:dyDescent="0.3">
      <c r="B16" s="742" t="s">
        <v>839</v>
      </c>
      <c r="C16" s="128"/>
      <c r="D16" s="128"/>
      <c r="E16" s="128"/>
      <c r="F16" s="128"/>
      <c r="G16" s="128"/>
    </row>
    <row r="17" spans="1:8" x14ac:dyDescent="0.3">
      <c r="B17" s="159" t="s">
        <v>838</v>
      </c>
      <c r="C17" s="128">
        <f>'Inputs and eligible population'!G73</f>
        <v>100</v>
      </c>
      <c r="D17" s="128">
        <f>'Inputs and eligible population'!H73</f>
        <v>67</v>
      </c>
      <c r="E17" s="128">
        <f>'Inputs and eligible population'!I73</f>
        <v>44.89</v>
      </c>
      <c r="F17" s="128">
        <f>'Inputs and eligible population'!J73</f>
        <v>30.0763</v>
      </c>
      <c r="G17" s="128">
        <f>'Inputs and eligible population'!K73</f>
        <v>20.151121</v>
      </c>
    </row>
    <row r="18" spans="1:8" ht="15" thickBot="1" x14ac:dyDescent="0.35">
      <c r="B18" s="310"/>
      <c r="C18" s="311"/>
      <c r="D18" s="311"/>
      <c r="E18" s="311"/>
      <c r="F18" s="311"/>
      <c r="G18" s="311"/>
      <c r="H18" s="312"/>
    </row>
    <row r="19" spans="1:8" x14ac:dyDescent="0.3">
      <c r="B19" s="218"/>
      <c r="C19" s="239"/>
      <c r="D19" s="239"/>
      <c r="E19" s="239"/>
      <c r="F19" s="239"/>
      <c r="G19" s="239"/>
      <c r="H19" s="133"/>
    </row>
    <row r="20" spans="1:8" x14ac:dyDescent="0.3">
      <c r="B20" s="215" t="s">
        <v>840</v>
      </c>
      <c r="C20" s="647" t="s">
        <v>623</v>
      </c>
      <c r="D20" s="647" t="s">
        <v>624</v>
      </c>
      <c r="E20" s="647" t="s">
        <v>625</v>
      </c>
      <c r="F20" s="647" t="s">
        <v>626</v>
      </c>
      <c r="G20" s="647" t="s">
        <v>627</v>
      </c>
      <c r="H20" s="133"/>
    </row>
    <row r="21" spans="1:8" x14ac:dyDescent="0.3">
      <c r="B21" s="236" t="s">
        <v>841</v>
      </c>
      <c r="C21" s="664" t="s">
        <v>842</v>
      </c>
      <c r="D21" s="664" t="s">
        <v>842</v>
      </c>
      <c r="E21" s="664" t="s">
        <v>842</v>
      </c>
      <c r="F21" s="664" t="s">
        <v>842</v>
      </c>
      <c r="G21" s="664" t="s">
        <v>842</v>
      </c>
      <c r="H21" s="133"/>
    </row>
    <row r="22" spans="1:8" x14ac:dyDescent="0.3">
      <c r="B22" s="217" t="s">
        <v>843</v>
      </c>
      <c r="C22" s="643">
        <f>'Financial impact (cash)'!D21</f>
        <v>96</v>
      </c>
      <c r="D22" s="211">
        <f>'Financial impact (cash)'!E21</f>
        <v>0</v>
      </c>
      <c r="E22" s="211">
        <f>'Financial impact (cash)'!F21</f>
        <v>0</v>
      </c>
      <c r="F22" s="211">
        <f>'Financial impact (cash)'!G21</f>
        <v>0</v>
      </c>
      <c r="G22" s="211">
        <f>'Financial impact (cash)'!H21</f>
        <v>0</v>
      </c>
      <c r="H22" s="133"/>
    </row>
    <row r="23" spans="1:8" x14ac:dyDescent="0.3">
      <c r="B23" s="217" t="s">
        <v>844</v>
      </c>
      <c r="C23" s="180">
        <f>C22</f>
        <v>96</v>
      </c>
      <c r="D23" s="642">
        <f>D22+C23</f>
        <v>96</v>
      </c>
      <c r="E23" s="642">
        <f>E22+D23</f>
        <v>96</v>
      </c>
      <c r="F23" s="642">
        <f>F22+E23</f>
        <v>96</v>
      </c>
      <c r="G23" s="642">
        <f>G22+F23</f>
        <v>96</v>
      </c>
      <c r="H23" s="133"/>
    </row>
    <row r="24" spans="1:8" x14ac:dyDescent="0.3">
      <c r="B24" s="218"/>
      <c r="C24" s="275"/>
      <c r="D24" s="275"/>
      <c r="E24" s="275"/>
      <c r="F24" s="275"/>
      <c r="G24" s="275"/>
    </row>
    <row r="25" spans="1:8" x14ac:dyDescent="0.3">
      <c r="B25" t="s">
        <v>845</v>
      </c>
      <c r="C25" s="275"/>
      <c r="D25" s="275"/>
      <c r="E25" s="275"/>
      <c r="F25" s="275"/>
      <c r="G25" s="275"/>
    </row>
    <row r="26" spans="1:8" x14ac:dyDescent="0.3">
      <c r="B26" s="402" t="s">
        <v>56</v>
      </c>
      <c r="C26" s="275"/>
      <c r="D26" s="275"/>
      <c r="E26" s="275"/>
      <c r="F26" s="275"/>
      <c r="G26" s="275"/>
    </row>
    <row r="27" spans="1:8" x14ac:dyDescent="0.3">
      <c r="B27" s="218"/>
      <c r="C27" s="275"/>
      <c r="D27" s="275"/>
      <c r="E27" s="275"/>
      <c r="F27" s="275"/>
      <c r="G27" s="275"/>
    </row>
    <row r="28" spans="1:8" x14ac:dyDescent="0.3">
      <c r="A28" s="275"/>
      <c r="B28" s="215" t="s">
        <v>846</v>
      </c>
      <c r="C28" s="647" t="s">
        <v>623</v>
      </c>
      <c r="D28" s="648" t="s">
        <v>624</v>
      </c>
      <c r="E28" s="647" t="s">
        <v>625</v>
      </c>
      <c r="F28" s="647" t="s">
        <v>626</v>
      </c>
      <c r="G28" s="648" t="s">
        <v>627</v>
      </c>
    </row>
    <row r="29" spans="1:8" x14ac:dyDescent="0.3">
      <c r="A29" s="275"/>
      <c r="B29" s="236" t="s">
        <v>847</v>
      </c>
      <c r="C29" s="664" t="s">
        <v>842</v>
      </c>
      <c r="D29" s="664" t="s">
        <v>842</v>
      </c>
      <c r="E29" s="664" t="s">
        <v>842</v>
      </c>
      <c r="F29" s="664" t="s">
        <v>842</v>
      </c>
      <c r="G29" s="664" t="s">
        <v>842</v>
      </c>
    </row>
    <row r="30" spans="1:8" x14ac:dyDescent="0.3">
      <c r="A30" s="275"/>
      <c r="B30" s="217" t="s">
        <v>848</v>
      </c>
      <c r="C30" s="643">
        <f>IF($B$26="national prices",'Capacity (national prices)'!K23,IF($B$26="local prices",'Capacity (local prices)'!K23,0))</f>
        <v>-247.35437940514279</v>
      </c>
      <c r="D30" s="643">
        <f>IF($B$26="national prices",'Capacity (national prices)'!L23,IF($B$26="local prices",'Capacity (local prices)'!L23,0))</f>
        <v>-142.6664228297783</v>
      </c>
      <c r="E30" s="643">
        <f>IF($B$26="national prices",'Capacity (national prices)'!M23,IF($B$26="local prices",'Capacity (local prices)'!M23,0))</f>
        <v>-74.529032592254566</v>
      </c>
      <c r="F30" s="643">
        <f>IF($B$26="national prices",'Capacity (national prices)'!N23,IF($B$26="local prices",'Capacity (local prices)'!N23,0))</f>
        <v>-30.706454187850827</v>
      </c>
      <c r="G30" s="643">
        <f>IF($B$26="national prices",'Capacity (national prices)'!O23,IF($B$26="local prices",'Capacity (local prices)'!O23,0))</f>
        <v>-3.0158550926419565</v>
      </c>
    </row>
    <row r="31" spans="1:8" x14ac:dyDescent="0.3">
      <c r="A31" s="275"/>
      <c r="B31" s="217" t="s">
        <v>849</v>
      </c>
      <c r="C31" s="180">
        <f>C30</f>
        <v>-247.35437940514279</v>
      </c>
      <c r="D31" s="642">
        <f>C31+D30</f>
        <v>-390.02080223492112</v>
      </c>
      <c r="E31" s="180">
        <f>D31+E30</f>
        <v>-464.54983482717569</v>
      </c>
      <c r="F31" s="180">
        <f>E31+F30</f>
        <v>-495.25628901502654</v>
      </c>
      <c r="G31" s="180">
        <f>F31+G30</f>
        <v>-498.27214410766851</v>
      </c>
    </row>
    <row r="32" spans="1:8" x14ac:dyDescent="0.3">
      <c r="A32" s="275"/>
      <c r="B32" s="275"/>
      <c r="C32" s="275"/>
      <c r="D32" s="275"/>
      <c r="E32" s="275"/>
      <c r="F32" s="275"/>
      <c r="G32" s="275"/>
    </row>
    <row r="33" spans="1:10" x14ac:dyDescent="0.3">
      <c r="A33" s="275"/>
      <c r="B33" s="215" t="s">
        <v>850</v>
      </c>
      <c r="C33" s="647" t="s">
        <v>623</v>
      </c>
      <c r="D33" s="648" t="s">
        <v>624</v>
      </c>
      <c r="E33" s="647" t="s">
        <v>625</v>
      </c>
      <c r="F33" s="647" t="s">
        <v>626</v>
      </c>
      <c r="G33" s="648" t="s">
        <v>627</v>
      </c>
    </row>
    <row r="34" spans="1:10" x14ac:dyDescent="0.3">
      <c r="B34" s="236"/>
      <c r="C34" s="664" t="s">
        <v>842</v>
      </c>
      <c r="D34" s="664" t="s">
        <v>842</v>
      </c>
      <c r="E34" s="664" t="s">
        <v>842</v>
      </c>
      <c r="F34" s="664" t="s">
        <v>842</v>
      </c>
      <c r="G34" s="664" t="s">
        <v>842</v>
      </c>
      <c r="H34" s="133"/>
    </row>
    <row r="35" spans="1:10" x14ac:dyDescent="0.3">
      <c r="B35" s="309" t="s">
        <v>851</v>
      </c>
      <c r="C35" s="325">
        <f>C22+C30</f>
        <v>-151.35437940514279</v>
      </c>
      <c r="D35" s="325">
        <f t="shared" ref="D35:G36" si="0">D22+D30</f>
        <v>-142.6664228297783</v>
      </c>
      <c r="E35" s="325">
        <f t="shared" si="0"/>
        <v>-74.529032592254566</v>
      </c>
      <c r="F35" s="325">
        <f t="shared" si="0"/>
        <v>-30.706454187850827</v>
      </c>
      <c r="G35" s="325">
        <f t="shared" si="0"/>
        <v>-3.0158550926419565</v>
      </c>
      <c r="H35" s="133"/>
    </row>
    <row r="36" spans="1:10" x14ac:dyDescent="0.3">
      <c r="B36" s="236" t="s">
        <v>852</v>
      </c>
      <c r="C36" s="180">
        <f>C23+C31</f>
        <v>-151.35437940514279</v>
      </c>
      <c r="D36" s="180">
        <f>D23+D31</f>
        <v>-294.02080223492112</v>
      </c>
      <c r="E36" s="180">
        <f>E23+E31</f>
        <v>-368.54983482717569</v>
      </c>
      <c r="F36" s="180">
        <f>F23+F31</f>
        <v>-399.25628901502654</v>
      </c>
      <c r="G36" s="180">
        <f t="shared" si="0"/>
        <v>-402.27214410766851</v>
      </c>
      <c r="H36" s="133"/>
      <c r="J36" s="903"/>
    </row>
    <row r="37" spans="1:10" ht="15" thickBot="1" x14ac:dyDescent="0.35">
      <c r="B37" s="310"/>
      <c r="C37" s="311"/>
      <c r="D37" s="311"/>
      <c r="E37" s="311"/>
      <c r="F37" s="311"/>
      <c r="G37" s="311"/>
      <c r="H37" s="312"/>
    </row>
    <row r="38" spans="1:10" x14ac:dyDescent="0.3">
      <c r="B38" s="218"/>
      <c r="C38" s="239"/>
      <c r="D38" s="239"/>
      <c r="E38" s="239"/>
      <c r="F38" s="239"/>
      <c r="G38" s="239"/>
      <c r="H38" s="133"/>
    </row>
    <row r="39" spans="1:10" ht="28.8" x14ac:dyDescent="0.3">
      <c r="B39" s="215" t="s">
        <v>853</v>
      </c>
      <c r="C39" s="647" t="s">
        <v>623</v>
      </c>
      <c r="D39" s="648" t="s">
        <v>624</v>
      </c>
      <c r="E39" s="647" t="s">
        <v>625</v>
      </c>
      <c r="F39" s="647" t="s">
        <v>626</v>
      </c>
      <c r="G39" s="648" t="s">
        <v>627</v>
      </c>
      <c r="H39" s="220" t="s">
        <v>854</v>
      </c>
    </row>
    <row r="40" spans="1:10" x14ac:dyDescent="0.3">
      <c r="B40" s="514"/>
      <c r="C40" s="610"/>
      <c r="D40" s="515"/>
      <c r="E40" s="515"/>
      <c r="F40" s="515"/>
      <c r="G40" s="515"/>
      <c r="H40" s="515"/>
    </row>
    <row r="41" spans="1:10" x14ac:dyDescent="0.3">
      <c r="A41" s="728"/>
      <c r="B41" s="740"/>
      <c r="C41" s="610"/>
      <c r="D41" s="610"/>
      <c r="E41" s="610"/>
      <c r="F41" s="610"/>
      <c r="G41" s="610"/>
      <c r="H41" s="610"/>
    </row>
    <row r="42" spans="1:10" x14ac:dyDescent="0.3">
      <c r="A42" s="728"/>
      <c r="B42" s="215"/>
      <c r="C42" s="212"/>
      <c r="D42" s="212"/>
      <c r="E42" s="212"/>
      <c r="F42" s="212"/>
      <c r="G42" s="212"/>
      <c r="H42" s="158"/>
    </row>
    <row r="43" spans="1:10" ht="20.100000000000001" customHeight="1" thickBot="1" x14ac:dyDescent="0.35">
      <c r="A43" s="728"/>
      <c r="B43" s="516" t="str">
        <f>'Capacity (local prices)'!B17</f>
        <v>Change in number of people receiving knee surgery</v>
      </c>
      <c r="C43" s="559">
        <f>IF($B$26="national prices",'Capacity (national prices)'!D17,IF($B$26="local prices",'Capacity (local prices)'!D17,0))</f>
        <v>-24.604331999999996</v>
      </c>
      <c r="D43" s="559">
        <f>IF($B$26="national prices",'Capacity (national prices)'!E17,IF($B$26="local prices",'Capacity (local prices)'!E17,0))</f>
        <v>-14.19102439584</v>
      </c>
      <c r="E43" s="559">
        <f>IF($B$26="national prices",'Capacity (national prices)'!F17,IF($B$26="local prices",'Capacity (local prices)'!F17,0))</f>
        <v>-7.4134004255294226</v>
      </c>
      <c r="F43" s="559">
        <f>IF($B$26="national prices",'Capacity (national prices)'!G17,IF($B$26="local prices",'Capacity (local prices)'!G17,0))</f>
        <v>-3.0543699901234254</v>
      </c>
      <c r="G43" s="559">
        <f>IF($B$26="national prices",'Capacity (national prices)'!H17,IF($B$26="local prices",'Capacity (local prices)'!H17,0))</f>
        <v>-0.29998700706938308</v>
      </c>
      <c r="H43" s="559">
        <f>SUM(C43:G43)</f>
        <v>-49.563113818562229</v>
      </c>
    </row>
    <row r="44" spans="1:10" ht="20.100000000000001" customHeight="1" x14ac:dyDescent="0.3">
      <c r="A44" s="728"/>
      <c r="B44" s="560" t="s">
        <v>855</v>
      </c>
      <c r="C44" s="561">
        <f t="shared" ref="C44:G44" si="1">C43</f>
        <v>-24.604331999999996</v>
      </c>
      <c r="D44" s="561">
        <f t="shared" si="1"/>
        <v>-14.19102439584</v>
      </c>
      <c r="E44" s="561">
        <f t="shared" si="1"/>
        <v>-7.4134004255294226</v>
      </c>
      <c r="F44" s="561">
        <f t="shared" si="1"/>
        <v>-3.0543699901234254</v>
      </c>
      <c r="G44" s="766">
        <f t="shared" si="1"/>
        <v>-0.29998700706938308</v>
      </c>
      <c r="H44" s="561">
        <f>SUM(C44:G44)</f>
        <v>-49.563113818562229</v>
      </c>
    </row>
    <row r="45" spans="1:10" ht="20.100000000000001" customHeight="1" thickBot="1" x14ac:dyDescent="0.35">
      <c r="A45" s="728"/>
      <c r="B45" s="562" t="s">
        <v>856</v>
      </c>
      <c r="C45" s="563">
        <v>2</v>
      </c>
      <c r="D45" s="563">
        <v>2</v>
      </c>
      <c r="E45" s="563">
        <v>2</v>
      </c>
      <c r="F45" s="563">
        <v>2</v>
      </c>
      <c r="G45" s="767">
        <v>2</v>
      </c>
      <c r="H45" s="564">
        <v>2</v>
      </c>
    </row>
    <row r="46" spans="1:10" ht="20.100000000000001" customHeight="1" thickBot="1" x14ac:dyDescent="0.35">
      <c r="A46" s="728"/>
      <c r="B46" s="565" t="s">
        <v>857</v>
      </c>
      <c r="C46" s="899">
        <f>C44/2</f>
        <v>-12.302165999999998</v>
      </c>
      <c r="D46" s="899">
        <f t="shared" ref="D46:G46" si="2">D44/2</f>
        <v>-7.0955121979199998</v>
      </c>
      <c r="E46" s="899">
        <f t="shared" si="2"/>
        <v>-3.7067002127647113</v>
      </c>
      <c r="F46" s="899">
        <f t="shared" si="2"/>
        <v>-1.5271849950617127</v>
      </c>
      <c r="G46" s="900">
        <f t="shared" si="2"/>
        <v>-0.14999350353469154</v>
      </c>
      <c r="H46" s="901">
        <f t="shared" ref="H46" si="3">H44/2</f>
        <v>-24.781556909281115</v>
      </c>
    </row>
    <row r="47" spans="1:10" ht="20.100000000000001" customHeight="1" x14ac:dyDescent="0.3">
      <c r="A47" s="728"/>
      <c r="B47" s="740"/>
      <c r="C47" s="741"/>
      <c r="D47" s="741"/>
      <c r="E47" s="741"/>
      <c r="F47" s="741"/>
      <c r="G47" s="741"/>
      <c r="H47" s="741"/>
    </row>
    <row r="48" spans="1:10" ht="20.100000000000001" customHeight="1" x14ac:dyDescent="0.3">
      <c r="A48" s="728"/>
      <c r="B48" s="740"/>
      <c r="C48" s="741"/>
      <c r="D48" s="741"/>
      <c r="E48" s="741"/>
      <c r="F48" s="741"/>
      <c r="G48" s="741"/>
      <c r="H48" s="741"/>
    </row>
    <row r="49" spans="1:8" ht="20.100000000000001" customHeight="1" x14ac:dyDescent="0.3">
      <c r="A49" s="728"/>
      <c r="B49" s="513" t="str">
        <f>'Capacity (local prices)'!B11</f>
        <v>Change in number of people receiving physiotherapy first appointments</v>
      </c>
      <c r="C49" s="512">
        <f>IF($B$26="national prices",'Capacity (national prices)'!D11,IF($B$26="local prices",'Capacity (local prices)'!D11,0))</f>
        <v>-50</v>
      </c>
      <c r="D49" s="512">
        <f>IF($B$26="national prices",'Capacity (national prices)'!E11,IF($B$26="local prices",'Capacity (local prices)'!E11,0))</f>
        <v>-33.5</v>
      </c>
      <c r="E49" s="512">
        <f>IF($B$26="national prices",'Capacity (national prices)'!F11,IF($B$26="local prices",'Capacity (local prices)'!F11,0))</f>
        <v>-22.445</v>
      </c>
      <c r="F49" s="512">
        <f>IF($B$26="national prices",'Capacity (national prices)'!G11,IF($B$26="local prices",'Capacity (local prices)'!G11,0))</f>
        <v>-15.03815</v>
      </c>
      <c r="G49" s="512">
        <f>IF($B$26="national prices",'Capacity (national prices)'!H11,IF($B$26="local prices",'Capacity (local prices)'!H11,0))</f>
        <v>-10.0755605</v>
      </c>
      <c r="H49" s="512">
        <f t="shared" ref="H49:H57" si="4">SUM(C49:G49)</f>
        <v>-131.05871049999999</v>
      </c>
    </row>
    <row r="50" spans="1:8" ht="20.100000000000001" customHeight="1" x14ac:dyDescent="0.3">
      <c r="A50" s="728"/>
      <c r="B50" s="513" t="str">
        <f>'Capacity (local prices)'!B12</f>
        <v>Change in number of people receiving physiotherapy follow-up appointments</v>
      </c>
      <c r="C50" s="512">
        <f>IF($B$26="national prices",'Capacity (national prices)'!D12,IF($B$26="local prices",'Capacity (local prices)'!D12,0))</f>
        <v>0</v>
      </c>
      <c r="D50" s="512">
        <f>IF($B$26="national prices",'Capacity (national prices)'!E12,IF($B$26="local prices",'Capacity (local prices)'!E12,0))</f>
        <v>0</v>
      </c>
      <c r="E50" s="512">
        <f>IF($B$26="national prices",'Capacity (national prices)'!F12,IF($B$26="local prices",'Capacity (local prices)'!F12,0))</f>
        <v>0</v>
      </c>
      <c r="F50" s="512">
        <f>IF($B$26="national prices",'Capacity (national prices)'!G12,IF($B$26="local prices",'Capacity (local prices)'!G12,0))</f>
        <v>0</v>
      </c>
      <c r="G50" s="512">
        <f>IF($B$26="national prices",'Capacity (national prices)'!H12,IF($B$26="local prices",'Capacity (local prices)'!H12,0))</f>
        <v>0</v>
      </c>
      <c r="H50" s="512">
        <f t="shared" si="4"/>
        <v>0</v>
      </c>
    </row>
    <row r="51" spans="1:8" ht="20.100000000000001" customHeight="1" x14ac:dyDescent="0.3">
      <c r="A51" s="728"/>
      <c r="B51" s="513" t="str">
        <f>'Capacity (local prices)'!B13</f>
        <v>Change in number of people receiving orthotic service first appointments</v>
      </c>
      <c r="C51" s="512">
        <f>IF($B$26="national prices",'Capacity (national prices)'!D13,IF($B$26="local prices",'Capacity (local prices)'!D13,0))</f>
        <v>0</v>
      </c>
      <c r="D51" s="512">
        <f>IF($B$26="national prices",'Capacity (national prices)'!E13,IF($B$26="local prices",'Capacity (local prices)'!E13,0))</f>
        <v>0</v>
      </c>
      <c r="E51" s="512">
        <f>IF($B$26="national prices",'Capacity (national prices)'!F13,IF($B$26="local prices",'Capacity (local prices)'!F13,0))</f>
        <v>0</v>
      </c>
      <c r="F51" s="512">
        <f>IF($B$26="national prices",'Capacity (national prices)'!G13,IF($B$26="local prices",'Capacity (local prices)'!G13,0))</f>
        <v>0</v>
      </c>
      <c r="G51" s="512">
        <f>IF($B$26="national prices",'Capacity (national prices)'!H13,IF($B$26="local prices",'Capacity (local prices)'!H13,0))</f>
        <v>0</v>
      </c>
      <c r="H51" s="512">
        <f t="shared" si="4"/>
        <v>0</v>
      </c>
    </row>
    <row r="52" spans="1:8" ht="20.100000000000001" customHeight="1" x14ac:dyDescent="0.3">
      <c r="A52" s="728"/>
      <c r="B52" s="513" t="str">
        <f>'Capacity (local prices)'!B14</f>
        <v>Change in number of people receiving orthotic service follow-up appointments</v>
      </c>
      <c r="C52" s="512">
        <f>IF($B$26="national prices",'Capacity (national prices)'!D14,IF($B$26="local prices",'Capacity (local prices)'!D14,0))</f>
        <v>0</v>
      </c>
      <c r="D52" s="512">
        <f>IF($B$26="national prices",'Capacity (national prices)'!E14,IF($B$26="local prices",'Capacity (local prices)'!E14,0))</f>
        <v>0</v>
      </c>
      <c r="E52" s="512">
        <f>IF($B$26="national prices",'Capacity (national prices)'!F14,IF($B$26="local prices",'Capacity (local prices)'!F14,0))</f>
        <v>0</v>
      </c>
      <c r="F52" s="512">
        <f>IF($B$26="national prices",'Capacity (national prices)'!G14,IF($B$26="local prices",'Capacity (local prices)'!G14,0))</f>
        <v>0</v>
      </c>
      <c r="G52" s="512">
        <f>IF($B$26="national prices",'Capacity (national prices)'!H14,IF($B$26="local prices",'Capacity (local prices)'!H14,0))</f>
        <v>0</v>
      </c>
      <c r="H52" s="512">
        <f t="shared" si="4"/>
        <v>0</v>
      </c>
    </row>
    <row r="53" spans="1:8" ht="20.100000000000001" customHeight="1" x14ac:dyDescent="0.3">
      <c r="A53" s="728"/>
      <c r="B53" s="513" t="str">
        <f>'Capacity (local prices)'!B15</f>
        <v>Change in appointment time of orthotic service assessments (hours)</v>
      </c>
      <c r="C53" s="512">
        <f>IF($B$26="national prices",'Capacity (national prices)'!D15,IF($B$26="local prices",'Capacity (local prices)'!D15,0))</f>
        <v>0</v>
      </c>
      <c r="D53" s="512">
        <f>IF($B$26="national prices",'Capacity (national prices)'!E15,IF($B$26="local prices",'Capacity (local prices)'!E15,0))</f>
        <v>0</v>
      </c>
      <c r="E53" s="512">
        <f>IF($B$26="national prices",'Capacity (national prices)'!F15,IF($B$26="local prices",'Capacity (local prices)'!F15,0))</f>
        <v>0</v>
      </c>
      <c r="F53" s="512">
        <f>IF($B$26="national prices",'Capacity (national prices)'!G15,IF($B$26="local prices",'Capacity (local prices)'!G15,0))</f>
        <v>0</v>
      </c>
      <c r="G53" s="512">
        <f>IF($B$26="national prices",'Capacity (national prices)'!H15,IF($B$26="local prices",'Capacity (local prices)'!H15,0))</f>
        <v>0</v>
      </c>
      <c r="H53" s="512">
        <f t="shared" si="4"/>
        <v>0</v>
      </c>
    </row>
    <row r="54" spans="1:8" ht="20.100000000000001" customHeight="1" x14ac:dyDescent="0.3">
      <c r="B54" s="513" t="str">
        <f>'Capacity (local prices)'!B16</f>
        <v>Change in appointment time of physiotherapy service assessments (hours)</v>
      </c>
      <c r="C54" s="512">
        <f>IF($B$26="national prices",'Capacity (national prices)'!D16,IF($B$26="local prices",'Capacity (local prices)'!D16,0))</f>
        <v>0</v>
      </c>
      <c r="D54" s="512">
        <f>IF($B$26="national prices",'Capacity (national prices)'!E16,IF($B$26="local prices",'Capacity (local prices)'!E16,0))</f>
        <v>0</v>
      </c>
      <c r="E54" s="512">
        <f>IF($B$26="national prices",'Capacity (national prices)'!F16,IF($B$26="local prices",'Capacity (local prices)'!F16,0))</f>
        <v>0</v>
      </c>
      <c r="F54" s="512">
        <f>IF($B$26="national prices",'Capacity (national prices)'!G16,IF($B$26="local prices",'Capacity (local prices)'!G16,0))</f>
        <v>0</v>
      </c>
      <c r="G54" s="512">
        <f>IF($B$26="national prices",'Capacity (national prices)'!H16,IF($B$26="local prices",'Capacity (local prices)'!H16,0))</f>
        <v>0</v>
      </c>
      <c r="H54" s="512">
        <f t="shared" si="4"/>
        <v>0</v>
      </c>
    </row>
    <row r="55" spans="1:8" ht="20.100000000000001" customHeight="1" x14ac:dyDescent="0.3">
      <c r="B55" s="513" t="str">
        <f>'Capacity (local prices)'!B17</f>
        <v>Change in number of people receiving knee surgery</v>
      </c>
      <c r="C55" s="512">
        <f>IF($B$26="national prices",'Capacity (national prices)'!D17,IF($B$26="local prices",'Capacity (local prices)'!D17,0))</f>
        <v>-24.604331999999996</v>
      </c>
      <c r="D55" s="512">
        <f>IF($B$26="national prices",'Capacity (national prices)'!E17,IF($B$26="local prices",'Capacity (local prices)'!E17,0))</f>
        <v>-14.19102439584</v>
      </c>
      <c r="E55" s="512">
        <f>IF($B$26="national prices",'Capacity (national prices)'!F17,IF($B$26="local prices",'Capacity (local prices)'!F17,0))</f>
        <v>-7.4134004255294226</v>
      </c>
      <c r="F55" s="512">
        <f>IF($B$26="national prices",'Capacity (national prices)'!G17,IF($B$26="local prices",'Capacity (local prices)'!G17,0))</f>
        <v>-3.0543699901234254</v>
      </c>
      <c r="G55" s="512">
        <f>IF($B$26="national prices",'Capacity (national prices)'!H17,IF($B$26="local prices",'Capacity (local prices)'!H17,0))</f>
        <v>-0.29998700706938308</v>
      </c>
      <c r="H55" s="512">
        <f t="shared" si="4"/>
        <v>-49.563113818562229</v>
      </c>
    </row>
    <row r="56" spans="1:8" ht="20.100000000000001" customHeight="1" x14ac:dyDescent="0.3">
      <c r="B56" s="513" t="str">
        <f>'Capacity (local prices)'!B18</f>
        <v>Change in number of orthopaedic first appointments</v>
      </c>
      <c r="C56" s="512">
        <f>IF($B$26="national prices",'Capacity (national prices)'!D18,IF($B$26="local prices",'Capacity (local prices)'!D18,0))</f>
        <v>-24.604331999999996</v>
      </c>
      <c r="D56" s="512">
        <f>IF($B$26="national prices",'Capacity (national prices)'!E18,IF($B$26="local prices",'Capacity (local prices)'!E18,0))</f>
        <v>-14.19102439584</v>
      </c>
      <c r="E56" s="512">
        <f>IF($B$26="national prices",'Capacity (national prices)'!F18,IF($B$26="local prices",'Capacity (local prices)'!F18,0))</f>
        <v>-7.4134004255294226</v>
      </c>
      <c r="F56" s="512">
        <f>IF($B$26="national prices",'Capacity (national prices)'!G18,IF($B$26="local prices",'Capacity (local prices)'!G18,0))</f>
        <v>-3.0543699901234254</v>
      </c>
      <c r="G56" s="512">
        <f>IF($B$26="national prices",'Capacity (national prices)'!H18,IF($B$26="local prices",'Capacity (local prices)'!H18,0))</f>
        <v>-0.29998700706938308</v>
      </c>
      <c r="H56" s="512">
        <f t="shared" si="4"/>
        <v>-49.563113818562229</v>
      </c>
    </row>
    <row r="57" spans="1:8" ht="20.100000000000001" customHeight="1" x14ac:dyDescent="0.3">
      <c r="B57" s="513" t="str">
        <f>'Capacity (local prices)'!B19</f>
        <v>Change in number of orthopaedic follow-up appointments</v>
      </c>
      <c r="C57" s="512">
        <f>IF($B$26="national prices",'Capacity (national prices)'!D19,IF($B$26="local prices",'Capacity (local prices)'!D19,0))</f>
        <v>0</v>
      </c>
      <c r="D57" s="512">
        <f>IF($B$26="national prices",'Capacity (national prices)'!E19,IF($B$26="local prices",'Capacity (local prices)'!E19,0))</f>
        <v>0</v>
      </c>
      <c r="E57" s="512">
        <f>IF($B$26="national prices",'Capacity (national prices)'!F19,IF($B$26="local prices",'Capacity (local prices)'!F19,0))</f>
        <v>0</v>
      </c>
      <c r="F57" s="512">
        <f>IF($B$26="national prices",'Capacity (national prices)'!G19,IF($B$26="local prices",'Capacity (local prices)'!G19,0))</f>
        <v>0</v>
      </c>
      <c r="G57" s="512">
        <f>IF($B$26="national prices",'Capacity (national prices)'!H19,IF($B$26="local prices",'Capacity (local prices)'!H19,0))</f>
        <v>0</v>
      </c>
      <c r="H57" s="512">
        <f t="shared" si="4"/>
        <v>0</v>
      </c>
    </row>
    <row r="58" spans="1:8" ht="20.100000000000001" customHeight="1" x14ac:dyDescent="0.3">
      <c r="B58" s="513" t="str">
        <f>'Capacity (local prices)'!B20</f>
        <v>Change in number of GP visits</v>
      </c>
      <c r="C58" s="512">
        <f>IF($B$26="national prices",'Capacity (national prices)'!D20,IF($B$26="local prices",'Capacity (local prices)'!D20,0))</f>
        <v>0</v>
      </c>
      <c r="D58" s="512">
        <f>IF($B$26="national prices",'Capacity (national prices)'!E20,IF($B$26="local prices",'Capacity (local prices)'!E20,0))</f>
        <v>0</v>
      </c>
      <c r="E58" s="512">
        <f>IF($B$26="national prices",'Capacity (national prices)'!F20,IF($B$26="local prices",'Capacity (local prices)'!F20,0))</f>
        <v>0</v>
      </c>
      <c r="F58" s="512">
        <f>IF($B$26="national prices",'Capacity (national prices)'!G20,IF($B$26="local prices",'Capacity (local prices)'!G20,0))</f>
        <v>0</v>
      </c>
      <c r="G58" s="512">
        <f>IF($B$26="national prices",'Capacity (national prices)'!H20,IF($B$26="local prices",'Capacity (local prices)'!H20,0))</f>
        <v>0</v>
      </c>
      <c r="H58" s="512">
        <f t="shared" ref="H58" si="5">SUM(C58:G58)</f>
        <v>0</v>
      </c>
    </row>
    <row r="59" spans="1:8" ht="20.100000000000001" customHeight="1" x14ac:dyDescent="0.3">
      <c r="B59" s="513" t="str">
        <f>'Capacity (local prices)'!B21</f>
        <v>Change in number of bed days avoided (costs already included in cost of surgery)</v>
      </c>
      <c r="C59" s="512">
        <f>IF($B$26="national prices",'Capacity (national prices)'!D21,IF($B$26="local prices",'Capacity (local prices)'!D21,0))</f>
        <v>-86.87672465714283</v>
      </c>
      <c r="D59" s="512">
        <f>IF($B$26="national prices",'Capacity (national prices)'!E21,IF($B$26="local prices",'Capacity (local prices)'!E21,0))</f>
        <v>-50.107831378644569</v>
      </c>
      <c r="E59" s="512">
        <f>IF($B$26="national prices",'Capacity (national prices)'!F21,IF($B$26="local prices",'Capacity (local prices)'!F21,0))</f>
        <v>-26.176363883476501</v>
      </c>
      <c r="F59" s="512">
        <f>IF($B$26="national prices",'Capacity (national prices)'!G21,IF($B$26="local prices",'Capacity (local prices)'!G21,0))</f>
        <v>-10.784834988935806</v>
      </c>
      <c r="G59" s="512">
        <f>IF($B$26="national prices",'Capacity (national prices)'!H21,IF($B$26="local prices",'Capacity (local prices)'!H21,0))</f>
        <v>-1.0592398368664178</v>
      </c>
      <c r="H59" s="512">
        <f t="shared" ref="H59" si="6">SUM(C59:G59)</f>
        <v>-175.00499474506614</v>
      </c>
    </row>
    <row r="60" spans="1:8" x14ac:dyDescent="0.3">
      <c r="B60" s="513" t="str">
        <f>'Capacity (local prices)'!B22</f>
        <v>Change in other support services</v>
      </c>
      <c r="C60" s="512">
        <f>IF($B$26="national prices",'Capacity (national prices)'!D22,IF($B$26="local prices",'Capacity (local prices)'!D22,0))</f>
        <v>0</v>
      </c>
      <c r="D60" s="512">
        <f>IF($B$26="national prices",'Capacity (national prices)'!E22,IF($B$26="local prices",'Capacity (local prices)'!E22,0))</f>
        <v>0</v>
      </c>
      <c r="E60" s="512">
        <f>IF($B$26="national prices",'Capacity (national prices)'!F22,IF($B$26="local prices",'Capacity (local prices)'!F22,0))</f>
        <v>0</v>
      </c>
      <c r="F60" s="512">
        <f>IF($B$26="national prices",'Capacity (national prices)'!G22,IF($B$26="local prices",'Capacity (local prices)'!G22,0))</f>
        <v>0</v>
      </c>
      <c r="G60" s="512">
        <f>IF($B$26="national prices",'Capacity (national prices)'!H22,IF($B$26="local prices",'Capacity (local prices)'!H22,0))</f>
        <v>0</v>
      </c>
      <c r="H60" s="512">
        <f t="shared" ref="H60" si="7">SUM(C60:G60)</f>
        <v>0</v>
      </c>
    </row>
  </sheetData>
  <sheetProtection algorithmName="SHA-512" hashValue="MBieD49sm/UY4R9sTShOfaka15A7qVTkqpo54vFjhLdsV+koo0MNUt8wp/jjSr2KfnlOLnvuIihBkWJUmISoNg==" saltValue="HoHRaOQRn7hoPZ3CQTKAXg==" spinCount="100000" sheet="1" objects="1" scenarios="1"/>
  <phoneticPr fontId="43" type="noConversion"/>
  <pageMargins left="0.70866141732283472" right="0.70866141732283472" top="0.74803149606299213" bottom="0.74803149606299213" header="0.31496062992125984" footer="0.31496062992125984"/>
  <pageSetup paperSize="9" scale="45" fitToHeight="0" orientation="portrait" horizontalDpi="4294967293" r:id="rId1"/>
  <colBreaks count="1" manualBreakCount="1">
    <brk id="8" max="51" man="1"/>
  </colBreaks>
  <ignoredErrors>
    <ignoredError sqref="C31:G34 C36:G36 D35:G35" evalError="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01E36F-3CBA-4894-82F6-D153E585BD65}">
          <x14:formula1>
            <xm:f>'Population selection'!$S$5:$S$6</xm:f>
          </x14:formula1>
          <xm:sqref>B26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G28"/>
  <sheetViews>
    <sheetView showGridLines="0" zoomScale="80" zoomScaleNormal="80" zoomScaleSheetLayoutView="80" workbookViewId="0"/>
  </sheetViews>
  <sheetFormatPr defaultColWidth="8.77734375" defaultRowHeight="14.4" x14ac:dyDescent="0.3"/>
  <cols>
    <col min="1" max="1" width="3.5546875" customWidth="1"/>
    <col min="2" max="2" width="50.5546875" style="1" customWidth="1"/>
    <col min="3" max="8" width="11.5546875" customWidth="1"/>
    <col min="9" max="11" width="11.44140625" bestFit="1" customWidth="1"/>
    <col min="12" max="12" width="11.44140625" customWidth="1"/>
    <col min="13" max="13" width="1.5546875" customWidth="1"/>
    <col min="14" max="19" width="10.77734375" customWidth="1"/>
    <col min="21" max="34" width="8.77734375" customWidth="1"/>
  </cols>
  <sheetData>
    <row r="1" spans="2:33" ht="30" customHeight="1" x14ac:dyDescent="0.3">
      <c r="B1" s="345" t="str">
        <f>'Inputs and eligible population'!B1</f>
        <v>AposHealth for osteoarthritis of the knee</v>
      </c>
      <c r="C1" s="127"/>
      <c r="D1" s="127"/>
      <c r="E1" s="127"/>
      <c r="F1" s="127"/>
      <c r="G1" s="127"/>
      <c r="H1" s="127"/>
      <c r="I1" s="127"/>
      <c r="J1" s="127"/>
      <c r="K1" s="127"/>
      <c r="L1" s="127"/>
      <c r="M1" s="127"/>
      <c r="N1" s="127"/>
      <c r="O1" s="127"/>
      <c r="P1" s="127"/>
      <c r="Q1" s="127"/>
      <c r="R1" s="127"/>
      <c r="S1" s="127"/>
    </row>
    <row r="2" spans="2:33" ht="38.1" customHeight="1" x14ac:dyDescent="0.3">
      <c r="B2" s="264" t="s">
        <v>858</v>
      </c>
      <c r="C2" s="127" t="s">
        <v>763</v>
      </c>
      <c r="D2" s="127" t="s">
        <v>763</v>
      </c>
      <c r="E2" s="127" t="s">
        <v>763</v>
      </c>
      <c r="F2" s="127" t="s">
        <v>763</v>
      </c>
      <c r="G2" s="127" t="s">
        <v>763</v>
      </c>
      <c r="H2" s="127"/>
      <c r="I2" s="127" t="s">
        <v>763</v>
      </c>
      <c r="J2" s="133"/>
      <c r="K2" s="127"/>
      <c r="L2" s="127"/>
      <c r="M2" s="127"/>
      <c r="N2" s="127"/>
      <c r="O2" s="127"/>
      <c r="P2" s="127"/>
      <c r="Q2" s="127"/>
      <c r="R2" s="127"/>
      <c r="S2" s="127"/>
    </row>
    <row r="3" spans="2:33" x14ac:dyDescent="0.3">
      <c r="B3" s="130" t="s">
        <v>763</v>
      </c>
      <c r="C3" s="133" t="s">
        <v>763</v>
      </c>
      <c r="D3" s="133" t="s">
        <v>763</v>
      </c>
      <c r="E3" s="133" t="s">
        <v>763</v>
      </c>
      <c r="F3" s="133" t="s">
        <v>763</v>
      </c>
      <c r="G3" s="133" t="s">
        <v>763</v>
      </c>
      <c r="H3" s="133" t="s">
        <v>763</v>
      </c>
      <c r="I3" s="133" t="s">
        <v>763</v>
      </c>
      <c r="J3" s="133"/>
      <c r="K3" s="133"/>
      <c r="L3" s="133"/>
      <c r="M3" s="133"/>
      <c r="N3" s="133"/>
      <c r="O3" s="133"/>
      <c r="P3" s="133"/>
      <c r="Q3" s="133"/>
      <c r="R3" s="133"/>
      <c r="S3" s="133"/>
    </row>
    <row r="4" spans="2:33" s="203" customFormat="1" x14ac:dyDescent="0.3">
      <c r="B4" s="208" t="s">
        <v>859</v>
      </c>
      <c r="F4" s="133"/>
      <c r="G4" s="133"/>
      <c r="H4" s="133"/>
      <c r="I4" s="133" t="s">
        <v>763</v>
      </c>
      <c r="J4" s="133"/>
      <c r="K4" s="133"/>
      <c r="L4" s="133"/>
      <c r="M4" s="133"/>
      <c r="N4" s="133"/>
      <c r="O4" s="133"/>
      <c r="P4" s="133"/>
      <c r="Q4" s="133"/>
      <c r="R4" s="133"/>
      <c r="S4" s="133"/>
    </row>
    <row r="5" spans="2:33" s="203" customFormat="1" x14ac:dyDescent="0.3">
      <c r="B5" s="208" t="s">
        <v>860</v>
      </c>
      <c r="F5" s="133"/>
      <c r="G5" s="133"/>
      <c r="H5" s="133"/>
      <c r="I5" s="133"/>
      <c r="J5" s="133"/>
      <c r="K5" s="133"/>
      <c r="L5" s="133"/>
      <c r="M5" s="133"/>
      <c r="N5" s="133"/>
      <c r="O5" s="133"/>
      <c r="P5" s="133"/>
      <c r="Q5" s="133"/>
      <c r="R5" s="133"/>
      <c r="S5" s="133"/>
    </row>
    <row r="6" spans="2:33" s="203" customFormat="1" x14ac:dyDescent="0.3">
      <c r="B6" s="208"/>
      <c r="C6" s="133" t="s">
        <v>763</v>
      </c>
      <c r="D6" s="133" t="s">
        <v>763</v>
      </c>
      <c r="E6" s="133"/>
      <c r="F6" s="133"/>
      <c r="G6" s="133"/>
      <c r="H6" s="133"/>
      <c r="I6" s="133" t="s">
        <v>763</v>
      </c>
      <c r="J6" s="133"/>
      <c r="K6" s="133"/>
      <c r="L6" s="133"/>
      <c r="M6" s="133"/>
      <c r="N6" s="133"/>
      <c r="O6" s="133"/>
      <c r="P6" s="133"/>
      <c r="Q6" s="133"/>
      <c r="R6" s="133"/>
      <c r="S6" s="133"/>
    </row>
    <row r="7" spans="2:33" s="203" customFormat="1" ht="43.2" x14ac:dyDescent="0.3">
      <c r="B7" s="213" t="s">
        <v>692</v>
      </c>
      <c r="C7" s="219"/>
      <c r="D7" s="221" t="s">
        <v>861</v>
      </c>
      <c r="E7" s="646"/>
      <c r="F7" s="646"/>
      <c r="G7" s="646"/>
      <c r="H7" s="646"/>
      <c r="J7" s="133"/>
      <c r="K7" s="133"/>
      <c r="M7" s="133"/>
      <c r="N7" s="133"/>
      <c r="O7" s="133"/>
      <c r="P7" s="133"/>
      <c r="Q7" s="133"/>
      <c r="R7" s="133"/>
      <c r="S7" s="133"/>
    </row>
    <row r="8" spans="2:33" s="147" customFormat="1" x14ac:dyDescent="0.3">
      <c r="B8" s="190" t="s">
        <v>692</v>
      </c>
      <c r="C8" s="173"/>
      <c r="D8" s="172">
        <f>'Inputs and eligible population'!F44</f>
        <v>100</v>
      </c>
      <c r="E8" s="254"/>
      <c r="F8" s="254"/>
      <c r="G8" s="254"/>
      <c r="H8" s="254"/>
      <c r="J8" s="133"/>
      <c r="K8" s="133"/>
    </row>
    <row r="9" spans="2:33" s="203" customFormat="1" x14ac:dyDescent="0.3">
      <c r="B9" s="205" t="s">
        <v>763</v>
      </c>
      <c r="C9" s="133" t="s">
        <v>763</v>
      </c>
      <c r="D9" s="133" t="s">
        <v>763</v>
      </c>
      <c r="E9" s="133" t="s">
        <v>763</v>
      </c>
      <c r="F9" s="133" t="s">
        <v>763</v>
      </c>
      <c r="G9" s="133" t="s">
        <v>763</v>
      </c>
      <c r="H9" s="133"/>
      <c r="J9" s="133"/>
      <c r="K9" s="133"/>
      <c r="M9" s="133"/>
      <c r="N9" s="133"/>
      <c r="O9" s="133"/>
      <c r="P9" s="133"/>
      <c r="Q9" s="133"/>
      <c r="R9" s="133"/>
      <c r="S9" s="133"/>
      <c r="AC9" s="222"/>
      <c r="AD9" s="222"/>
      <c r="AE9" s="222"/>
      <c r="AF9" s="222"/>
      <c r="AG9" s="222"/>
    </row>
    <row r="10" spans="2:33" s="203" customFormat="1" x14ac:dyDescent="0.3">
      <c r="B10" s="242" t="s">
        <v>841</v>
      </c>
      <c r="C10" s="243"/>
      <c r="D10" s="244"/>
      <c r="E10" s="244"/>
      <c r="F10" s="244"/>
      <c r="G10" s="244"/>
      <c r="H10" s="244"/>
      <c r="J10" s="133"/>
      <c r="K10" s="133"/>
      <c r="M10" s="133"/>
      <c r="N10" s="133"/>
      <c r="O10" s="133"/>
      <c r="P10" s="133"/>
      <c r="Q10" s="133"/>
      <c r="R10" s="133"/>
      <c r="S10" s="133"/>
    </row>
    <row r="11" spans="2:33" s="203" customFormat="1" x14ac:dyDescent="0.3">
      <c r="B11" s="205"/>
      <c r="C11" s="133"/>
      <c r="D11" s="133"/>
      <c r="E11" s="133"/>
      <c r="F11" s="133"/>
      <c r="G11" s="133"/>
      <c r="H11" s="133"/>
      <c r="M11" s="133"/>
      <c r="N11" s="133"/>
      <c r="O11" s="133"/>
      <c r="P11" s="133"/>
      <c r="Q11" s="133"/>
      <c r="R11" s="133"/>
      <c r="S11" s="133"/>
      <c r="AC11" s="222"/>
      <c r="AD11" s="222"/>
      <c r="AE11" s="222"/>
      <c r="AF11" s="222"/>
      <c r="AG11" s="222"/>
    </row>
    <row r="12" spans="2:33" s="203" customFormat="1" x14ac:dyDescent="0.3">
      <c r="B12" s="228" t="s">
        <v>862</v>
      </c>
      <c r="C12" s="223"/>
      <c r="D12" s="647" t="s">
        <v>623</v>
      </c>
      <c r="E12" s="648" t="s">
        <v>624</v>
      </c>
      <c r="F12" s="647" t="s">
        <v>625</v>
      </c>
      <c r="G12" s="647" t="s">
        <v>626</v>
      </c>
      <c r="H12" s="648" t="s">
        <v>627</v>
      </c>
      <c r="M12" s="133"/>
      <c r="N12" s="133"/>
      <c r="O12" s="133"/>
      <c r="P12" s="133"/>
      <c r="Q12" s="133"/>
      <c r="R12" s="133"/>
      <c r="S12" s="133"/>
    </row>
    <row r="13" spans="2:33" s="203" customFormat="1" x14ac:dyDescent="0.3">
      <c r="B13" s="247" t="s">
        <v>863</v>
      </c>
      <c r="C13" s="248"/>
      <c r="D13" s="224">
        <f>'Inputs and eligible population'!G51</f>
        <v>100</v>
      </c>
      <c r="E13" s="224">
        <f>'Inputs and eligible population'!H51</f>
        <v>91.311999999999998</v>
      </c>
      <c r="F13" s="224">
        <f>'Inputs and eligible population'!I51</f>
        <v>83.378813440000002</v>
      </c>
      <c r="G13" s="224">
        <f>'Inputs and eligible population'!J51</f>
        <v>76.134862128332799</v>
      </c>
      <c r="H13" s="224">
        <f>'Inputs and eligible population'!K51</f>
        <v>69.520265306623244</v>
      </c>
      <c r="M13" s="133"/>
      <c r="N13" s="133"/>
      <c r="O13" s="133"/>
      <c r="P13" s="133"/>
      <c r="Q13" s="133"/>
      <c r="R13" s="133"/>
      <c r="S13" s="133"/>
      <c r="U13" s="222"/>
      <c r="V13" s="222"/>
      <c r="W13" s="222"/>
      <c r="X13" s="222"/>
      <c r="Y13" s="222"/>
      <c r="Z13" s="222"/>
      <c r="AB13" s="222"/>
      <c r="AC13" s="222"/>
      <c r="AD13" s="222"/>
      <c r="AE13" s="222"/>
      <c r="AF13" s="222"/>
      <c r="AG13" s="222"/>
    </row>
    <row r="14" spans="2:33" s="203" customFormat="1" x14ac:dyDescent="0.3">
      <c r="B14" s="247" t="s">
        <v>864</v>
      </c>
      <c r="C14" s="249"/>
      <c r="D14" s="224">
        <f>'Inputs and eligible population'!G73</f>
        <v>100</v>
      </c>
      <c r="E14" s="224">
        <f>'Inputs and eligible population'!H73</f>
        <v>67</v>
      </c>
      <c r="F14" s="224">
        <f>'Inputs and eligible population'!I73</f>
        <v>44.89</v>
      </c>
      <c r="G14" s="224">
        <f>'Inputs and eligible population'!J73</f>
        <v>30.0763</v>
      </c>
      <c r="H14" s="224">
        <f>'Inputs and eligible population'!K73</f>
        <v>20.151121</v>
      </c>
      <c r="M14" s="133"/>
      <c r="N14" s="133"/>
      <c r="O14" s="133"/>
      <c r="P14" s="133"/>
      <c r="Q14" s="133"/>
      <c r="R14" s="133"/>
      <c r="S14" s="133"/>
      <c r="U14" s="222"/>
      <c r="V14" s="222"/>
      <c r="W14" s="222"/>
      <c r="X14" s="222"/>
      <c r="Y14" s="222"/>
      <c r="Z14" s="222"/>
      <c r="AB14" s="222"/>
      <c r="AC14" s="222"/>
      <c r="AD14" s="222"/>
      <c r="AE14" s="222"/>
      <c r="AF14" s="222"/>
      <c r="AG14" s="222"/>
    </row>
    <row r="15" spans="2:33" s="203" customFormat="1" x14ac:dyDescent="0.3">
      <c r="B15" s="229"/>
      <c r="C15" s="279"/>
      <c r="D15" s="174">
        <f t="shared" ref="D15:H15" si="0">SUM(D13:D14)</f>
        <v>200</v>
      </c>
      <c r="E15" s="174">
        <f t="shared" si="0"/>
        <v>158.31200000000001</v>
      </c>
      <c r="F15" s="174">
        <f t="shared" si="0"/>
        <v>128.26881344</v>
      </c>
      <c r="G15" s="174">
        <f t="shared" si="0"/>
        <v>106.2111621283328</v>
      </c>
      <c r="H15" s="174">
        <f t="shared" si="0"/>
        <v>89.671386306623248</v>
      </c>
      <c r="M15" s="133"/>
      <c r="N15" s="133"/>
      <c r="O15" s="133"/>
      <c r="P15" s="133"/>
      <c r="Q15" s="133"/>
      <c r="R15" s="133"/>
      <c r="S15" s="133"/>
      <c r="U15" s="222"/>
      <c r="V15" s="222"/>
      <c r="W15" s="222"/>
      <c r="X15" s="222"/>
      <c r="Y15" s="222"/>
      <c r="Z15" s="222"/>
      <c r="AB15" s="222"/>
      <c r="AC15" s="222"/>
      <c r="AD15" s="222"/>
      <c r="AE15" s="222"/>
      <c r="AF15" s="222"/>
      <c r="AG15" s="222"/>
    </row>
    <row r="16" spans="2:33" s="203" customFormat="1" x14ac:dyDescent="0.3">
      <c r="B16" s="540"/>
      <c r="C16" s="147"/>
      <c r="D16" s="254"/>
      <c r="E16" s="254"/>
      <c r="F16" s="254"/>
      <c r="G16" s="254"/>
      <c r="H16" s="254"/>
      <c r="M16" s="133"/>
      <c r="N16" s="133"/>
      <c r="O16" s="133"/>
      <c r="P16" s="133"/>
      <c r="Q16" s="133"/>
      <c r="R16" s="133"/>
      <c r="S16" s="133"/>
      <c r="U16" s="222"/>
      <c r="V16" s="222"/>
      <c r="W16" s="222"/>
      <c r="X16" s="222"/>
      <c r="Y16" s="222"/>
      <c r="Z16" s="222"/>
      <c r="AB16" s="222"/>
      <c r="AC16" s="222"/>
      <c r="AD16" s="222"/>
      <c r="AE16" s="222"/>
      <c r="AF16" s="222"/>
      <c r="AG16" s="222"/>
    </row>
    <row r="17" spans="2:33" s="203" customFormat="1" x14ac:dyDescent="0.3">
      <c r="B17" s="231" t="s">
        <v>865</v>
      </c>
      <c r="C17" s="541" t="s">
        <v>866</v>
      </c>
      <c r="D17" s="225" t="s">
        <v>842</v>
      </c>
      <c r="E17" s="225" t="s">
        <v>842</v>
      </c>
      <c r="F17" s="225" t="s">
        <v>842</v>
      </c>
      <c r="G17" s="225" t="s">
        <v>842</v>
      </c>
      <c r="H17" s="225" t="s">
        <v>842</v>
      </c>
      <c r="M17" s="133"/>
      <c r="N17" s="133"/>
      <c r="O17" s="133"/>
      <c r="P17" s="133"/>
      <c r="Q17" s="133"/>
      <c r="R17" s="133"/>
      <c r="S17" s="133"/>
      <c r="AC17" s="222"/>
      <c r="AD17" s="222"/>
      <c r="AE17" s="222"/>
      <c r="AF17" s="222"/>
      <c r="AG17" s="222"/>
    </row>
    <row r="18" spans="2:33" s="203" customFormat="1" x14ac:dyDescent="0.3">
      <c r="B18" s="246" t="s">
        <v>867</v>
      </c>
      <c r="C18" s="226">
        <f>'Unit costs'!J10</f>
        <v>960</v>
      </c>
      <c r="D18" s="226">
        <f>D13*$C18/1000</f>
        <v>96</v>
      </c>
      <c r="E18" s="226"/>
      <c r="F18" s="226"/>
      <c r="G18" s="226"/>
      <c r="H18" s="226"/>
      <c r="M18" s="133"/>
      <c r="N18" s="133"/>
      <c r="O18" s="133"/>
      <c r="P18" s="133"/>
      <c r="Q18" s="133"/>
      <c r="R18" s="133"/>
      <c r="S18" s="133"/>
      <c r="AC18" s="222"/>
      <c r="AD18" s="222"/>
      <c r="AE18" s="222"/>
      <c r="AF18" s="222"/>
      <c r="AG18" s="222"/>
    </row>
    <row r="19" spans="2:33" s="203" customFormat="1" x14ac:dyDescent="0.3">
      <c r="B19" s="246" t="s">
        <v>868</v>
      </c>
      <c r="C19" s="226">
        <f>'Unit costs'!N57</f>
        <v>0</v>
      </c>
      <c r="D19" s="226">
        <f t="shared" ref="D19:H20" si="1">D13*$C19/1000</f>
        <v>0</v>
      </c>
      <c r="E19" s="226">
        <f t="shared" si="1"/>
        <v>0</v>
      </c>
      <c r="F19" s="226">
        <f t="shared" si="1"/>
        <v>0</v>
      </c>
      <c r="G19" s="226">
        <f t="shared" si="1"/>
        <v>0</v>
      </c>
      <c r="H19" s="226">
        <f t="shared" si="1"/>
        <v>0</v>
      </c>
      <c r="M19" s="133"/>
      <c r="N19" s="133"/>
      <c r="O19" s="133"/>
      <c r="P19" s="133"/>
      <c r="Q19" s="133"/>
      <c r="R19" s="133"/>
      <c r="S19" s="133"/>
      <c r="AC19" s="222"/>
      <c r="AD19" s="222"/>
      <c r="AE19" s="222"/>
      <c r="AF19" s="222"/>
      <c r="AG19" s="222"/>
    </row>
    <row r="20" spans="2:33" s="203" customFormat="1" x14ac:dyDescent="0.3">
      <c r="B20" s="246" t="s">
        <v>869</v>
      </c>
      <c r="C20" s="226">
        <f>'Unit costs'!K57</f>
        <v>0</v>
      </c>
      <c r="D20" s="226">
        <f t="shared" si="1"/>
        <v>0</v>
      </c>
      <c r="E20" s="226">
        <f t="shared" si="1"/>
        <v>0</v>
      </c>
      <c r="F20" s="226">
        <f t="shared" si="1"/>
        <v>0</v>
      </c>
      <c r="G20" s="226">
        <f t="shared" si="1"/>
        <v>0</v>
      </c>
      <c r="H20" s="226">
        <f t="shared" si="1"/>
        <v>0</v>
      </c>
      <c r="M20" s="133"/>
      <c r="N20" s="133"/>
      <c r="O20" s="133"/>
      <c r="P20" s="133"/>
      <c r="Q20" s="133"/>
      <c r="R20" s="133"/>
      <c r="S20" s="133"/>
      <c r="AC20" s="222"/>
      <c r="AD20" s="222"/>
      <c r="AE20" s="222"/>
      <c r="AF20" s="222"/>
      <c r="AG20" s="222"/>
    </row>
    <row r="21" spans="2:33" s="203" customFormat="1" x14ac:dyDescent="0.3">
      <c r="B21" s="229" t="s">
        <v>870</v>
      </c>
      <c r="C21" s="405"/>
      <c r="D21" s="175">
        <f>SUM(D18:D20)</f>
        <v>96</v>
      </c>
      <c r="E21" s="175">
        <f t="shared" ref="E21:H21" si="2">SUM(E18:E20)</f>
        <v>0</v>
      </c>
      <c r="F21" s="175">
        <f t="shared" si="2"/>
        <v>0</v>
      </c>
      <c r="G21" s="175">
        <f t="shared" si="2"/>
        <v>0</v>
      </c>
      <c r="H21" s="175">
        <f t="shared" si="2"/>
        <v>0</v>
      </c>
      <c r="I21" s="253"/>
      <c r="M21" s="133"/>
      <c r="N21" s="133"/>
      <c r="O21" s="133"/>
      <c r="P21" s="133"/>
      <c r="Q21" s="133"/>
      <c r="R21" s="133"/>
      <c r="S21" s="133"/>
      <c r="AC21" s="222"/>
      <c r="AD21" s="222"/>
      <c r="AE21" s="222"/>
      <c r="AF21" s="222"/>
      <c r="AG21" s="222"/>
    </row>
    <row r="22" spans="2:33" s="203" customFormat="1" x14ac:dyDescent="0.3">
      <c r="B22" s="230"/>
      <c r="C22" s="133"/>
      <c r="D22" s="133"/>
      <c r="E22" s="133"/>
      <c r="F22" s="133"/>
      <c r="G22" s="133"/>
      <c r="H22" s="133"/>
      <c r="M22" s="133"/>
      <c r="N22" s="133"/>
      <c r="O22" s="133"/>
      <c r="P22" s="133"/>
      <c r="Q22" s="133"/>
      <c r="R22" s="133"/>
      <c r="S22" s="133"/>
      <c r="AC22" s="222"/>
      <c r="AD22" s="222"/>
      <c r="AE22" s="222"/>
      <c r="AF22" s="222"/>
      <c r="AG22" s="222"/>
    </row>
    <row r="23" spans="2:33" s="203" customFormat="1" x14ac:dyDescent="0.3">
      <c r="B23" s="265"/>
      <c r="C23" s="227"/>
      <c r="D23" s="252" t="s">
        <v>871</v>
      </c>
      <c r="E23" s="175">
        <f>E21-$D$21</f>
        <v>-96</v>
      </c>
      <c r="F23" s="175">
        <f>F21-$D$21</f>
        <v>-96</v>
      </c>
      <c r="G23" s="175">
        <f>G21-$D$21</f>
        <v>-96</v>
      </c>
      <c r="H23" s="175">
        <f>H21-$D$21</f>
        <v>-96</v>
      </c>
      <c r="M23" s="133"/>
      <c r="N23" s="133"/>
      <c r="O23" s="133"/>
      <c r="P23" s="133"/>
      <c r="Q23" s="133"/>
      <c r="R23" s="133"/>
      <c r="S23" s="133"/>
      <c r="AC23" s="222"/>
      <c r="AD23" s="222"/>
      <c r="AE23" s="222"/>
      <c r="AF23" s="222"/>
      <c r="AG23" s="222"/>
    </row>
    <row r="24" spans="2:33" s="203" customFormat="1" x14ac:dyDescent="0.3">
      <c r="B24" s="265"/>
      <c r="C24" s="227"/>
      <c r="D24" s="232" t="s">
        <v>872</v>
      </c>
      <c r="E24" s="175">
        <f>E23</f>
        <v>-96</v>
      </c>
      <c r="F24" s="176">
        <f>F23-E23</f>
        <v>0</v>
      </c>
      <c r="G24" s="176">
        <f t="shared" ref="G24:H24" si="3">G23-F23</f>
        <v>0</v>
      </c>
      <c r="H24" s="176">
        <f t="shared" si="3"/>
        <v>0</v>
      </c>
      <c r="I24" s="133"/>
      <c r="J24" s="133"/>
      <c r="K24" s="133"/>
      <c r="L24" s="133"/>
      <c r="M24" s="133"/>
      <c r="N24" s="133"/>
      <c r="O24" s="133"/>
      <c r="P24" s="133"/>
      <c r="Q24" s="133"/>
      <c r="R24" s="133"/>
      <c r="S24" s="133"/>
      <c r="AC24" s="222"/>
      <c r="AD24" s="222"/>
      <c r="AE24" s="222"/>
      <c r="AF24" s="222"/>
      <c r="AG24" s="222"/>
    </row>
    <row r="26" spans="2:33" x14ac:dyDescent="0.3">
      <c r="I26" s="203"/>
      <c r="J26" s="203"/>
    </row>
    <row r="27" spans="2:33" x14ac:dyDescent="0.3">
      <c r="I27" s="203"/>
      <c r="J27" s="203"/>
    </row>
    <row r="28" spans="2:33" x14ac:dyDescent="0.3">
      <c r="I28" s="203"/>
      <c r="J28" s="203"/>
    </row>
  </sheetData>
  <sheetProtection algorithmName="SHA-512" hashValue="TgO+oPnYqrc7K8QCttUMwerXME5xqN84VtjTuv2ECyZ5TsJzr279l0nsjs+CTj9wPP8CoFOZ0Z6KE9fHQZ1P1w==" saltValue="TfQh7puFlMgfaX19hhxD1A==" spinCount="100000" sheet="1" objects="1" scenarios="1"/>
  <phoneticPr fontId="43" type="noConversion"/>
  <pageMargins left="0.70866141732283472" right="0.70866141732283472" top="0.74803149606299213" bottom="0.74803149606299213" header="0.31496062992125984" footer="0.31496062992125984"/>
  <pageSetup paperSize="9" scale="66"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P195"/>
  <sheetViews>
    <sheetView showGridLines="0" zoomScale="80" zoomScaleNormal="80" zoomScaleSheetLayoutView="30" workbookViewId="0"/>
  </sheetViews>
  <sheetFormatPr defaultColWidth="8.77734375" defaultRowHeight="14.4" x14ac:dyDescent="0.3"/>
  <cols>
    <col min="1" max="1" width="3.5546875" customWidth="1"/>
    <col min="2" max="2" width="60.21875" style="1" customWidth="1"/>
    <col min="3" max="3" width="21" customWidth="1"/>
    <col min="4" max="7" width="12.5546875" customWidth="1"/>
    <col min="8" max="8" width="12.77734375" customWidth="1"/>
    <col min="9" max="9" width="1.5546875" customWidth="1"/>
    <col min="10" max="10" width="12.21875" customWidth="1"/>
    <col min="11" max="16" width="11.5546875" customWidth="1"/>
    <col min="17" max="17" width="11.44140625" customWidth="1"/>
    <col min="18" max="18" width="11.5546875" customWidth="1"/>
    <col min="19" max="24" width="10.77734375" customWidth="1"/>
    <col min="26" max="39" width="0" hidden="1" customWidth="1"/>
  </cols>
  <sheetData>
    <row r="1" spans="2:38" ht="30" customHeight="1" x14ac:dyDescent="0.3">
      <c r="B1" s="345" t="str">
        <f>'Inputs and eligible population'!B1</f>
        <v>AposHealth for osteoarthritis of the knee</v>
      </c>
      <c r="C1" s="127"/>
      <c r="E1" s="127"/>
      <c r="F1" s="127"/>
      <c r="G1" s="127"/>
      <c r="H1" s="127"/>
      <c r="I1" s="127"/>
      <c r="J1" s="127"/>
      <c r="K1" s="127"/>
      <c r="L1" s="127"/>
      <c r="M1" s="127"/>
      <c r="N1" s="127"/>
      <c r="P1" s="127"/>
      <c r="Q1" s="127"/>
      <c r="R1" s="127"/>
      <c r="S1" s="127"/>
      <c r="T1" s="127"/>
      <c r="U1" s="127"/>
      <c r="V1" s="127"/>
      <c r="W1" s="127"/>
      <c r="X1" s="127"/>
    </row>
    <row r="2" spans="2:38" ht="42.6" customHeight="1" x14ac:dyDescent="0.3">
      <c r="B2" s="188" t="s">
        <v>873</v>
      </c>
      <c r="C2" s="127" t="s">
        <v>763</v>
      </c>
      <c r="D2" s="308"/>
      <c r="E2" s="127" t="s">
        <v>763</v>
      </c>
      <c r="F2" s="127" t="s">
        <v>763</v>
      </c>
      <c r="G2" s="127" t="s">
        <v>763</v>
      </c>
      <c r="H2" s="127" t="s">
        <v>763</v>
      </c>
      <c r="I2" s="127"/>
      <c r="J2" s="127"/>
      <c r="K2" s="127"/>
      <c r="L2" s="127"/>
      <c r="M2" s="127"/>
      <c r="N2" s="127"/>
      <c r="O2" s="127"/>
      <c r="P2" s="127"/>
      <c r="Q2" s="127"/>
      <c r="R2" s="127"/>
      <c r="S2" s="127"/>
      <c r="T2" s="127"/>
      <c r="U2" s="127"/>
      <c r="V2" s="127"/>
      <c r="W2" s="127"/>
      <c r="X2" s="127"/>
    </row>
    <row r="3" spans="2:38" ht="14.85" customHeight="1" x14ac:dyDescent="0.3">
      <c r="B3" s="130" t="s">
        <v>763</v>
      </c>
      <c r="C3" s="133" t="s">
        <v>763</v>
      </c>
      <c r="E3" s="133" t="s">
        <v>763</v>
      </c>
      <c r="F3" s="133" t="s">
        <v>763</v>
      </c>
      <c r="G3" s="133" t="s">
        <v>763</v>
      </c>
      <c r="H3" s="133" t="s">
        <v>763</v>
      </c>
      <c r="I3" s="127"/>
      <c r="J3" s="127"/>
      <c r="K3" s="127"/>
      <c r="L3" s="127"/>
      <c r="M3" s="127"/>
      <c r="N3" s="127"/>
      <c r="O3" s="133"/>
      <c r="P3" s="133"/>
      <c r="Q3" s="133"/>
      <c r="R3" s="133"/>
      <c r="S3" s="133"/>
      <c r="T3" s="133"/>
      <c r="U3" s="133"/>
      <c r="V3" s="133"/>
      <c r="W3" s="133"/>
      <c r="X3" s="133"/>
    </row>
    <row r="4" spans="2:38" ht="14.85" customHeight="1" x14ac:dyDescent="0.3">
      <c r="B4" t="s">
        <v>874</v>
      </c>
      <c r="C4" s="133"/>
      <c r="E4" s="133"/>
      <c r="F4" s="133"/>
      <c r="G4" s="133"/>
      <c r="H4" s="133"/>
      <c r="I4" s="133"/>
      <c r="J4" s="133"/>
      <c r="K4" s="133"/>
      <c r="L4" s="133"/>
      <c r="M4" s="133"/>
      <c r="N4" s="133"/>
      <c r="O4" s="133"/>
      <c r="P4" s="133"/>
      <c r="Q4" s="133"/>
      <c r="R4" s="133"/>
      <c r="S4" s="133"/>
      <c r="T4" s="133"/>
      <c r="U4" s="133"/>
      <c r="V4" s="133"/>
      <c r="W4" s="133"/>
      <c r="X4" s="133"/>
    </row>
    <row r="5" spans="2:38" ht="14.85" customHeight="1" x14ac:dyDescent="0.3">
      <c r="B5" s="5"/>
      <c r="E5" s="133"/>
      <c r="F5" s="133"/>
      <c r="G5" s="133"/>
      <c r="H5" s="133"/>
      <c r="I5" s="133"/>
      <c r="J5" s="133"/>
      <c r="K5" s="133"/>
      <c r="L5" s="133"/>
      <c r="M5" s="133"/>
      <c r="N5" s="133"/>
      <c r="O5" s="133"/>
      <c r="P5" s="133"/>
      <c r="Q5" s="133"/>
      <c r="R5" s="133"/>
      <c r="S5" s="133"/>
      <c r="T5" s="133"/>
      <c r="U5" s="133"/>
      <c r="V5" s="133"/>
      <c r="W5" s="133"/>
      <c r="X5" s="133"/>
    </row>
    <row r="6" spans="2:38" x14ac:dyDescent="0.3">
      <c r="B6" s="213" t="s">
        <v>692</v>
      </c>
      <c r="C6" s="550"/>
      <c r="D6" s="647" t="s">
        <v>623</v>
      </c>
      <c r="E6" s="649"/>
      <c r="F6" s="649"/>
      <c r="G6" s="649"/>
      <c r="H6" s="649"/>
      <c r="K6" s="647" t="s">
        <v>623</v>
      </c>
      <c r="L6" s="648" t="s">
        <v>624</v>
      </c>
      <c r="M6" s="647" t="s">
        <v>625</v>
      </c>
      <c r="N6" s="647" t="s">
        <v>626</v>
      </c>
      <c r="O6" s="648" t="s">
        <v>627</v>
      </c>
      <c r="P6" s="133"/>
      <c r="Q6" s="133"/>
      <c r="R6" s="133"/>
      <c r="S6" s="133"/>
      <c r="T6" s="133"/>
      <c r="U6" s="133"/>
      <c r="V6" s="133"/>
      <c r="W6" s="133"/>
      <c r="X6" s="133"/>
      <c r="AH6" s="233"/>
      <c r="AI6" s="233"/>
      <c r="AJ6" s="233"/>
      <c r="AK6" s="233"/>
      <c r="AL6" s="233"/>
    </row>
    <row r="7" spans="2:38" x14ac:dyDescent="0.3">
      <c r="B7" s="549" t="s">
        <v>692</v>
      </c>
      <c r="C7" s="547"/>
      <c r="D7" s="172">
        <f>'Inputs and eligible population'!F44</f>
        <v>100</v>
      </c>
      <c r="E7" s="254"/>
      <c r="F7" s="254"/>
      <c r="G7" s="254"/>
      <c r="H7" s="254"/>
      <c r="N7" s="133"/>
      <c r="O7" s="133"/>
      <c r="P7" s="133"/>
      <c r="Q7" s="133"/>
      <c r="R7" s="133"/>
      <c r="S7" s="133"/>
      <c r="T7" s="133"/>
      <c r="U7" s="133"/>
      <c r="V7" s="133"/>
      <c r="W7" s="133"/>
      <c r="X7" s="133"/>
      <c r="AH7" s="233"/>
      <c r="AI7" s="233"/>
      <c r="AJ7" s="233"/>
      <c r="AK7" s="233"/>
      <c r="AL7" s="233"/>
    </row>
    <row r="8" spans="2:38" x14ac:dyDescent="0.3">
      <c r="B8"/>
      <c r="N8" s="133"/>
      <c r="O8" s="133"/>
      <c r="P8" s="133"/>
      <c r="Q8" s="133"/>
      <c r="R8" s="133"/>
      <c r="S8" s="133"/>
      <c r="T8" s="133"/>
      <c r="U8" s="133"/>
      <c r="V8" s="133"/>
      <c r="W8" s="133"/>
      <c r="X8" s="133"/>
      <c r="AH8" s="233"/>
      <c r="AI8" s="233"/>
      <c r="AJ8" s="233"/>
      <c r="AK8" s="233"/>
      <c r="AL8" s="233"/>
    </row>
    <row r="9" spans="2:38" x14ac:dyDescent="0.3">
      <c r="B9" s="763" t="s">
        <v>875</v>
      </c>
      <c r="C9" s="764"/>
      <c r="D9" s="768" t="s">
        <v>623</v>
      </c>
      <c r="E9" s="769" t="s">
        <v>624</v>
      </c>
      <c r="F9" s="768" t="s">
        <v>625</v>
      </c>
      <c r="G9" s="768" t="s">
        <v>626</v>
      </c>
      <c r="H9" s="768" t="s">
        <v>627</v>
      </c>
      <c r="K9" s="765" t="s">
        <v>842</v>
      </c>
      <c r="L9" s="765" t="s">
        <v>842</v>
      </c>
      <c r="M9" s="765" t="s">
        <v>842</v>
      </c>
      <c r="N9" s="765" t="s">
        <v>842</v>
      </c>
      <c r="O9" s="765" t="s">
        <v>842</v>
      </c>
      <c r="P9" s="133"/>
      <c r="Q9" s="133"/>
      <c r="R9" s="133"/>
      <c r="S9" s="133"/>
      <c r="T9" s="133"/>
      <c r="U9" s="133"/>
      <c r="V9" s="133"/>
      <c r="W9" s="133"/>
      <c r="X9" s="133"/>
      <c r="AH9" s="233"/>
      <c r="AI9" s="233"/>
      <c r="AJ9" s="233"/>
      <c r="AK9" s="233"/>
      <c r="AL9" s="233"/>
    </row>
    <row r="10" spans="2:38" x14ac:dyDescent="0.3">
      <c r="B10" s="262" t="s">
        <v>876</v>
      </c>
      <c r="C10" s="263"/>
      <c r="D10" s="738"/>
      <c r="E10" s="739"/>
      <c r="F10" s="738"/>
      <c r="G10" s="738"/>
      <c r="H10" s="738"/>
      <c r="K10" s="744"/>
      <c r="L10" s="744"/>
      <c r="M10" s="744"/>
      <c r="N10" s="744"/>
      <c r="O10" s="744"/>
      <c r="P10" s="133"/>
      <c r="Q10" s="133"/>
      <c r="R10" s="133"/>
      <c r="S10" s="133"/>
      <c r="T10" s="133"/>
      <c r="U10" s="133"/>
      <c r="V10" s="133"/>
      <c r="W10" s="133"/>
      <c r="X10" s="133"/>
      <c r="AH10" s="233"/>
      <c r="AI10" s="233"/>
      <c r="AJ10" s="233"/>
      <c r="AK10" s="233"/>
      <c r="AL10" s="233"/>
    </row>
    <row r="11" spans="2:38" x14ac:dyDescent="0.3">
      <c r="B11" s="606" t="s">
        <v>1137</v>
      </c>
      <c r="C11" s="263"/>
      <c r="D11" s="796">
        <f t="shared" ref="D11:D22" si="0">D26-D40</f>
        <v>-50</v>
      </c>
      <c r="E11" s="796">
        <f t="shared" ref="E11:H11" si="1">E26-E40</f>
        <v>-33.5</v>
      </c>
      <c r="F11" s="796">
        <f t="shared" si="1"/>
        <v>-22.445</v>
      </c>
      <c r="G11" s="796">
        <f t="shared" si="1"/>
        <v>-15.03815</v>
      </c>
      <c r="H11" s="796">
        <f t="shared" si="1"/>
        <v>-10.0755605</v>
      </c>
      <c r="K11" s="744"/>
      <c r="L11" s="744"/>
      <c r="M11" s="744"/>
      <c r="N11" s="744"/>
      <c r="O11" s="744"/>
      <c r="P11" s="133"/>
      <c r="Q11" s="133"/>
      <c r="R11" s="133"/>
      <c r="S11" s="133"/>
      <c r="T11" s="133"/>
      <c r="U11" s="133"/>
      <c r="V11" s="133"/>
      <c r="W11" s="133"/>
      <c r="X11" s="133"/>
      <c r="AH11" s="233"/>
      <c r="AI11" s="233"/>
      <c r="AJ11" s="233"/>
      <c r="AK11" s="233"/>
      <c r="AL11" s="233"/>
    </row>
    <row r="12" spans="2:38" x14ac:dyDescent="0.3">
      <c r="B12" s="606" t="s">
        <v>1138</v>
      </c>
      <c r="C12" s="263"/>
      <c r="D12" s="796">
        <f t="shared" si="0"/>
        <v>0</v>
      </c>
      <c r="E12" s="796">
        <f t="shared" ref="E12:H12" si="2">E27-E41</f>
        <v>0</v>
      </c>
      <c r="F12" s="796">
        <f t="shared" si="2"/>
        <v>0</v>
      </c>
      <c r="G12" s="796">
        <f t="shared" si="2"/>
        <v>0</v>
      </c>
      <c r="H12" s="796">
        <f t="shared" si="2"/>
        <v>0</v>
      </c>
      <c r="K12" s="744"/>
      <c r="L12" s="744"/>
      <c r="M12" s="744"/>
      <c r="N12" s="744"/>
      <c r="O12" s="744"/>
      <c r="P12" s="133"/>
      <c r="Q12" s="133"/>
      <c r="R12" s="133"/>
      <c r="S12" s="133"/>
      <c r="T12" s="133"/>
      <c r="U12" s="133"/>
      <c r="V12" s="133"/>
      <c r="W12" s="133"/>
      <c r="X12" s="133"/>
      <c r="AH12" s="233"/>
      <c r="AI12" s="233"/>
      <c r="AJ12" s="233"/>
      <c r="AK12" s="233"/>
      <c r="AL12" s="233"/>
    </row>
    <row r="13" spans="2:38" x14ac:dyDescent="0.3">
      <c r="B13" s="606" t="s">
        <v>877</v>
      </c>
      <c r="C13" s="760"/>
      <c r="D13" s="796">
        <f t="shared" si="0"/>
        <v>-50</v>
      </c>
      <c r="E13" s="796">
        <f t="shared" ref="E13:H13" si="3">E74</f>
        <v>0</v>
      </c>
      <c r="F13" s="796">
        <f t="shared" si="3"/>
        <v>0</v>
      </c>
      <c r="G13" s="796">
        <f t="shared" si="3"/>
        <v>0</v>
      </c>
      <c r="H13" s="796">
        <f t="shared" si="3"/>
        <v>0</v>
      </c>
      <c r="K13" s="639">
        <f>K28-K42</f>
        <v>0</v>
      </c>
      <c r="L13" s="639">
        <f t="shared" ref="L13:O13" si="4">L28-L42</f>
        <v>0</v>
      </c>
      <c r="M13" s="639">
        <f t="shared" si="4"/>
        <v>0</v>
      </c>
      <c r="N13" s="639">
        <f t="shared" si="4"/>
        <v>0</v>
      </c>
      <c r="O13" s="639">
        <f t="shared" si="4"/>
        <v>0</v>
      </c>
      <c r="P13" s="133"/>
      <c r="Q13" s="133"/>
      <c r="R13" s="133"/>
      <c r="S13" s="133"/>
      <c r="T13" s="133"/>
      <c r="U13" s="133"/>
      <c r="V13" s="133"/>
      <c r="W13" s="133"/>
      <c r="X13" s="133"/>
      <c r="AH13" s="233"/>
      <c r="AI13" s="233"/>
      <c r="AJ13" s="233"/>
      <c r="AK13" s="233"/>
      <c r="AL13" s="233"/>
    </row>
    <row r="14" spans="2:38" x14ac:dyDescent="0.3">
      <c r="B14" s="606" t="s">
        <v>878</v>
      </c>
      <c r="C14" s="760"/>
      <c r="D14" s="796">
        <f t="shared" si="0"/>
        <v>-50</v>
      </c>
      <c r="E14" s="796">
        <f t="shared" ref="E14:H14" si="5">E80</f>
        <v>0</v>
      </c>
      <c r="F14" s="796">
        <f t="shared" si="5"/>
        <v>0</v>
      </c>
      <c r="G14" s="796">
        <f t="shared" si="5"/>
        <v>0</v>
      </c>
      <c r="H14" s="796">
        <f t="shared" si="5"/>
        <v>0</v>
      </c>
      <c r="K14" s="325">
        <f>K29-K43</f>
        <v>0</v>
      </c>
      <c r="L14" s="325">
        <f t="shared" ref="L14:O14" si="6">L29-L43</f>
        <v>0</v>
      </c>
      <c r="M14" s="325">
        <f t="shared" si="6"/>
        <v>0</v>
      </c>
      <c r="N14" s="325">
        <f t="shared" si="6"/>
        <v>0</v>
      </c>
      <c r="O14" s="325">
        <f t="shared" si="6"/>
        <v>0</v>
      </c>
      <c r="P14" s="133"/>
      <c r="Q14" s="133"/>
      <c r="R14" s="133"/>
      <c r="S14" s="133"/>
      <c r="T14" s="133"/>
      <c r="U14" s="133"/>
      <c r="V14" s="133"/>
      <c r="W14" s="133"/>
      <c r="X14" s="133"/>
      <c r="AH14" s="233"/>
      <c r="AI14" s="233"/>
      <c r="AJ14" s="233"/>
      <c r="AK14" s="233"/>
      <c r="AL14" s="233"/>
    </row>
    <row r="15" spans="2:38" x14ac:dyDescent="0.3">
      <c r="B15" s="606" t="s">
        <v>879</v>
      </c>
      <c r="C15" s="760"/>
      <c r="D15" s="796">
        <f t="shared" si="0"/>
        <v>0</v>
      </c>
      <c r="E15" s="796">
        <f t="shared" ref="E15:H15" si="7">E30-E44</f>
        <v>0</v>
      </c>
      <c r="F15" s="796">
        <f t="shared" si="7"/>
        <v>0</v>
      </c>
      <c r="G15" s="796">
        <f t="shared" si="7"/>
        <v>0</v>
      </c>
      <c r="H15" s="796">
        <f t="shared" si="7"/>
        <v>0</v>
      </c>
      <c r="K15" s="893"/>
      <c r="L15" s="893"/>
      <c r="M15" s="893"/>
      <c r="N15" s="893"/>
      <c r="O15" s="893"/>
      <c r="P15" s="133"/>
      <c r="Q15" s="133"/>
      <c r="R15" s="133"/>
      <c r="S15" s="133"/>
      <c r="T15" s="133"/>
      <c r="U15" s="133"/>
      <c r="V15" s="133"/>
      <c r="W15" s="133"/>
      <c r="X15" s="133"/>
      <c r="AH15" s="233"/>
      <c r="AI15" s="233"/>
      <c r="AJ15" s="233"/>
      <c r="AK15" s="233"/>
      <c r="AL15" s="233"/>
    </row>
    <row r="16" spans="2:38" x14ac:dyDescent="0.3">
      <c r="B16" s="606" t="s">
        <v>1156</v>
      </c>
      <c r="C16" s="760"/>
      <c r="D16" s="796">
        <f t="shared" si="0"/>
        <v>0</v>
      </c>
      <c r="E16" s="796">
        <f t="shared" ref="E16:H16" si="8">E31-E45</f>
        <v>0</v>
      </c>
      <c r="F16" s="796">
        <f t="shared" si="8"/>
        <v>0</v>
      </c>
      <c r="G16" s="796">
        <f t="shared" si="8"/>
        <v>0</v>
      </c>
      <c r="H16" s="796">
        <f t="shared" si="8"/>
        <v>0</v>
      </c>
      <c r="K16" s="893"/>
      <c r="L16" s="893"/>
      <c r="M16" s="893"/>
      <c r="N16" s="893"/>
      <c r="O16" s="893"/>
      <c r="P16" s="133"/>
      <c r="Q16" s="133"/>
      <c r="R16" s="133"/>
      <c r="S16" s="133"/>
      <c r="T16" s="133"/>
      <c r="U16" s="133"/>
      <c r="V16" s="133"/>
      <c r="W16" s="133"/>
      <c r="X16" s="133"/>
      <c r="AH16" s="233"/>
      <c r="AI16" s="233"/>
      <c r="AJ16" s="233"/>
      <c r="AK16" s="233"/>
      <c r="AL16" s="233"/>
    </row>
    <row r="17" spans="1:38" ht="15" customHeight="1" x14ac:dyDescent="0.3">
      <c r="B17" s="606" t="s">
        <v>880</v>
      </c>
      <c r="C17" s="760"/>
      <c r="D17" s="512">
        <f t="shared" si="0"/>
        <v>-24.604331999999996</v>
      </c>
      <c r="E17" s="512">
        <f>E32-E46</f>
        <v>-14.19102439584</v>
      </c>
      <c r="F17" s="512">
        <f t="shared" ref="F17:H17" si="9">F32-F46</f>
        <v>-7.4134004255294226</v>
      </c>
      <c r="G17" s="512">
        <f t="shared" si="9"/>
        <v>-3.0543699901234254</v>
      </c>
      <c r="H17" s="512">
        <f t="shared" si="9"/>
        <v>-0.29998700706938308</v>
      </c>
      <c r="K17" s="639">
        <f t="shared" ref="K17:O20" si="10">K32-K46</f>
        <v>-242.9009953131428</v>
      </c>
      <c r="L17" s="639">
        <f t="shared" si="10"/>
        <v>-140.09784741413125</v>
      </c>
      <c r="M17" s="639">
        <f t="shared" si="10"/>
        <v>-73.187207115233747</v>
      </c>
      <c r="N17" s="639">
        <f t="shared" si="10"/>
        <v>-30.153613219638487</v>
      </c>
      <c r="O17" s="639">
        <f t="shared" si="10"/>
        <v>-2.9615574443623984</v>
      </c>
      <c r="P17" s="133"/>
      <c r="Q17" s="133"/>
      <c r="R17" s="133"/>
      <c r="S17" s="133"/>
      <c r="T17" s="133"/>
      <c r="U17" s="133"/>
      <c r="V17" s="133"/>
      <c r="W17" s="133"/>
      <c r="X17" s="133"/>
      <c r="AH17" s="233"/>
      <c r="AI17" s="233"/>
      <c r="AJ17" s="233"/>
      <c r="AK17" s="233"/>
      <c r="AL17" s="233"/>
    </row>
    <row r="18" spans="1:38" ht="15" customHeight="1" x14ac:dyDescent="0.3">
      <c r="B18" s="606" t="s">
        <v>881</v>
      </c>
      <c r="C18" s="760"/>
      <c r="D18" s="512">
        <f t="shared" si="0"/>
        <v>-24.604331999999996</v>
      </c>
      <c r="E18" s="512">
        <f>E33-E47</f>
        <v>-14.19102439584</v>
      </c>
      <c r="F18" s="512">
        <f t="shared" ref="F18:H21" si="11">F33-F47</f>
        <v>-7.4134004255294226</v>
      </c>
      <c r="G18" s="512">
        <f t="shared" si="11"/>
        <v>-3.0543699901234254</v>
      </c>
      <c r="H18" s="512">
        <f t="shared" si="11"/>
        <v>-0.29998700706938308</v>
      </c>
      <c r="K18" s="639">
        <f t="shared" si="10"/>
        <v>-3.5627072735999992</v>
      </c>
      <c r="L18" s="639">
        <f t="shared" si="10"/>
        <v>-2.0548603325176318</v>
      </c>
      <c r="M18" s="639">
        <f t="shared" si="10"/>
        <v>-1.0734603816166606</v>
      </c>
      <c r="N18" s="639">
        <f t="shared" si="10"/>
        <v>-0.44227277456987202</v>
      </c>
      <c r="O18" s="639">
        <f t="shared" si="10"/>
        <v>-4.343811862364666E-2</v>
      </c>
      <c r="P18" s="133"/>
      <c r="Q18" s="133"/>
      <c r="R18" s="133"/>
      <c r="S18" s="133"/>
      <c r="T18" s="133"/>
      <c r="U18" s="133"/>
      <c r="V18" s="133"/>
      <c r="W18" s="133"/>
      <c r="X18" s="133"/>
      <c r="AH18" s="233"/>
      <c r="AI18" s="233"/>
      <c r="AJ18" s="233"/>
      <c r="AK18" s="233"/>
      <c r="AL18" s="233"/>
    </row>
    <row r="19" spans="1:38" ht="15" customHeight="1" x14ac:dyDescent="0.3">
      <c r="B19" s="606" t="s">
        <v>882</v>
      </c>
      <c r="C19" s="760"/>
      <c r="D19" s="512">
        <f t="shared" si="0"/>
        <v>0</v>
      </c>
      <c r="E19" s="512">
        <f>E34-E48</f>
        <v>0</v>
      </c>
      <c r="F19" s="512">
        <f t="shared" si="11"/>
        <v>0</v>
      </c>
      <c r="G19" s="512">
        <f t="shared" si="11"/>
        <v>0</v>
      </c>
      <c r="H19" s="512">
        <f t="shared" si="11"/>
        <v>0</v>
      </c>
      <c r="K19" s="639">
        <f t="shared" si="10"/>
        <v>0</v>
      </c>
      <c r="L19" s="639">
        <f t="shared" si="10"/>
        <v>0</v>
      </c>
      <c r="M19" s="639">
        <f t="shared" si="10"/>
        <v>0</v>
      </c>
      <c r="N19" s="639">
        <f t="shared" si="10"/>
        <v>0</v>
      </c>
      <c r="O19" s="639">
        <f t="shared" si="10"/>
        <v>0</v>
      </c>
      <c r="P19" s="133"/>
      <c r="Q19" s="133"/>
      <c r="R19" s="133"/>
      <c r="S19" s="133"/>
      <c r="T19" s="133"/>
      <c r="U19" s="133"/>
      <c r="V19" s="133"/>
      <c r="W19" s="133"/>
      <c r="X19" s="133"/>
      <c r="AH19" s="233"/>
      <c r="AI19" s="233"/>
      <c r="AJ19" s="233"/>
      <c r="AK19" s="233"/>
      <c r="AL19" s="233"/>
    </row>
    <row r="20" spans="1:38" ht="15" customHeight="1" x14ac:dyDescent="0.3">
      <c r="B20" s="606" t="s">
        <v>883</v>
      </c>
      <c r="C20" s="760"/>
      <c r="D20" s="512">
        <f t="shared" si="0"/>
        <v>0</v>
      </c>
      <c r="E20" s="512">
        <f>E35-E49</f>
        <v>0</v>
      </c>
      <c r="F20" s="512">
        <f t="shared" si="11"/>
        <v>0</v>
      </c>
      <c r="G20" s="512">
        <f t="shared" si="11"/>
        <v>0</v>
      </c>
      <c r="H20" s="512">
        <f t="shared" si="11"/>
        <v>0</v>
      </c>
      <c r="K20" s="639">
        <f t="shared" si="10"/>
        <v>0</v>
      </c>
      <c r="L20" s="639">
        <f t="shared" si="10"/>
        <v>0</v>
      </c>
      <c r="M20" s="639">
        <f t="shared" si="10"/>
        <v>0</v>
      </c>
      <c r="N20" s="639">
        <f t="shared" si="10"/>
        <v>0</v>
      </c>
      <c r="O20" s="639">
        <f t="shared" si="10"/>
        <v>0</v>
      </c>
      <c r="P20" s="133"/>
      <c r="Q20" s="133"/>
      <c r="R20" s="133"/>
      <c r="S20" s="133"/>
      <c r="T20" s="133"/>
      <c r="U20" s="133"/>
      <c r="V20" s="133"/>
      <c r="W20" s="133"/>
      <c r="X20" s="133"/>
      <c r="AH20" s="233"/>
      <c r="AI20" s="233"/>
      <c r="AJ20" s="233"/>
      <c r="AK20" s="233"/>
      <c r="AL20" s="233"/>
    </row>
    <row r="21" spans="1:38" ht="15" customHeight="1" x14ac:dyDescent="0.3">
      <c r="B21" s="606" t="s">
        <v>884</v>
      </c>
      <c r="C21" s="760"/>
      <c r="D21" s="512">
        <f t="shared" si="0"/>
        <v>-86.87672465714283</v>
      </c>
      <c r="E21" s="512">
        <f>E36-E50</f>
        <v>-50.107831378644569</v>
      </c>
      <c r="F21" s="512">
        <f t="shared" si="11"/>
        <v>-26.176363883476501</v>
      </c>
      <c r="G21" s="512">
        <f t="shared" si="11"/>
        <v>-10.784834988935806</v>
      </c>
      <c r="H21" s="512">
        <f t="shared" si="11"/>
        <v>-1.0592398368664178</v>
      </c>
      <c r="K21" s="761"/>
      <c r="L21" s="762"/>
      <c r="M21" s="762"/>
      <c r="N21" s="762"/>
      <c r="O21" s="762"/>
      <c r="P21" s="133"/>
      <c r="Q21" s="133"/>
      <c r="R21" s="133"/>
      <c r="S21" s="133"/>
      <c r="T21" s="133"/>
      <c r="U21" s="133"/>
      <c r="V21" s="133"/>
      <c r="W21" s="133"/>
      <c r="X21" s="133"/>
      <c r="AH21" s="233"/>
      <c r="AI21" s="233"/>
      <c r="AJ21" s="233"/>
      <c r="AK21" s="233"/>
      <c r="AL21" s="233"/>
    </row>
    <row r="22" spans="1:38" ht="15" customHeight="1" x14ac:dyDescent="0.3">
      <c r="B22" s="606" t="s">
        <v>1139</v>
      </c>
      <c r="C22" s="760"/>
      <c r="D22" s="750">
        <f t="shared" si="0"/>
        <v>0</v>
      </c>
      <c r="E22" s="750">
        <f t="shared" ref="E22:H22" si="12">E37-E51</f>
        <v>0</v>
      </c>
      <c r="F22" s="750">
        <f t="shared" si="12"/>
        <v>0</v>
      </c>
      <c r="G22" s="750">
        <f t="shared" si="12"/>
        <v>0</v>
      </c>
      <c r="H22" s="750">
        <f t="shared" si="12"/>
        <v>0</v>
      </c>
      <c r="K22" s="971">
        <f>K38-K51</f>
        <v>0</v>
      </c>
      <c r="L22" s="971">
        <f t="shared" ref="L22:O22" si="13">L38-L51</f>
        <v>0</v>
      </c>
      <c r="M22" s="971">
        <f t="shared" si="13"/>
        <v>0</v>
      </c>
      <c r="N22" s="971">
        <f t="shared" si="13"/>
        <v>0</v>
      </c>
      <c r="O22" s="971">
        <f t="shared" si="13"/>
        <v>0</v>
      </c>
      <c r="P22" s="133"/>
      <c r="Q22" s="133"/>
      <c r="R22" s="133"/>
      <c r="S22" s="133"/>
      <c r="T22" s="133"/>
      <c r="U22" s="133"/>
      <c r="V22" s="133"/>
      <c r="W22" s="133"/>
      <c r="X22" s="133"/>
      <c r="AH22" s="233"/>
      <c r="AI22" s="233"/>
      <c r="AJ22" s="233"/>
      <c r="AK22" s="233"/>
      <c r="AL22" s="233"/>
    </row>
    <row r="23" spans="1:38" ht="15" customHeight="1" thickBot="1" x14ac:dyDescent="0.35">
      <c r="B23" s="262" t="s">
        <v>885</v>
      </c>
      <c r="C23" s="263"/>
      <c r="D23" s="757"/>
      <c r="E23" s="758"/>
      <c r="F23" s="757"/>
      <c r="G23" s="757"/>
      <c r="H23" s="757"/>
      <c r="I23" s="147"/>
      <c r="J23" s="147"/>
      <c r="K23" s="759">
        <f>SUM(K13:K22)</f>
        <v>-246.46370258674281</v>
      </c>
      <c r="L23" s="759">
        <f>SUM(L13:L21)</f>
        <v>-142.15270774664887</v>
      </c>
      <c r="M23" s="759">
        <f>SUM(M13:M21)</f>
        <v>-74.260667496850402</v>
      </c>
      <c r="N23" s="759">
        <f>SUM(N13:N21)</f>
        <v>-30.595885994208359</v>
      </c>
      <c r="O23" s="759">
        <f>SUM(O13:O21)</f>
        <v>-3.004995562986045</v>
      </c>
      <c r="P23" s="133"/>
      <c r="Q23" s="133"/>
      <c r="R23" s="133"/>
      <c r="S23" s="133"/>
      <c r="T23" s="133"/>
      <c r="U23" s="133"/>
      <c r="V23" s="133"/>
      <c r="W23" s="133"/>
      <c r="X23" s="133"/>
      <c r="AH23" s="233"/>
      <c r="AI23" s="233"/>
      <c r="AJ23" s="233"/>
      <c r="AK23" s="233"/>
      <c r="AL23" s="233"/>
    </row>
    <row r="24" spans="1:38" ht="15" customHeight="1" x14ac:dyDescent="0.3">
      <c r="B24" s="262"/>
      <c r="C24" s="263"/>
      <c r="D24" s="979"/>
      <c r="E24" s="979"/>
      <c r="F24" s="979"/>
      <c r="G24" s="979"/>
      <c r="H24" s="979"/>
      <c r="I24" s="147"/>
      <c r="J24" s="147"/>
      <c r="K24" s="980"/>
      <c r="L24" s="980"/>
      <c r="M24" s="980"/>
      <c r="N24" s="980"/>
      <c r="O24" s="980"/>
      <c r="P24" s="133"/>
      <c r="Q24" s="133"/>
      <c r="R24" s="133"/>
      <c r="S24" s="133"/>
      <c r="T24" s="133"/>
      <c r="U24" s="133"/>
      <c r="V24" s="133"/>
      <c r="W24" s="133"/>
      <c r="X24" s="133"/>
      <c r="AH24" s="233"/>
      <c r="AI24" s="233"/>
      <c r="AJ24" s="233"/>
      <c r="AK24" s="233"/>
      <c r="AL24" s="233"/>
    </row>
    <row r="25" spans="1:38" ht="15" customHeight="1" x14ac:dyDescent="0.3">
      <c r="B25" s="262" t="s">
        <v>886</v>
      </c>
      <c r="C25" s="263"/>
      <c r="D25" s="738"/>
      <c r="E25" s="739"/>
      <c r="F25" s="738"/>
      <c r="G25" s="738"/>
      <c r="H25" s="738"/>
      <c r="K25" s="744"/>
      <c r="L25" s="744"/>
      <c r="M25" s="744"/>
      <c r="N25" s="744"/>
      <c r="O25" s="744"/>
      <c r="P25" s="133"/>
      <c r="Q25" s="133"/>
      <c r="R25" s="133"/>
      <c r="S25" s="133"/>
      <c r="T25" s="133"/>
      <c r="U25" s="133"/>
      <c r="V25" s="133"/>
      <c r="W25" s="133"/>
      <c r="X25" s="133"/>
      <c r="AH25" s="233"/>
      <c r="AI25" s="233"/>
      <c r="AJ25" s="233"/>
      <c r="AK25" s="233"/>
      <c r="AL25" s="233"/>
    </row>
    <row r="26" spans="1:38" ht="15" customHeight="1" x14ac:dyDescent="0.3">
      <c r="A26" s="1005"/>
      <c r="B26" s="1032" t="s">
        <v>1135</v>
      </c>
      <c r="C26" s="994"/>
      <c r="D26" s="796">
        <f>D61</f>
        <v>0</v>
      </c>
      <c r="E26" s="796">
        <f t="shared" ref="E26:H26" si="14">E61</f>
        <v>0</v>
      </c>
      <c r="F26" s="796">
        <f t="shared" si="14"/>
        <v>0</v>
      </c>
      <c r="G26" s="796">
        <f t="shared" si="14"/>
        <v>0</v>
      </c>
      <c r="H26" s="796">
        <f t="shared" si="14"/>
        <v>0</v>
      </c>
      <c r="K26" s="744"/>
      <c r="L26" s="744"/>
      <c r="M26" s="744"/>
      <c r="N26" s="744"/>
      <c r="O26" s="744"/>
      <c r="P26" s="133"/>
      <c r="Q26" s="133"/>
      <c r="R26" s="133"/>
      <c r="S26" s="133"/>
      <c r="T26" s="133"/>
      <c r="U26" s="133"/>
      <c r="V26" s="133"/>
      <c r="W26" s="133"/>
      <c r="X26" s="133"/>
      <c r="AH26" s="233"/>
      <c r="AI26" s="233"/>
      <c r="AJ26" s="233"/>
      <c r="AK26" s="233"/>
      <c r="AL26" s="233"/>
    </row>
    <row r="27" spans="1:38" ht="15" customHeight="1" x14ac:dyDescent="0.3">
      <c r="A27" s="1005"/>
      <c r="B27" s="1032" t="s">
        <v>1136</v>
      </c>
      <c r="C27" s="994"/>
      <c r="D27" s="796">
        <f>D67</f>
        <v>0</v>
      </c>
      <c r="E27" s="796">
        <f t="shared" ref="E27:H27" si="15">E67</f>
        <v>0</v>
      </c>
      <c r="F27" s="796">
        <f t="shared" si="15"/>
        <v>0</v>
      </c>
      <c r="G27" s="796">
        <f t="shared" si="15"/>
        <v>0</v>
      </c>
      <c r="H27" s="796">
        <f t="shared" si="15"/>
        <v>0</v>
      </c>
      <c r="K27" s="744"/>
      <c r="L27" s="744"/>
      <c r="M27" s="744"/>
      <c r="N27" s="744"/>
      <c r="O27" s="744"/>
      <c r="P27" s="133"/>
      <c r="Q27" s="133"/>
      <c r="R27" s="133"/>
      <c r="S27" s="133"/>
      <c r="T27" s="133"/>
      <c r="U27" s="133"/>
      <c r="V27" s="133"/>
      <c r="W27" s="133"/>
      <c r="X27" s="133"/>
      <c r="AH27" s="233"/>
      <c r="AI27" s="233"/>
      <c r="AJ27" s="233"/>
      <c r="AK27" s="233"/>
      <c r="AL27" s="233"/>
    </row>
    <row r="28" spans="1:38" ht="15" customHeight="1" x14ac:dyDescent="0.3">
      <c r="A28" s="797"/>
      <c r="B28" s="798" t="s">
        <v>887</v>
      </c>
      <c r="C28" s="799"/>
      <c r="D28" s="796">
        <f>D74</f>
        <v>0</v>
      </c>
      <c r="E28" s="796">
        <f t="shared" ref="E28:H28" si="16">E74</f>
        <v>0</v>
      </c>
      <c r="F28" s="796">
        <f t="shared" si="16"/>
        <v>0</v>
      </c>
      <c r="G28" s="796">
        <f t="shared" si="16"/>
        <v>0</v>
      </c>
      <c r="H28" s="796">
        <f t="shared" si="16"/>
        <v>0</v>
      </c>
      <c r="K28" s="325">
        <f>K74</f>
        <v>0</v>
      </c>
      <c r="L28" s="325">
        <f t="shared" ref="L28:O28" si="17">L74</f>
        <v>0</v>
      </c>
      <c r="M28" s="325">
        <f t="shared" si="17"/>
        <v>0</v>
      </c>
      <c r="N28" s="325">
        <f t="shared" si="17"/>
        <v>0</v>
      </c>
      <c r="O28" s="325">
        <f t="shared" si="17"/>
        <v>0</v>
      </c>
      <c r="P28" s="133"/>
      <c r="Q28" s="133"/>
      <c r="R28" s="133"/>
      <c r="S28" s="133"/>
      <c r="T28" s="133"/>
      <c r="U28" s="133"/>
      <c r="V28" s="133"/>
      <c r="W28" s="133"/>
      <c r="X28" s="133"/>
      <c r="AH28" s="233"/>
      <c r="AI28" s="233"/>
      <c r="AJ28" s="233"/>
      <c r="AK28" s="233"/>
      <c r="AL28" s="233"/>
    </row>
    <row r="29" spans="1:38" ht="15" customHeight="1" x14ac:dyDescent="0.3">
      <c r="A29" s="797"/>
      <c r="B29" s="798" t="s">
        <v>888</v>
      </c>
      <c r="C29" s="799"/>
      <c r="D29" s="796">
        <f>D80</f>
        <v>0</v>
      </c>
      <c r="E29" s="796">
        <f t="shared" ref="E29:H29" si="18">E80</f>
        <v>0</v>
      </c>
      <c r="F29" s="796">
        <f t="shared" si="18"/>
        <v>0</v>
      </c>
      <c r="G29" s="796">
        <f t="shared" si="18"/>
        <v>0</v>
      </c>
      <c r="H29" s="796">
        <f t="shared" si="18"/>
        <v>0</v>
      </c>
      <c r="K29" s="325">
        <f>K80</f>
        <v>0</v>
      </c>
      <c r="L29" s="325">
        <f t="shared" ref="L29:O29" si="19">L80</f>
        <v>0</v>
      </c>
      <c r="M29" s="325">
        <f t="shared" si="19"/>
        <v>0</v>
      </c>
      <c r="N29" s="325">
        <f t="shared" si="19"/>
        <v>0</v>
      </c>
      <c r="O29" s="325">
        <f t="shared" si="19"/>
        <v>0</v>
      </c>
      <c r="P29" s="133"/>
      <c r="Q29" s="133"/>
      <c r="R29" s="133"/>
      <c r="S29" s="133"/>
      <c r="T29" s="133"/>
      <c r="U29" s="133"/>
      <c r="V29" s="133"/>
      <c r="W29" s="133"/>
      <c r="X29" s="133"/>
      <c r="AH29" s="233"/>
      <c r="AI29" s="233"/>
      <c r="AJ29" s="233"/>
      <c r="AK29" s="233"/>
      <c r="AL29" s="233"/>
    </row>
    <row r="30" spans="1:38" ht="15" customHeight="1" x14ac:dyDescent="0.3">
      <c r="A30" s="797"/>
      <c r="B30" s="798" t="s">
        <v>889</v>
      </c>
      <c r="C30" s="799"/>
      <c r="D30" s="796">
        <f>D125</f>
        <v>0</v>
      </c>
      <c r="E30" s="796">
        <f t="shared" ref="E30:H30" si="20">E125</f>
        <v>0</v>
      </c>
      <c r="F30" s="796">
        <f t="shared" si="20"/>
        <v>0</v>
      </c>
      <c r="G30" s="796">
        <f t="shared" si="20"/>
        <v>0</v>
      </c>
      <c r="H30" s="796">
        <f t="shared" si="20"/>
        <v>0</v>
      </c>
      <c r="K30" s="893"/>
      <c r="L30" s="893"/>
      <c r="M30" s="893"/>
      <c r="N30" s="893"/>
      <c r="O30" s="893"/>
      <c r="P30" s="133"/>
      <c r="Q30" s="133"/>
      <c r="R30" s="133"/>
      <c r="S30" s="133"/>
      <c r="T30" s="133"/>
      <c r="U30" s="133"/>
      <c r="V30" s="133"/>
      <c r="W30" s="133"/>
      <c r="X30" s="133"/>
      <c r="AH30" s="233"/>
      <c r="AI30" s="233"/>
      <c r="AJ30" s="233"/>
      <c r="AK30" s="233"/>
      <c r="AL30" s="233"/>
    </row>
    <row r="31" spans="1:38" ht="15" customHeight="1" x14ac:dyDescent="0.3">
      <c r="A31" s="797"/>
      <c r="B31" s="798" t="s">
        <v>1155</v>
      </c>
      <c r="C31" s="799"/>
      <c r="D31" s="796">
        <f>D131</f>
        <v>0</v>
      </c>
      <c r="E31" s="796">
        <f t="shared" ref="E31:H31" si="21">E131</f>
        <v>0</v>
      </c>
      <c r="F31" s="796">
        <f t="shared" si="21"/>
        <v>0</v>
      </c>
      <c r="G31" s="796">
        <f t="shared" si="21"/>
        <v>0</v>
      </c>
      <c r="H31" s="796">
        <f t="shared" si="21"/>
        <v>0</v>
      </c>
      <c r="K31" s="893"/>
      <c r="L31" s="893"/>
      <c r="M31" s="893"/>
      <c r="N31" s="893"/>
      <c r="O31" s="893"/>
      <c r="P31" s="133"/>
      <c r="Q31" s="133"/>
      <c r="R31" s="133"/>
      <c r="S31" s="133"/>
      <c r="T31" s="133"/>
      <c r="U31" s="133"/>
      <c r="V31" s="133"/>
      <c r="W31" s="133"/>
      <c r="X31" s="133"/>
      <c r="AH31" s="233"/>
      <c r="AI31" s="233"/>
      <c r="AJ31" s="233"/>
      <c r="AK31" s="233"/>
      <c r="AL31" s="233"/>
    </row>
    <row r="32" spans="1:38" ht="15" customHeight="1" x14ac:dyDescent="0.3">
      <c r="B32" s="159" t="str">
        <f>B82</f>
        <v>Number of people receiving knee  surgery</v>
      </c>
      <c r="C32" s="548"/>
      <c r="D32" s="128">
        <f>D86</f>
        <v>9.4351680000000009</v>
      </c>
      <c r="E32" s="128">
        <f>E86</f>
        <v>8.6154406041599998</v>
      </c>
      <c r="F32" s="128">
        <f>F86</f>
        <v>7.8669311244705789</v>
      </c>
      <c r="G32" s="128">
        <f>G86</f>
        <v>7.183452148376575</v>
      </c>
      <c r="H32" s="128">
        <f>H86</f>
        <v>6.5593538257256174</v>
      </c>
      <c r="K32" s="639">
        <f>K86</f>
        <v>93.146674258285714</v>
      </c>
      <c r="L32" s="639">
        <f>L86</f>
        <v>85.054091198725843</v>
      </c>
      <c r="M32" s="639">
        <f>M86</f>
        <v>77.664591755380542</v>
      </c>
      <c r="N32" s="639">
        <f>N86</f>
        <v>70.917092023673078</v>
      </c>
      <c r="O32" s="639">
        <f>O86</f>
        <v>64.755815068656347</v>
      </c>
      <c r="P32" s="133"/>
      <c r="Q32" s="133"/>
      <c r="R32" s="133"/>
      <c r="S32" s="133"/>
      <c r="T32" s="133"/>
      <c r="U32" s="133"/>
      <c r="V32" s="133"/>
      <c r="W32" s="133"/>
      <c r="X32" s="133"/>
      <c r="AH32" s="233"/>
      <c r="AI32" s="233"/>
      <c r="AJ32" s="233"/>
      <c r="AK32" s="233"/>
      <c r="AL32" s="233"/>
    </row>
    <row r="33" spans="1:38" ht="15" customHeight="1" x14ac:dyDescent="0.3">
      <c r="A33" s="566"/>
      <c r="B33" s="567" t="str">
        <f>B88 &amp; " (orthopaedic first attendances)"</f>
        <v>Number of appointments (orthopaedic first attendances)</v>
      </c>
      <c r="C33" s="568"/>
      <c r="D33" s="128">
        <f t="shared" ref="D33" si="22">D93</f>
        <v>9.4351680000000009</v>
      </c>
      <c r="E33" s="128">
        <f>E93</f>
        <v>8.6154406041599998</v>
      </c>
      <c r="F33" s="128">
        <f>F93</f>
        <v>7.8669311244705789</v>
      </c>
      <c r="G33" s="128">
        <f>G93</f>
        <v>7.183452148376575</v>
      </c>
      <c r="H33" s="128">
        <f>H93</f>
        <v>6.5593538257256174</v>
      </c>
      <c r="K33" s="234">
        <f t="shared" ref="K33:O33" si="23">K93</f>
        <v>1.3662123264000003</v>
      </c>
      <c r="L33" s="234">
        <f t="shared" si="23"/>
        <v>1.247515799482368</v>
      </c>
      <c r="M33" s="234">
        <f t="shared" si="23"/>
        <v>1.13913162682334</v>
      </c>
      <c r="N33" s="234">
        <f t="shared" si="23"/>
        <v>1.0401638710849281</v>
      </c>
      <c r="O33" s="234">
        <f t="shared" si="23"/>
        <v>0.94979443396506946</v>
      </c>
      <c r="P33" s="133"/>
      <c r="Q33" s="133"/>
      <c r="R33" s="133"/>
      <c r="S33" s="133"/>
      <c r="T33" s="133"/>
      <c r="U33" s="133"/>
      <c r="V33" s="133"/>
      <c r="W33" s="133"/>
      <c r="X33" s="133"/>
      <c r="AH33" s="233"/>
      <c r="AI33" s="233"/>
      <c r="AJ33" s="233"/>
      <c r="AK33" s="233"/>
      <c r="AL33" s="233"/>
    </row>
    <row r="34" spans="1:38" ht="15" customHeight="1" x14ac:dyDescent="0.3">
      <c r="A34" s="569"/>
      <c r="B34" s="570" t="str">
        <f>B88 &amp; " (orthopaedic follow-up attendances)"</f>
        <v>Number of appointments (orthopaedic follow-up attendances)</v>
      </c>
      <c r="C34" s="571"/>
      <c r="D34" s="548">
        <f>D100</f>
        <v>0</v>
      </c>
      <c r="E34" s="548">
        <f>E100</f>
        <v>0</v>
      </c>
      <c r="F34" s="548">
        <f>F100</f>
        <v>0</v>
      </c>
      <c r="G34" s="548">
        <f>G100</f>
        <v>0</v>
      </c>
      <c r="H34" s="128">
        <f>H100</f>
        <v>0</v>
      </c>
      <c r="K34" s="234">
        <f>K100</f>
        <v>0</v>
      </c>
      <c r="L34" s="234">
        <f t="shared" ref="L34:O34" si="24">L100</f>
        <v>0</v>
      </c>
      <c r="M34" s="234">
        <f t="shared" si="24"/>
        <v>0</v>
      </c>
      <c r="N34" s="234">
        <f t="shared" si="24"/>
        <v>0</v>
      </c>
      <c r="O34" s="234">
        <f t="shared" si="24"/>
        <v>0</v>
      </c>
      <c r="P34" s="133"/>
      <c r="Q34" s="133"/>
      <c r="R34" s="133"/>
      <c r="S34" s="133"/>
      <c r="T34" s="133"/>
      <c r="U34" s="133"/>
      <c r="V34" s="133"/>
      <c r="W34" s="133"/>
      <c r="X34" s="133"/>
      <c r="AH34" s="233"/>
      <c r="AI34" s="233"/>
      <c r="AJ34" s="233"/>
      <c r="AK34" s="233"/>
      <c r="AL34" s="233"/>
    </row>
    <row r="35" spans="1:38" ht="15" customHeight="1" x14ac:dyDescent="0.3">
      <c r="A35" s="588"/>
      <c r="B35" s="590" t="str">
        <f>B102</f>
        <v>GP visits</v>
      </c>
      <c r="C35" s="591"/>
      <c r="D35" s="548">
        <f>D106</f>
        <v>0</v>
      </c>
      <c r="E35" s="548">
        <f>E106</f>
        <v>0</v>
      </c>
      <c r="F35" s="548">
        <f>F106</f>
        <v>0</v>
      </c>
      <c r="G35" s="548">
        <f>G106</f>
        <v>0</v>
      </c>
      <c r="H35" s="128">
        <f>H106</f>
        <v>0</v>
      </c>
      <c r="K35" s="234">
        <f t="shared" ref="K35:O35" si="25">K106</f>
        <v>0</v>
      </c>
      <c r="L35" s="234">
        <f t="shared" si="25"/>
        <v>0</v>
      </c>
      <c r="M35" s="234">
        <f t="shared" si="25"/>
        <v>0</v>
      </c>
      <c r="N35" s="234">
        <f t="shared" si="25"/>
        <v>0</v>
      </c>
      <c r="O35" s="234">
        <f t="shared" si="25"/>
        <v>0</v>
      </c>
      <c r="P35" s="133"/>
      <c r="Q35" s="133"/>
      <c r="R35" s="133"/>
      <c r="S35" s="133"/>
      <c r="T35" s="133"/>
      <c r="U35" s="133"/>
      <c r="V35" s="133"/>
      <c r="W35" s="133"/>
      <c r="X35" s="133"/>
      <c r="AH35" s="233"/>
      <c r="AI35" s="233"/>
      <c r="AJ35" s="233"/>
      <c r="AK35" s="233"/>
      <c r="AL35" s="233"/>
    </row>
    <row r="36" spans="1:38" ht="15" customHeight="1" x14ac:dyDescent="0.3">
      <c r="A36" s="692"/>
      <c r="B36" s="693" t="s">
        <v>890</v>
      </c>
      <c r="C36" s="694"/>
      <c r="D36" s="548">
        <f>D119</f>
        <v>33.315128914285715</v>
      </c>
      <c r="E36" s="548">
        <f>E119</f>
        <v>30.420710514212566</v>
      </c>
      <c r="F36" s="548">
        <f>F119</f>
        <v>27.777759184737778</v>
      </c>
      <c r="G36" s="548">
        <f>G119</f>
        <v>25.364427466767758</v>
      </c>
      <c r="H36" s="128">
        <f>H119</f>
        <v>23.160766008454974</v>
      </c>
      <c r="K36" s="703"/>
      <c r="L36" s="703"/>
      <c r="M36" s="703"/>
      <c r="N36" s="703"/>
      <c r="O36" s="703"/>
      <c r="P36" s="133"/>
      <c r="Q36" s="133"/>
      <c r="R36" s="133"/>
      <c r="S36" s="133"/>
      <c r="T36" s="133"/>
      <c r="U36" s="133"/>
      <c r="V36" s="133"/>
      <c r="W36" s="133"/>
      <c r="X36" s="133"/>
      <c r="AH36" s="233"/>
      <c r="AI36" s="233"/>
      <c r="AJ36" s="233"/>
      <c r="AK36" s="233"/>
      <c r="AL36" s="233"/>
    </row>
    <row r="37" spans="1:38" ht="15" customHeight="1" x14ac:dyDescent="0.3">
      <c r="B37" s="159" t="s">
        <v>1129</v>
      </c>
      <c r="C37" s="548"/>
      <c r="D37" s="548">
        <f>D113</f>
        <v>0</v>
      </c>
      <c r="E37" s="548">
        <f t="shared" ref="E37:H37" si="26">E113</f>
        <v>0</v>
      </c>
      <c r="F37" s="548">
        <f t="shared" si="26"/>
        <v>0</v>
      </c>
      <c r="G37" s="548">
        <f t="shared" si="26"/>
        <v>0</v>
      </c>
      <c r="H37" s="548">
        <f t="shared" si="26"/>
        <v>0</v>
      </c>
      <c r="K37" s="234">
        <f>K112</f>
        <v>0</v>
      </c>
      <c r="L37" s="234">
        <f t="shared" ref="L37:O37" si="27">L112</f>
        <v>0</v>
      </c>
      <c r="M37" s="234">
        <f t="shared" si="27"/>
        <v>0</v>
      </c>
      <c r="N37" s="234">
        <f t="shared" si="27"/>
        <v>0</v>
      </c>
      <c r="O37" s="234">
        <f t="shared" si="27"/>
        <v>0</v>
      </c>
      <c r="P37" s="133"/>
      <c r="Q37" s="133"/>
      <c r="R37" s="133"/>
      <c r="S37" s="133"/>
      <c r="T37" s="133"/>
      <c r="U37" s="133"/>
      <c r="V37" s="133"/>
      <c r="W37" s="133"/>
      <c r="X37" s="133"/>
      <c r="Y37" s="133"/>
      <c r="Z37" s="133"/>
      <c r="AA37" s="133"/>
      <c r="AB37" s="133"/>
      <c r="AC37" s="133"/>
      <c r="AD37" s="133"/>
      <c r="AE37" s="133"/>
      <c r="AF37" s="133"/>
      <c r="AG37" s="133"/>
      <c r="AH37" s="902"/>
      <c r="AI37" s="902"/>
      <c r="AJ37" s="902"/>
      <c r="AK37" s="902"/>
      <c r="AL37" s="902"/>
    </row>
    <row r="38" spans="1:38" ht="15" customHeight="1" x14ac:dyDescent="0.3">
      <c r="B38" s="159"/>
      <c r="C38" s="749"/>
      <c r="D38" s="548"/>
      <c r="E38" s="548"/>
      <c r="F38" s="548"/>
      <c r="G38" s="548"/>
      <c r="H38" s="128"/>
      <c r="K38" s="234"/>
      <c r="L38" s="234"/>
      <c r="M38" s="234"/>
      <c r="N38" s="234"/>
      <c r="O38" s="234"/>
      <c r="P38" s="133"/>
      <c r="Q38" s="133"/>
      <c r="R38" s="133"/>
      <c r="S38" s="133"/>
      <c r="T38" s="133"/>
      <c r="U38" s="133"/>
      <c r="V38" s="133"/>
      <c r="W38" s="133"/>
      <c r="X38" s="133"/>
      <c r="Y38" s="133"/>
      <c r="Z38" s="133"/>
      <c r="AA38" s="133"/>
      <c r="AB38" s="133"/>
      <c r="AC38" s="133"/>
      <c r="AD38" s="133"/>
      <c r="AE38" s="133"/>
      <c r="AF38" s="133"/>
      <c r="AG38" s="133"/>
      <c r="AH38" s="902"/>
      <c r="AI38" s="902"/>
      <c r="AJ38" s="902"/>
      <c r="AK38" s="902"/>
      <c r="AL38" s="902"/>
    </row>
    <row r="39" spans="1:38" ht="15" customHeight="1" x14ac:dyDescent="0.3">
      <c r="B39" s="262" t="s">
        <v>891</v>
      </c>
      <c r="C39" s="263"/>
      <c r="D39" s="796"/>
      <c r="E39" s="739"/>
      <c r="F39" s="738"/>
      <c r="G39" s="738"/>
      <c r="H39" s="738"/>
      <c r="K39" s="744"/>
      <c r="L39" s="744"/>
      <c r="M39" s="744"/>
      <c r="N39" s="744"/>
      <c r="O39" s="744"/>
      <c r="P39" s="133"/>
      <c r="Q39" s="133"/>
      <c r="R39" s="133"/>
      <c r="S39" s="133"/>
      <c r="T39" s="133"/>
      <c r="U39" s="133"/>
      <c r="V39" s="133"/>
      <c r="W39" s="133"/>
      <c r="X39" s="133"/>
      <c r="AH39" s="233"/>
      <c r="AI39" s="233"/>
      <c r="AJ39" s="233"/>
      <c r="AK39" s="233"/>
      <c r="AL39" s="233"/>
    </row>
    <row r="40" spans="1:38" ht="15" customHeight="1" x14ac:dyDescent="0.3">
      <c r="A40" s="1005"/>
      <c r="B40" s="1032" t="s">
        <v>1135</v>
      </c>
      <c r="C40" s="994"/>
      <c r="D40" s="796">
        <f>D150</f>
        <v>50</v>
      </c>
      <c r="E40" s="796">
        <f t="shared" ref="E40:H40" si="28">E150</f>
        <v>33.5</v>
      </c>
      <c r="F40" s="796">
        <f t="shared" si="28"/>
        <v>22.445</v>
      </c>
      <c r="G40" s="796">
        <f t="shared" si="28"/>
        <v>15.03815</v>
      </c>
      <c r="H40" s="796">
        <f t="shared" si="28"/>
        <v>10.0755605</v>
      </c>
      <c r="K40" s="744"/>
      <c r="L40" s="744"/>
      <c r="M40" s="744"/>
      <c r="N40" s="744"/>
      <c r="O40" s="744"/>
      <c r="P40" s="133"/>
      <c r="Q40" s="133"/>
      <c r="R40" s="133"/>
      <c r="S40" s="133"/>
      <c r="T40" s="133"/>
      <c r="U40" s="133"/>
      <c r="V40" s="133"/>
      <c r="W40" s="133"/>
      <c r="X40" s="133"/>
      <c r="Y40" s="133"/>
      <c r="Z40" s="133"/>
      <c r="AA40" s="133"/>
      <c r="AB40" s="133"/>
      <c r="AC40" s="133"/>
      <c r="AD40" s="133"/>
      <c r="AE40" s="133"/>
      <c r="AF40" s="133"/>
      <c r="AG40" s="133"/>
      <c r="AH40" s="902"/>
      <c r="AI40" s="902"/>
      <c r="AJ40" s="902"/>
      <c r="AK40" s="902"/>
      <c r="AL40" s="902"/>
    </row>
    <row r="41" spans="1:38" ht="15" customHeight="1" x14ac:dyDescent="0.3">
      <c r="A41" s="1005"/>
      <c r="B41" s="1032" t="s">
        <v>1136</v>
      </c>
      <c r="C41" s="994"/>
      <c r="D41" s="796">
        <f>D145</f>
        <v>0</v>
      </c>
      <c r="E41" s="796">
        <f t="shared" ref="E41:H41" si="29">E145</f>
        <v>0</v>
      </c>
      <c r="F41" s="796">
        <f t="shared" si="29"/>
        <v>0</v>
      </c>
      <c r="G41" s="796">
        <f t="shared" si="29"/>
        <v>0</v>
      </c>
      <c r="H41" s="796">
        <f t="shared" si="29"/>
        <v>0</v>
      </c>
      <c r="K41" s="744"/>
      <c r="L41" s="744"/>
      <c r="M41" s="744"/>
      <c r="N41" s="744"/>
      <c r="O41" s="744"/>
      <c r="P41" s="133"/>
      <c r="Q41" s="133"/>
      <c r="R41" s="133"/>
      <c r="S41" s="133"/>
      <c r="T41" s="133"/>
      <c r="U41" s="133"/>
      <c r="V41" s="133"/>
      <c r="W41" s="133"/>
      <c r="X41" s="133"/>
      <c r="Y41" s="133"/>
      <c r="Z41" s="133"/>
      <c r="AA41" s="133"/>
      <c r="AB41" s="133"/>
      <c r="AC41" s="133"/>
      <c r="AD41" s="133"/>
      <c r="AE41" s="133"/>
      <c r="AF41" s="133"/>
      <c r="AG41" s="133"/>
      <c r="AH41" s="902"/>
      <c r="AI41" s="902"/>
      <c r="AJ41" s="902"/>
      <c r="AK41" s="902"/>
      <c r="AL41" s="902"/>
    </row>
    <row r="42" spans="1:38" ht="15" customHeight="1" x14ac:dyDescent="0.3">
      <c r="A42" s="797"/>
      <c r="B42" s="798" t="s">
        <v>887</v>
      </c>
      <c r="C42" s="799"/>
      <c r="D42" s="796">
        <f>D150</f>
        <v>50</v>
      </c>
      <c r="E42" s="796">
        <f t="shared" ref="E42:H42" si="30">E150</f>
        <v>33.5</v>
      </c>
      <c r="F42" s="796">
        <f t="shared" si="30"/>
        <v>22.445</v>
      </c>
      <c r="G42" s="796">
        <f t="shared" si="30"/>
        <v>15.03815</v>
      </c>
      <c r="H42" s="796">
        <f t="shared" si="30"/>
        <v>10.0755605</v>
      </c>
      <c r="K42" s="325">
        <f>K150</f>
        <v>0</v>
      </c>
      <c r="L42" s="325">
        <f t="shared" ref="L42:O42" si="31">L150</f>
        <v>0</v>
      </c>
      <c r="M42" s="325">
        <f t="shared" si="31"/>
        <v>0</v>
      </c>
      <c r="N42" s="325">
        <f t="shared" si="31"/>
        <v>0</v>
      </c>
      <c r="O42" s="325">
        <f t="shared" si="31"/>
        <v>0</v>
      </c>
      <c r="P42" s="133"/>
      <c r="Q42" s="133"/>
      <c r="R42" s="133"/>
      <c r="S42" s="133"/>
      <c r="T42" s="133"/>
      <c r="U42" s="133"/>
      <c r="V42" s="133"/>
      <c r="W42" s="133"/>
      <c r="X42" s="133"/>
      <c r="AH42" s="233"/>
      <c r="AI42" s="233"/>
      <c r="AJ42" s="233"/>
      <c r="AK42" s="233"/>
      <c r="AL42" s="233"/>
    </row>
    <row r="43" spans="1:38" ht="15" customHeight="1" x14ac:dyDescent="0.3">
      <c r="A43" s="797"/>
      <c r="B43" s="798" t="s">
        <v>888</v>
      </c>
      <c r="C43" s="799"/>
      <c r="D43" s="796">
        <f>D155</f>
        <v>50</v>
      </c>
      <c r="E43" s="796">
        <f t="shared" ref="E43:H43" si="32">E155</f>
        <v>33.5</v>
      </c>
      <c r="F43" s="796">
        <f t="shared" si="32"/>
        <v>22.445</v>
      </c>
      <c r="G43" s="796">
        <f t="shared" si="32"/>
        <v>15.03815</v>
      </c>
      <c r="H43" s="796">
        <f t="shared" si="32"/>
        <v>10.0755605</v>
      </c>
      <c r="K43" s="325">
        <f>K155</f>
        <v>0</v>
      </c>
      <c r="L43" s="325">
        <f t="shared" ref="L43:O43" si="33">L155</f>
        <v>0</v>
      </c>
      <c r="M43" s="325">
        <f t="shared" si="33"/>
        <v>0</v>
      </c>
      <c r="N43" s="325">
        <f t="shared" si="33"/>
        <v>0</v>
      </c>
      <c r="O43" s="325">
        <f t="shared" si="33"/>
        <v>0</v>
      </c>
      <c r="P43" s="133"/>
      <c r="Q43" s="133"/>
      <c r="R43" s="133"/>
      <c r="S43" s="133"/>
      <c r="T43" s="133"/>
      <c r="U43" s="133"/>
      <c r="V43" s="133"/>
      <c r="W43" s="133"/>
      <c r="X43" s="133"/>
      <c r="AH43" s="233"/>
      <c r="AI43" s="233"/>
      <c r="AJ43" s="233"/>
      <c r="AK43" s="233"/>
      <c r="AL43" s="233"/>
    </row>
    <row r="44" spans="1:38" ht="15" customHeight="1" x14ac:dyDescent="0.3">
      <c r="A44" s="797"/>
      <c r="B44" s="798" t="s">
        <v>889</v>
      </c>
      <c r="C44" s="799"/>
      <c r="D44" s="796">
        <f>D188</f>
        <v>0</v>
      </c>
      <c r="E44" s="796">
        <f t="shared" ref="E44:H44" si="34">E188</f>
        <v>0</v>
      </c>
      <c r="F44" s="796">
        <f t="shared" si="34"/>
        <v>0</v>
      </c>
      <c r="G44" s="796">
        <f t="shared" si="34"/>
        <v>0</v>
      </c>
      <c r="H44" s="796">
        <f t="shared" si="34"/>
        <v>0</v>
      </c>
      <c r="K44" s="893"/>
      <c r="L44" s="893"/>
      <c r="M44" s="893"/>
      <c r="N44" s="893"/>
      <c r="O44" s="893"/>
      <c r="P44" s="133"/>
      <c r="Q44" s="133"/>
      <c r="R44" s="133"/>
      <c r="S44" s="133"/>
      <c r="T44" s="133"/>
      <c r="U44" s="133"/>
      <c r="V44" s="133"/>
      <c r="W44" s="133"/>
      <c r="X44" s="133"/>
      <c r="AH44" s="233"/>
      <c r="AI44" s="233"/>
      <c r="AJ44" s="233"/>
      <c r="AK44" s="233"/>
      <c r="AL44" s="233"/>
    </row>
    <row r="45" spans="1:38" ht="15" customHeight="1" x14ac:dyDescent="0.3">
      <c r="A45" s="797"/>
      <c r="B45" s="798" t="s">
        <v>1155</v>
      </c>
      <c r="C45" s="799"/>
      <c r="D45" s="796">
        <f>D194</f>
        <v>0</v>
      </c>
      <c r="E45" s="796">
        <f t="shared" ref="E45:H45" si="35">E194</f>
        <v>0</v>
      </c>
      <c r="F45" s="796">
        <f t="shared" si="35"/>
        <v>0</v>
      </c>
      <c r="G45" s="796">
        <f t="shared" si="35"/>
        <v>0</v>
      </c>
      <c r="H45" s="796">
        <f t="shared" si="35"/>
        <v>0</v>
      </c>
      <c r="K45" s="893"/>
      <c r="L45" s="893"/>
      <c r="M45" s="893"/>
      <c r="N45" s="893"/>
      <c r="O45" s="893"/>
      <c r="P45" s="133"/>
      <c r="Q45" s="133"/>
      <c r="R45" s="133"/>
      <c r="S45" s="133"/>
      <c r="T45" s="133"/>
      <c r="U45" s="133"/>
      <c r="V45" s="133"/>
      <c r="W45" s="133"/>
      <c r="X45" s="133"/>
      <c r="AH45" s="233"/>
      <c r="AI45" s="233"/>
      <c r="AJ45" s="233"/>
      <c r="AK45" s="233"/>
      <c r="AL45" s="233"/>
    </row>
    <row r="46" spans="1:38" ht="15" customHeight="1" x14ac:dyDescent="0.3">
      <c r="B46" s="159" t="str">
        <f>B157</f>
        <v>Number of people receiving knee  surgery</v>
      </c>
      <c r="C46" s="548"/>
      <c r="D46" s="128">
        <f>D159</f>
        <v>34.039499999999997</v>
      </c>
      <c r="E46" s="128">
        <f>E159</f>
        <v>22.806464999999999</v>
      </c>
      <c r="F46" s="128">
        <f>F159</f>
        <v>15.280331550000001</v>
      </c>
      <c r="G46" s="128">
        <f>G159</f>
        <v>10.2378221385</v>
      </c>
      <c r="H46" s="128">
        <f>H159</f>
        <v>6.8593408327950005</v>
      </c>
      <c r="K46" s="639">
        <f>K159</f>
        <v>336.04766957142851</v>
      </c>
      <c r="L46" s="639">
        <f>L159</f>
        <v>225.15193861285709</v>
      </c>
      <c r="M46" s="639">
        <f>M159</f>
        <v>150.85179887061429</v>
      </c>
      <c r="N46" s="639">
        <f>N159</f>
        <v>101.07070524331156</v>
      </c>
      <c r="O46" s="639">
        <f>O159</f>
        <v>67.717372513018745</v>
      </c>
      <c r="P46" s="133"/>
      <c r="Q46" s="133"/>
      <c r="R46" s="133"/>
      <c r="S46" s="133"/>
      <c r="T46" s="133"/>
      <c r="U46" s="133"/>
      <c r="V46" s="133"/>
      <c r="W46" s="133"/>
      <c r="X46" s="133"/>
      <c r="AH46" s="233"/>
      <c r="AI46" s="233"/>
      <c r="AJ46" s="233"/>
      <c r="AK46" s="233"/>
      <c r="AL46" s="233"/>
    </row>
    <row r="47" spans="1:38" ht="15" customHeight="1" x14ac:dyDescent="0.3">
      <c r="A47" s="566"/>
      <c r="B47" s="567" t="str">
        <f>B161 &amp; " (orthopaedic first attendances)"</f>
        <v>Number of appointments (orthopaedic first attendances)</v>
      </c>
      <c r="C47" s="568"/>
      <c r="D47" s="128">
        <f>D164</f>
        <v>34.039499999999997</v>
      </c>
      <c r="E47" s="128">
        <f>E164</f>
        <v>22.806464999999999</v>
      </c>
      <c r="F47" s="128">
        <f>F164</f>
        <v>15.280331550000001</v>
      </c>
      <c r="G47" s="128">
        <f>G164</f>
        <v>10.2378221385</v>
      </c>
      <c r="H47" s="128">
        <f>H164</f>
        <v>6.8593408327950005</v>
      </c>
      <c r="K47" s="234">
        <f>K164</f>
        <v>4.9289195999999995</v>
      </c>
      <c r="L47" s="234">
        <f>L164</f>
        <v>3.302376132</v>
      </c>
      <c r="M47" s="234">
        <f>M164</f>
        <v>2.2125920084400006</v>
      </c>
      <c r="N47" s="234">
        <f>N164</f>
        <v>1.4824366456548002</v>
      </c>
      <c r="O47" s="234">
        <f>O164</f>
        <v>0.99323255258871612</v>
      </c>
      <c r="P47" s="133"/>
      <c r="Q47" s="133"/>
      <c r="R47" s="133"/>
      <c r="S47" s="133"/>
      <c r="T47" s="133"/>
      <c r="U47" s="133"/>
      <c r="V47" s="133"/>
      <c r="W47" s="133"/>
      <c r="X47" s="133"/>
      <c r="AH47" s="233"/>
      <c r="AI47" s="233"/>
      <c r="AJ47" s="233"/>
      <c r="AK47" s="233"/>
      <c r="AL47" s="233"/>
    </row>
    <row r="48" spans="1:38" ht="15" customHeight="1" x14ac:dyDescent="0.3">
      <c r="A48" s="569"/>
      <c r="B48" s="570" t="str">
        <f>B161 &amp; " (orthopaedic follow-up attendances)"</f>
        <v>Number of appointments (orthopaedic follow-up attendances)</v>
      </c>
      <c r="C48" s="571"/>
      <c r="D48" s="548">
        <f>D168</f>
        <v>0</v>
      </c>
      <c r="E48" s="548">
        <f>E168</f>
        <v>0</v>
      </c>
      <c r="F48" s="548">
        <f>F168</f>
        <v>0</v>
      </c>
      <c r="G48" s="548">
        <f>G168</f>
        <v>0</v>
      </c>
      <c r="H48" s="128">
        <f>H168</f>
        <v>0</v>
      </c>
      <c r="K48" s="234">
        <f>K168</f>
        <v>0</v>
      </c>
      <c r="L48" s="234">
        <f>L168</f>
        <v>0</v>
      </c>
      <c r="M48" s="234">
        <f>M168</f>
        <v>0</v>
      </c>
      <c r="N48" s="234">
        <f>N168</f>
        <v>0</v>
      </c>
      <c r="O48" s="234">
        <f>O168</f>
        <v>0</v>
      </c>
      <c r="P48" s="133"/>
      <c r="Q48" s="133"/>
      <c r="R48" s="133"/>
      <c r="S48" s="133"/>
      <c r="T48" s="133"/>
      <c r="U48" s="133"/>
      <c r="V48" s="133"/>
      <c r="W48" s="133"/>
      <c r="X48" s="133"/>
      <c r="AH48" s="233"/>
      <c r="AI48" s="233"/>
      <c r="AJ48" s="233"/>
      <c r="AK48" s="233"/>
      <c r="AL48" s="233"/>
    </row>
    <row r="49" spans="1:38" ht="15" customHeight="1" x14ac:dyDescent="0.3">
      <c r="A49" s="588"/>
      <c r="B49" s="590" t="str">
        <f>B170</f>
        <v>GP visits</v>
      </c>
      <c r="C49" s="591"/>
      <c r="D49" s="548">
        <f>D172</f>
        <v>0</v>
      </c>
      <c r="E49" s="548">
        <f>E172</f>
        <v>0</v>
      </c>
      <c r="F49" s="548">
        <f>F172</f>
        <v>0</v>
      </c>
      <c r="G49" s="548">
        <f>G172</f>
        <v>0</v>
      </c>
      <c r="H49" s="128">
        <f>H172</f>
        <v>0</v>
      </c>
      <c r="K49" s="234">
        <f>K172</f>
        <v>0</v>
      </c>
      <c r="L49" s="234">
        <f>L172</f>
        <v>0</v>
      </c>
      <c r="M49" s="234">
        <f>M172</f>
        <v>0</v>
      </c>
      <c r="N49" s="234">
        <f>N172</f>
        <v>0</v>
      </c>
      <c r="O49" s="234">
        <f>O172</f>
        <v>0</v>
      </c>
      <c r="P49" s="133"/>
      <c r="Q49" s="133"/>
      <c r="R49" s="133"/>
      <c r="S49" s="133"/>
      <c r="T49" s="133"/>
      <c r="U49" s="133"/>
      <c r="V49" s="133"/>
      <c r="W49" s="133"/>
      <c r="X49" s="133"/>
      <c r="AH49" s="233"/>
      <c r="AI49" s="233"/>
      <c r="AJ49" s="233"/>
      <c r="AK49" s="233"/>
      <c r="AL49" s="233"/>
    </row>
    <row r="50" spans="1:38" ht="15" customHeight="1" x14ac:dyDescent="0.3">
      <c r="A50" s="692"/>
      <c r="B50" s="693" t="s">
        <v>890</v>
      </c>
      <c r="C50" s="694"/>
      <c r="D50" s="548">
        <f>D182</f>
        <v>120.19185357142854</v>
      </c>
      <c r="E50" s="548">
        <f>E182</f>
        <v>80.528541892857135</v>
      </c>
      <c r="F50" s="548">
        <f>F182</f>
        <v>53.95412306821428</v>
      </c>
      <c r="G50" s="548">
        <f>G182</f>
        <v>36.149262455703564</v>
      </c>
      <c r="H50" s="128">
        <f>H182</f>
        <v>24.220005845321392</v>
      </c>
      <c r="K50" s="703"/>
      <c r="L50" s="703"/>
      <c r="M50" s="703"/>
      <c r="N50" s="703"/>
      <c r="O50" s="703"/>
      <c r="P50" s="133"/>
      <c r="Q50" s="133"/>
      <c r="R50" s="133"/>
      <c r="S50" s="133"/>
      <c r="T50" s="133"/>
      <c r="U50" s="133"/>
      <c r="V50" s="133"/>
      <c r="W50" s="133"/>
      <c r="X50" s="133"/>
      <c r="AH50" s="233"/>
      <c r="AI50" s="233"/>
      <c r="AJ50" s="233"/>
      <c r="AK50" s="233"/>
      <c r="AL50" s="233"/>
    </row>
    <row r="51" spans="1:38" ht="15" customHeight="1" x14ac:dyDescent="0.3">
      <c r="B51" s="159" t="s">
        <v>1129</v>
      </c>
      <c r="C51" s="548"/>
      <c r="D51" s="548">
        <f>D178</f>
        <v>0</v>
      </c>
      <c r="E51" s="548">
        <f t="shared" ref="E51:H51" si="36">E178</f>
        <v>0</v>
      </c>
      <c r="F51" s="548">
        <f t="shared" si="36"/>
        <v>0</v>
      </c>
      <c r="G51" s="548">
        <f t="shared" si="36"/>
        <v>0</v>
      </c>
      <c r="H51" s="548">
        <f t="shared" si="36"/>
        <v>0</v>
      </c>
      <c r="K51" s="234">
        <f>K178</f>
        <v>0</v>
      </c>
      <c r="L51" s="234">
        <f t="shared" ref="L51:O51" si="37">L178</f>
        <v>0</v>
      </c>
      <c r="M51" s="234">
        <f t="shared" si="37"/>
        <v>0</v>
      </c>
      <c r="N51" s="234">
        <f t="shared" si="37"/>
        <v>0</v>
      </c>
      <c r="O51" s="234">
        <f t="shared" si="37"/>
        <v>0</v>
      </c>
      <c r="P51" s="133"/>
      <c r="Q51" s="133"/>
      <c r="R51" s="133"/>
      <c r="S51" s="133"/>
      <c r="T51" s="133"/>
      <c r="U51" s="133"/>
      <c r="V51" s="133"/>
      <c r="W51" s="133"/>
      <c r="X51" s="133"/>
      <c r="AH51" s="233"/>
      <c r="AI51" s="233"/>
      <c r="AJ51" s="233"/>
      <c r="AK51" s="233"/>
      <c r="AL51" s="233"/>
    </row>
    <row r="52" spans="1:38" ht="15" thickBot="1" x14ac:dyDescent="0.35">
      <c r="B52" s="237"/>
      <c r="C52" s="237"/>
      <c r="D52" s="237"/>
      <c r="E52" s="237"/>
      <c r="F52" s="237"/>
      <c r="G52" s="237"/>
      <c r="H52" s="237"/>
      <c r="I52" s="237"/>
      <c r="J52" s="237"/>
      <c r="N52" s="133"/>
      <c r="O52" s="133"/>
      <c r="P52" s="133"/>
      <c r="Q52" s="133"/>
      <c r="T52" s="133"/>
      <c r="U52" s="133"/>
      <c r="V52" s="133"/>
      <c r="W52" s="133"/>
      <c r="X52" s="133"/>
      <c r="AH52" s="233"/>
      <c r="AI52" s="233"/>
      <c r="AJ52" s="233"/>
      <c r="AK52" s="233"/>
      <c r="AL52" s="233"/>
    </row>
    <row r="53" spans="1:38" x14ac:dyDescent="0.3">
      <c r="A53" s="719"/>
      <c r="B53" s="839"/>
      <c r="C53" s="839"/>
      <c r="D53" s="839"/>
      <c r="E53" s="839"/>
      <c r="F53" s="839"/>
      <c r="G53" s="839"/>
      <c r="H53" s="839"/>
      <c r="I53" s="839"/>
      <c r="J53" s="839"/>
      <c r="K53" s="724"/>
      <c r="L53" s="724"/>
      <c r="M53" s="724"/>
      <c r="N53" s="840"/>
      <c r="O53" s="840"/>
      <c r="P53" s="841"/>
      <c r="Q53" s="133"/>
      <c r="T53" s="133"/>
      <c r="U53" s="133"/>
      <c r="V53" s="133"/>
      <c r="W53" s="133"/>
      <c r="X53" s="133"/>
      <c r="AH53" s="233"/>
      <c r="AI53" s="233"/>
      <c r="AJ53" s="233"/>
      <c r="AK53" s="233"/>
      <c r="AL53" s="233"/>
    </row>
    <row r="54" spans="1:38" x14ac:dyDescent="0.3">
      <c r="A54" s="728"/>
      <c r="B54" s="262" t="s">
        <v>892</v>
      </c>
      <c r="C54" s="263"/>
      <c r="D54" s="745"/>
      <c r="E54" s="263"/>
      <c r="F54" s="746"/>
      <c r="G54" s="747"/>
      <c r="H54" s="747"/>
      <c r="I54" s="747"/>
      <c r="J54" s="747"/>
      <c r="K54" s="747"/>
      <c r="L54" s="747"/>
      <c r="M54" s="747"/>
      <c r="N54" s="747"/>
      <c r="O54" s="770"/>
      <c r="P54" s="842"/>
      <c r="Q54" s="133"/>
      <c r="R54" s="133"/>
      <c r="S54" s="133"/>
      <c r="T54" s="133"/>
      <c r="U54" s="133"/>
      <c r="V54" s="133"/>
      <c r="W54" s="133"/>
      <c r="X54" s="133"/>
      <c r="AH54" s="233"/>
      <c r="AI54" s="233"/>
      <c r="AJ54" s="233"/>
      <c r="AK54" s="233"/>
      <c r="AL54" s="233"/>
    </row>
    <row r="55" spans="1:38" x14ac:dyDescent="0.3">
      <c r="A55" s="728"/>
      <c r="B55" s="775" t="s">
        <v>697</v>
      </c>
      <c r="C55" s="753"/>
      <c r="D55" s="754"/>
      <c r="E55" s="753"/>
      <c r="F55" s="755"/>
      <c r="G55" s="756"/>
      <c r="H55" s="756"/>
      <c r="I55" s="756"/>
      <c r="J55" s="756"/>
      <c r="K55" s="756"/>
      <c r="L55" s="756"/>
      <c r="M55" s="756"/>
      <c r="N55" s="756"/>
      <c r="O55" s="776"/>
      <c r="P55" s="842"/>
      <c r="Q55" s="133"/>
      <c r="R55" s="133"/>
      <c r="S55" s="133"/>
      <c r="T55" s="133"/>
      <c r="U55" s="133"/>
      <c r="V55" s="133"/>
      <c r="W55" s="133"/>
      <c r="X55" s="133"/>
      <c r="AH55" s="233"/>
      <c r="AI55" s="233"/>
      <c r="AJ55" s="233"/>
      <c r="AK55" s="233"/>
      <c r="AL55" s="233"/>
    </row>
    <row r="56" spans="1:38" x14ac:dyDescent="0.3">
      <c r="A56" s="999"/>
      <c r="B56" s="981" t="s">
        <v>899</v>
      </c>
      <c r="C56" s="982"/>
      <c r="D56" s="983"/>
      <c r="E56" s="982"/>
      <c r="F56" s="984"/>
      <c r="G56" s="985"/>
      <c r="H56" s="985"/>
      <c r="I56" s="1001"/>
      <c r="J56" s="985"/>
      <c r="K56" s="985"/>
      <c r="L56" s="985"/>
      <c r="M56" s="985"/>
      <c r="N56" s="985"/>
      <c r="O56" s="986"/>
      <c r="P56" s="842"/>
      <c r="Q56" s="133"/>
      <c r="R56" s="133"/>
      <c r="S56" s="133"/>
      <c r="T56" s="133"/>
      <c r="U56" s="133"/>
      <c r="V56" s="133"/>
      <c r="W56" s="133"/>
      <c r="X56" s="133"/>
      <c r="Y56" s="133"/>
      <c r="Z56" s="133"/>
      <c r="AA56" s="133"/>
      <c r="AB56" s="133"/>
      <c r="AC56" s="133"/>
      <c r="AD56" s="133"/>
      <c r="AE56" s="133"/>
      <c r="AF56" s="133"/>
      <c r="AG56" s="133"/>
      <c r="AH56" s="902"/>
      <c r="AI56" s="902"/>
      <c r="AJ56" s="902"/>
      <c r="AK56" s="902"/>
      <c r="AL56" s="902"/>
    </row>
    <row r="57" spans="1:38" x14ac:dyDescent="0.3">
      <c r="A57" s="999"/>
      <c r="B57" s="987" t="s">
        <v>1133</v>
      </c>
      <c r="C57" s="988"/>
      <c r="D57" s="989"/>
      <c r="E57" s="990"/>
      <c r="F57" s="990"/>
      <c r="G57" s="991"/>
      <c r="H57" s="991"/>
      <c r="I57" s="992"/>
      <c r="J57" s="991"/>
      <c r="K57" s="991"/>
      <c r="L57" s="991"/>
      <c r="M57" s="991"/>
      <c r="N57" s="991"/>
      <c r="O57" s="993"/>
      <c r="P57" s="842"/>
      <c r="Q57" s="133"/>
      <c r="R57" s="133"/>
      <c r="S57" s="555"/>
      <c r="T57" s="133"/>
      <c r="U57" s="133"/>
      <c r="V57" s="133"/>
      <c r="W57" s="133"/>
      <c r="X57" s="133"/>
      <c r="Y57" s="133"/>
      <c r="Z57" s="133"/>
      <c r="AA57" s="133"/>
      <c r="AB57" s="133"/>
      <c r="AC57" s="133"/>
      <c r="AD57" s="133"/>
      <c r="AE57" s="133"/>
      <c r="AF57" s="133"/>
      <c r="AG57" s="133"/>
      <c r="AH57" s="902"/>
      <c r="AI57" s="902"/>
      <c r="AJ57" s="902"/>
      <c r="AK57" s="902"/>
      <c r="AL57" s="902"/>
    </row>
    <row r="58" spans="1:38" x14ac:dyDescent="0.3">
      <c r="A58" s="999"/>
      <c r="B58" s="274"/>
      <c r="C58" s="552"/>
      <c r="D58" s="647" t="s">
        <v>623</v>
      </c>
      <c r="E58" s="648" t="s">
        <v>624</v>
      </c>
      <c r="F58" s="647" t="s">
        <v>625</v>
      </c>
      <c r="G58" s="647" t="s">
        <v>626</v>
      </c>
      <c r="H58" s="647" t="s">
        <v>627</v>
      </c>
      <c r="I58" s="992"/>
      <c r="J58" s="1028" t="s">
        <v>893</v>
      </c>
      <c r="K58" s="647" t="s">
        <v>623</v>
      </c>
      <c r="L58" s="648" t="s">
        <v>624</v>
      </c>
      <c r="M58" s="647" t="s">
        <v>625</v>
      </c>
      <c r="N58" s="647" t="s">
        <v>626</v>
      </c>
      <c r="O58" s="648" t="s">
        <v>627</v>
      </c>
      <c r="P58" s="842"/>
      <c r="Q58" s="133"/>
      <c r="R58" s="133"/>
      <c r="S58" s="555"/>
      <c r="T58" s="133"/>
      <c r="U58" s="133"/>
      <c r="V58" s="133"/>
      <c r="W58" s="133"/>
      <c r="X58" s="133"/>
      <c r="Y58" s="133"/>
      <c r="Z58" s="133"/>
      <c r="AA58" s="133"/>
      <c r="AB58" s="133"/>
      <c r="AC58" s="133"/>
      <c r="AD58" s="133"/>
      <c r="AE58" s="133"/>
      <c r="AF58" s="133"/>
      <c r="AG58" s="133"/>
      <c r="AH58" s="902"/>
      <c r="AI58" s="902"/>
      <c r="AJ58" s="902"/>
      <c r="AK58" s="902"/>
      <c r="AL58" s="902"/>
    </row>
    <row r="59" spans="1:38" x14ac:dyDescent="0.3">
      <c r="A59" s="999"/>
      <c r="B59" s="247" t="s">
        <v>721</v>
      </c>
      <c r="C59" s="548"/>
      <c r="D59" s="548">
        <f>'Inputs and eligible population'!G62</f>
        <v>0</v>
      </c>
      <c r="E59" s="548">
        <f>'Inputs and eligible population'!H62</f>
        <v>0</v>
      </c>
      <c r="F59" s="548">
        <f>'Inputs and eligible population'!I62</f>
        <v>0</v>
      </c>
      <c r="G59" s="548">
        <f>'Inputs and eligible population'!J62</f>
        <v>0</v>
      </c>
      <c r="H59" s="548">
        <f>'Inputs and eligible population'!K62</f>
        <v>0</v>
      </c>
      <c r="I59" s="1001"/>
      <c r="J59" s="351">
        <f>'Inputs and eligible population'!J97</f>
        <v>0</v>
      </c>
      <c r="K59" s="351">
        <f t="shared" ref="K59:O60" si="38">$J59/1000*D59</f>
        <v>0</v>
      </c>
      <c r="L59" s="351">
        <f t="shared" si="38"/>
        <v>0</v>
      </c>
      <c r="M59" s="351">
        <f t="shared" si="38"/>
        <v>0</v>
      </c>
      <c r="N59" s="351">
        <f t="shared" si="38"/>
        <v>0</v>
      </c>
      <c r="O59" s="351">
        <f t="shared" si="38"/>
        <v>0</v>
      </c>
      <c r="P59" s="842"/>
      <c r="Q59" s="133"/>
      <c r="R59" s="133"/>
      <c r="S59" s="556"/>
      <c r="T59" s="133"/>
      <c r="U59" s="133"/>
      <c r="V59" s="133"/>
      <c r="W59" s="133"/>
      <c r="X59" s="133"/>
      <c r="Y59" s="133"/>
      <c r="Z59" s="133"/>
      <c r="AA59" s="133"/>
      <c r="AB59" s="133"/>
      <c r="AC59" s="133"/>
      <c r="AD59" s="133"/>
      <c r="AE59" s="133"/>
      <c r="AF59" s="133"/>
      <c r="AG59" s="133"/>
      <c r="AH59" s="902"/>
      <c r="AI59" s="902"/>
      <c r="AJ59" s="902"/>
      <c r="AK59" s="902"/>
      <c r="AL59" s="902"/>
    </row>
    <row r="60" spans="1:38" x14ac:dyDescent="0.3">
      <c r="A60" s="999"/>
      <c r="B60" s="771" t="s">
        <v>720</v>
      </c>
      <c r="C60" s="554"/>
      <c r="D60" s="548">
        <f>'Inputs and eligible population'!G52</f>
        <v>0</v>
      </c>
      <c r="E60" s="548">
        <f>'Inputs and eligible population'!H52</f>
        <v>0</v>
      </c>
      <c r="F60" s="548">
        <f>'Inputs and eligible population'!I52</f>
        <v>0</v>
      </c>
      <c r="G60" s="548">
        <f>'Inputs and eligible population'!J52</f>
        <v>0</v>
      </c>
      <c r="H60" s="548">
        <f>'Inputs and eligible population'!K52</f>
        <v>0</v>
      </c>
      <c r="I60" s="1000">
        <f>'Inputs and eligible population'!L35*'Inputs and eligible population'!$G$104</f>
        <v>0</v>
      </c>
      <c r="J60" s="351">
        <f>'Inputs and eligible population'!J101</f>
        <v>0</v>
      </c>
      <c r="K60" s="351">
        <f t="shared" si="38"/>
        <v>0</v>
      </c>
      <c r="L60" s="351">
        <f t="shared" si="38"/>
        <v>0</v>
      </c>
      <c r="M60" s="351">
        <f t="shared" si="38"/>
        <v>0</v>
      </c>
      <c r="N60" s="351">
        <f t="shared" si="38"/>
        <v>0</v>
      </c>
      <c r="O60" s="351">
        <f t="shared" si="38"/>
        <v>0</v>
      </c>
      <c r="P60" s="842"/>
      <c r="Q60" s="133"/>
      <c r="R60" s="133"/>
      <c r="S60" s="556"/>
      <c r="T60" s="133"/>
      <c r="U60" s="133"/>
      <c r="V60" s="133"/>
      <c r="W60" s="133"/>
      <c r="X60" s="133"/>
      <c r="Y60" s="133"/>
      <c r="Z60" s="133"/>
      <c r="AA60" s="133"/>
      <c r="AB60" s="133"/>
      <c r="AC60" s="133"/>
      <c r="AD60" s="133"/>
      <c r="AE60" s="133"/>
      <c r="AF60" s="133"/>
      <c r="AG60" s="133"/>
      <c r="AH60" s="902"/>
      <c r="AI60" s="902"/>
      <c r="AJ60" s="902"/>
      <c r="AK60" s="902"/>
      <c r="AL60" s="902"/>
    </row>
    <row r="61" spans="1:38" x14ac:dyDescent="0.3">
      <c r="A61" s="999"/>
      <c r="B61" s="229" t="s">
        <v>894</v>
      </c>
      <c r="C61" s="551"/>
      <c r="D61" s="551">
        <f>SUM(D59:D60)</f>
        <v>0</v>
      </c>
      <c r="E61" s="551">
        <f t="shared" ref="E61:H61" si="39">SUM(E59:E60)</f>
        <v>0</v>
      </c>
      <c r="F61" s="551">
        <f t="shared" si="39"/>
        <v>0</v>
      </c>
      <c r="G61" s="551">
        <f t="shared" si="39"/>
        <v>0</v>
      </c>
      <c r="H61" s="551">
        <f t="shared" si="39"/>
        <v>0</v>
      </c>
      <c r="I61" s="1001"/>
      <c r="J61" s="848"/>
      <c r="K61" s="235">
        <f>SUM(K59:K60)</f>
        <v>0</v>
      </c>
      <c r="L61" s="235">
        <f t="shared" ref="L61:O61" si="40">SUM(L59:L60)</f>
        <v>0</v>
      </c>
      <c r="M61" s="235">
        <f t="shared" si="40"/>
        <v>0</v>
      </c>
      <c r="N61" s="235">
        <f t="shared" si="40"/>
        <v>0</v>
      </c>
      <c r="O61" s="235">
        <f t="shared" si="40"/>
        <v>0</v>
      </c>
      <c r="P61" s="842"/>
      <c r="Q61" s="133"/>
      <c r="R61" s="902"/>
      <c r="S61" s="902"/>
      <c r="T61" s="902"/>
      <c r="U61" s="902"/>
      <c r="V61" s="902"/>
      <c r="W61" s="133"/>
      <c r="X61" s="133"/>
      <c r="Y61" s="133"/>
      <c r="Z61" s="133"/>
      <c r="AA61" s="133"/>
      <c r="AB61" s="133"/>
      <c r="AC61" s="133"/>
      <c r="AD61" s="133"/>
      <c r="AE61" s="133"/>
      <c r="AF61" s="133"/>
      <c r="AG61" s="133"/>
      <c r="AH61" s="902"/>
      <c r="AI61" s="902"/>
      <c r="AJ61" s="902"/>
      <c r="AK61" s="902"/>
      <c r="AL61" s="902"/>
    </row>
    <row r="62" spans="1:38" x14ac:dyDescent="0.3">
      <c r="A62" s="999"/>
      <c r="B62" s="237"/>
      <c r="C62" s="350"/>
      <c r="D62" s="847"/>
      <c r="I62" s="992"/>
      <c r="J62" s="133"/>
      <c r="K62" s="133"/>
      <c r="L62" s="133"/>
      <c r="M62" s="133"/>
      <c r="N62" s="133"/>
      <c r="O62" s="133"/>
      <c r="P62" s="842"/>
      <c r="Q62" s="133"/>
      <c r="R62" s="133"/>
      <c r="S62" s="903"/>
      <c r="T62" s="903"/>
      <c r="U62" s="903"/>
      <c r="V62" s="903"/>
      <c r="W62" s="133"/>
      <c r="X62" s="133"/>
      <c r="Y62" s="133"/>
      <c r="Z62" s="133"/>
      <c r="AA62" s="133"/>
      <c r="AB62" s="133"/>
      <c r="AC62" s="133"/>
      <c r="AD62" s="133"/>
      <c r="AE62" s="133"/>
      <c r="AF62" s="133"/>
      <c r="AG62" s="133"/>
      <c r="AH62" s="902"/>
      <c r="AI62" s="902"/>
      <c r="AJ62" s="902"/>
      <c r="AK62" s="902"/>
      <c r="AL62" s="902"/>
    </row>
    <row r="63" spans="1:38" x14ac:dyDescent="0.3">
      <c r="A63" s="999"/>
      <c r="B63" s="271" t="s">
        <v>1128</v>
      </c>
      <c r="C63" s="960"/>
      <c r="D63" s="960"/>
      <c r="E63" s="960"/>
      <c r="F63" s="960"/>
      <c r="G63" s="960"/>
      <c r="H63" s="160"/>
      <c r="I63" s="1001"/>
      <c r="J63" s="199"/>
      <c r="K63" s="960"/>
      <c r="L63" s="960"/>
      <c r="M63" s="960"/>
      <c r="N63" s="960"/>
      <c r="O63" s="961"/>
      <c r="P63" s="842"/>
      <c r="Q63" s="133"/>
      <c r="R63" s="133"/>
      <c r="S63" s="133"/>
      <c r="T63" s="133"/>
      <c r="U63" s="133"/>
      <c r="V63" s="133"/>
      <c r="W63" s="133"/>
      <c r="X63" s="133"/>
      <c r="Y63" s="133"/>
      <c r="Z63" s="133"/>
      <c r="AA63" s="133"/>
      <c r="AB63" s="133"/>
      <c r="AC63" s="133"/>
      <c r="AD63" s="133"/>
      <c r="AE63" s="133"/>
      <c r="AF63" s="133"/>
      <c r="AG63" s="133"/>
      <c r="AH63" s="902"/>
      <c r="AI63" s="902"/>
      <c r="AJ63" s="902"/>
      <c r="AK63" s="902"/>
      <c r="AL63" s="902"/>
    </row>
    <row r="64" spans="1:38" x14ac:dyDescent="0.3">
      <c r="A64" s="999"/>
      <c r="B64" s="274" t="s">
        <v>895</v>
      </c>
      <c r="C64" s="552"/>
      <c r="D64" s="647" t="s">
        <v>623</v>
      </c>
      <c r="E64" s="648" t="s">
        <v>624</v>
      </c>
      <c r="F64" s="647" t="s">
        <v>625</v>
      </c>
      <c r="G64" s="647" t="s">
        <v>626</v>
      </c>
      <c r="H64" s="648" t="s">
        <v>627</v>
      </c>
      <c r="I64" s="1001"/>
      <c r="J64" s="489" t="s">
        <v>893</v>
      </c>
      <c r="K64" s="647" t="s">
        <v>623</v>
      </c>
      <c r="L64" s="648" t="s">
        <v>624</v>
      </c>
      <c r="M64" s="647" t="s">
        <v>625</v>
      </c>
      <c r="N64" s="647" t="s">
        <v>626</v>
      </c>
      <c r="O64" s="647" t="s">
        <v>627</v>
      </c>
      <c r="P64" s="842"/>
      <c r="Q64" s="133"/>
      <c r="R64" s="848"/>
      <c r="S64" s="133"/>
      <c r="T64" s="133"/>
      <c r="U64" s="133"/>
      <c r="V64" s="133"/>
      <c r="W64" s="133"/>
      <c r="X64" s="133"/>
      <c r="Y64" s="133"/>
      <c r="Z64" s="133"/>
      <c r="AA64" s="133"/>
      <c r="AB64" s="133"/>
      <c r="AC64" s="133"/>
      <c r="AD64" s="133"/>
      <c r="AE64" s="133"/>
      <c r="AF64" s="133"/>
      <c r="AG64" s="133"/>
      <c r="AH64" s="902"/>
      <c r="AI64" s="902"/>
      <c r="AJ64" s="902"/>
      <c r="AK64" s="902"/>
      <c r="AL64" s="902"/>
    </row>
    <row r="65" spans="1:38" x14ac:dyDescent="0.3">
      <c r="A65" s="999"/>
      <c r="B65" s="247" t="s">
        <v>721</v>
      </c>
      <c r="C65" s="548"/>
      <c r="D65" s="548">
        <f>D59</f>
        <v>0</v>
      </c>
      <c r="E65" s="548">
        <f t="shared" ref="E65:H65" si="41">E59</f>
        <v>0</v>
      </c>
      <c r="F65" s="548">
        <f t="shared" si="41"/>
        <v>0</v>
      </c>
      <c r="G65" s="548">
        <f t="shared" si="41"/>
        <v>0</v>
      </c>
      <c r="H65" s="548">
        <f t="shared" si="41"/>
        <v>0</v>
      </c>
      <c r="I65" s="1001"/>
      <c r="J65" s="351">
        <f>'Inputs and eligible population'!J99</f>
        <v>0</v>
      </c>
      <c r="K65" s="351">
        <f t="shared" ref="K65:O66" si="42">$J65/1000*D65</f>
        <v>0</v>
      </c>
      <c r="L65" s="351">
        <f t="shared" si="42"/>
        <v>0</v>
      </c>
      <c r="M65" s="351">
        <f t="shared" si="42"/>
        <v>0</v>
      </c>
      <c r="N65" s="351">
        <f t="shared" si="42"/>
        <v>0</v>
      </c>
      <c r="O65" s="351">
        <f t="shared" si="42"/>
        <v>0</v>
      </c>
      <c r="P65" s="842"/>
      <c r="Q65" s="133"/>
      <c r="R65" s="133"/>
      <c r="S65" s="133"/>
      <c r="T65" s="133"/>
      <c r="U65" s="133"/>
      <c r="V65" s="133"/>
      <c r="W65" s="133"/>
      <c r="X65" s="133"/>
      <c r="Y65" s="133"/>
      <c r="Z65" s="133"/>
      <c r="AA65" s="133"/>
      <c r="AB65" s="133"/>
      <c r="AC65" s="133"/>
      <c r="AD65" s="133"/>
      <c r="AE65" s="133"/>
      <c r="AF65" s="133"/>
      <c r="AG65" s="133"/>
      <c r="AH65" s="902"/>
      <c r="AI65" s="902"/>
      <c r="AJ65" s="902"/>
      <c r="AK65" s="902"/>
      <c r="AL65" s="902"/>
    </row>
    <row r="66" spans="1:38" x14ac:dyDescent="0.3">
      <c r="A66" s="999"/>
      <c r="B66" s="771" t="s">
        <v>720</v>
      </c>
      <c r="C66" s="641"/>
      <c r="D66" s="548">
        <f>D60</f>
        <v>0</v>
      </c>
      <c r="E66" s="548">
        <f t="shared" ref="E66:H66" si="43">E60</f>
        <v>0</v>
      </c>
      <c r="F66" s="548">
        <f t="shared" si="43"/>
        <v>0</v>
      </c>
      <c r="G66" s="548">
        <f t="shared" si="43"/>
        <v>0</v>
      </c>
      <c r="H66" s="548">
        <f t="shared" si="43"/>
        <v>0</v>
      </c>
      <c r="I66" s="1001"/>
      <c r="J66" s="351">
        <f>'Inputs and eligible population'!J103</f>
        <v>0</v>
      </c>
      <c r="K66" s="351">
        <f t="shared" si="42"/>
        <v>0</v>
      </c>
      <c r="L66" s="351">
        <f t="shared" si="42"/>
        <v>0</v>
      </c>
      <c r="M66" s="351">
        <f t="shared" si="42"/>
        <v>0</v>
      </c>
      <c r="N66" s="351">
        <f t="shared" si="42"/>
        <v>0</v>
      </c>
      <c r="O66" s="351">
        <f t="shared" si="42"/>
        <v>0</v>
      </c>
      <c r="P66" s="842"/>
      <c r="Q66" s="133"/>
      <c r="R66" s="133"/>
      <c r="S66" s="133"/>
      <c r="T66" s="133"/>
      <c r="U66" s="133"/>
      <c r="V66" s="133"/>
      <c r="W66" s="133"/>
      <c r="X66" s="133"/>
      <c r="Y66" s="133"/>
      <c r="Z66" s="133"/>
      <c r="AA66" s="133"/>
      <c r="AB66" s="133"/>
      <c r="AC66" s="133"/>
      <c r="AD66" s="133"/>
      <c r="AE66" s="133"/>
      <c r="AF66" s="133"/>
      <c r="AG66" s="133"/>
      <c r="AH66" s="902"/>
      <c r="AI66" s="902"/>
      <c r="AJ66" s="902"/>
      <c r="AK66" s="902"/>
      <c r="AL66" s="902"/>
    </row>
    <row r="67" spans="1:38" x14ac:dyDescent="0.3">
      <c r="A67" s="999"/>
      <c r="B67" s="229" t="s">
        <v>896</v>
      </c>
      <c r="C67" s="551"/>
      <c r="D67" s="551">
        <f>SUM(D65:D66)</f>
        <v>0</v>
      </c>
      <c r="E67" s="551">
        <f t="shared" ref="E67:H67" si="44">SUM(E65:E66)</f>
        <v>0</v>
      </c>
      <c r="F67" s="551">
        <f t="shared" si="44"/>
        <v>0</v>
      </c>
      <c r="G67" s="551">
        <f t="shared" si="44"/>
        <v>0</v>
      </c>
      <c r="H67" s="174">
        <f t="shared" si="44"/>
        <v>0</v>
      </c>
      <c r="I67" s="1001"/>
      <c r="J67" s="1009"/>
      <c r="K67" s="235">
        <f>SUM(K65:K66)</f>
        <v>0</v>
      </c>
      <c r="L67" s="235">
        <f>SUM(L65:L66)</f>
        <v>0</v>
      </c>
      <c r="M67" s="235">
        <f>SUM(M65:M66)</f>
        <v>0</v>
      </c>
      <c r="N67" s="235">
        <f>SUM(N65:N66)</f>
        <v>0</v>
      </c>
      <c r="O67" s="235">
        <f>SUM(O65:O66)</f>
        <v>0</v>
      </c>
      <c r="P67" s="842"/>
      <c r="Q67" s="133"/>
      <c r="R67" s="133"/>
      <c r="S67" s="133"/>
      <c r="T67" s="133"/>
      <c r="U67" s="133"/>
      <c r="V67" s="133"/>
      <c r="W67" s="133"/>
      <c r="X67" s="133"/>
      <c r="Y67" s="133"/>
      <c r="Z67" s="133"/>
      <c r="AA67" s="133"/>
      <c r="AB67" s="133"/>
      <c r="AC67" s="133"/>
      <c r="AD67" s="133"/>
      <c r="AE67" s="133"/>
      <c r="AF67" s="133"/>
      <c r="AG67" s="133"/>
      <c r="AH67" s="902"/>
      <c r="AI67" s="902"/>
      <c r="AJ67" s="902"/>
      <c r="AK67" s="902"/>
      <c r="AL67" s="902"/>
    </row>
    <row r="68" spans="1:38" x14ac:dyDescent="0.3">
      <c r="A68" s="999"/>
      <c r="B68" s="981"/>
      <c r="C68" s="982"/>
      <c r="D68" s="983"/>
      <c r="E68" s="982"/>
      <c r="F68" s="984"/>
      <c r="G68" s="985"/>
      <c r="H68" s="985"/>
      <c r="I68" s="985"/>
      <c r="J68" s="985"/>
      <c r="K68" s="985"/>
      <c r="L68" s="985"/>
      <c r="M68" s="985"/>
      <c r="N68" s="985"/>
      <c r="O68" s="986"/>
      <c r="P68" s="842"/>
      <c r="Q68" s="133"/>
      <c r="R68" s="133"/>
      <c r="S68" s="133"/>
      <c r="T68" s="133"/>
      <c r="U68" s="133"/>
      <c r="V68" s="133"/>
      <c r="W68" s="133"/>
      <c r="X68" s="133"/>
      <c r="Y68" s="133"/>
      <c r="Z68" s="133"/>
      <c r="AA68" s="133"/>
      <c r="AB68" s="133"/>
      <c r="AC68" s="133"/>
      <c r="AD68" s="133"/>
      <c r="AE68" s="133"/>
      <c r="AF68" s="133"/>
      <c r="AG68" s="133"/>
      <c r="AH68" s="902"/>
      <c r="AI68" s="902"/>
      <c r="AJ68" s="902"/>
      <c r="AK68" s="902"/>
      <c r="AL68" s="902"/>
    </row>
    <row r="69" spans="1:38" x14ac:dyDescent="0.3">
      <c r="A69" s="867"/>
      <c r="B69" s="801" t="s">
        <v>899</v>
      </c>
      <c r="C69" s="802"/>
      <c r="D69" s="803"/>
      <c r="E69" s="802"/>
      <c r="F69" s="804"/>
      <c r="G69" s="805"/>
      <c r="H69" s="805"/>
      <c r="I69" s="805"/>
      <c r="J69" s="805"/>
      <c r="K69" s="805"/>
      <c r="L69" s="805"/>
      <c r="M69" s="805"/>
      <c r="N69" s="805"/>
      <c r="O69" s="806"/>
      <c r="P69" s="842"/>
      <c r="Q69" s="133"/>
      <c r="R69" s="133"/>
      <c r="S69" s="133"/>
      <c r="T69" s="133"/>
      <c r="U69" s="133"/>
      <c r="V69" s="133"/>
      <c r="W69" s="133"/>
      <c r="X69" s="133"/>
      <c r="AH69" s="233"/>
      <c r="AI69" s="233"/>
      <c r="AJ69" s="233"/>
      <c r="AK69" s="233"/>
      <c r="AL69" s="233"/>
    </row>
    <row r="70" spans="1:38" x14ac:dyDescent="0.3">
      <c r="A70" s="867"/>
      <c r="B70" s="807" t="s">
        <v>1150</v>
      </c>
      <c r="C70" s="808"/>
      <c r="D70" s="809"/>
      <c r="E70" s="810"/>
      <c r="F70" s="810"/>
      <c r="G70" s="811"/>
      <c r="H70" s="811"/>
      <c r="I70" s="812"/>
      <c r="J70" s="811"/>
      <c r="K70" s="811"/>
      <c r="L70" s="811"/>
      <c r="M70" s="811"/>
      <c r="N70" s="811"/>
      <c r="O70" s="813"/>
      <c r="P70" s="842"/>
      <c r="Q70" s="133"/>
      <c r="R70" s="133"/>
      <c r="S70" s="133"/>
      <c r="T70" s="133"/>
      <c r="U70" s="133"/>
      <c r="V70" s="133"/>
      <c r="W70" s="133"/>
      <c r="X70" s="133"/>
      <c r="AH70" s="233"/>
      <c r="AI70" s="233"/>
      <c r="AJ70" s="233"/>
      <c r="AK70" s="233"/>
      <c r="AL70" s="233"/>
    </row>
    <row r="71" spans="1:38" x14ac:dyDescent="0.3">
      <c r="A71" s="867"/>
      <c r="B71" s="274"/>
      <c r="C71" s="552"/>
      <c r="D71" s="647" t="s">
        <v>623</v>
      </c>
      <c r="E71" s="648" t="s">
        <v>624</v>
      </c>
      <c r="F71" s="647" t="s">
        <v>625</v>
      </c>
      <c r="G71" s="647" t="s">
        <v>626</v>
      </c>
      <c r="H71" s="647" t="s">
        <v>627</v>
      </c>
      <c r="I71" s="814"/>
      <c r="J71" s="348" t="s">
        <v>893</v>
      </c>
      <c r="K71" s="647" t="s">
        <v>623</v>
      </c>
      <c r="L71" s="648" t="s">
        <v>624</v>
      </c>
      <c r="M71" s="647" t="s">
        <v>625</v>
      </c>
      <c r="N71" s="647" t="s">
        <v>626</v>
      </c>
      <c r="O71" s="648" t="s">
        <v>627</v>
      </c>
      <c r="P71" s="842"/>
      <c r="Q71" s="133"/>
      <c r="R71" s="133"/>
      <c r="S71" s="133"/>
      <c r="T71" s="133"/>
      <c r="U71" s="133"/>
      <c r="V71" s="133"/>
      <c r="W71" s="133"/>
      <c r="X71" s="133"/>
      <c r="AH71" s="233"/>
      <c r="AI71" s="233"/>
      <c r="AJ71" s="233"/>
      <c r="AK71" s="233"/>
      <c r="AL71" s="233"/>
    </row>
    <row r="72" spans="1:38" x14ac:dyDescent="0.3">
      <c r="A72" s="867"/>
      <c r="B72" s="247" t="s">
        <v>721</v>
      </c>
      <c r="C72" s="548"/>
      <c r="D72" s="548">
        <f>'Inputs and eligible population'!G63</f>
        <v>0</v>
      </c>
      <c r="E72" s="548">
        <f>'Inputs and eligible population'!H63</f>
        <v>0</v>
      </c>
      <c r="F72" s="548">
        <f>'Inputs and eligible population'!I63</f>
        <v>0</v>
      </c>
      <c r="G72" s="548">
        <f>'Inputs and eligible population'!J63</f>
        <v>0</v>
      </c>
      <c r="H72" s="548">
        <f>'Inputs and eligible population'!K63</f>
        <v>0</v>
      </c>
      <c r="I72" s="814"/>
      <c r="J72" s="351">
        <f>'Inputs and eligible population'!J105</f>
        <v>0</v>
      </c>
      <c r="K72" s="351">
        <f t="shared" ref="K72:K73" si="45">$J72/1000*D72</f>
        <v>0</v>
      </c>
      <c r="L72" s="351">
        <f t="shared" ref="L72:L73" si="46">$J72/1000*E72</f>
        <v>0</v>
      </c>
      <c r="M72" s="351">
        <f t="shared" ref="M72:M73" si="47">$J72/1000*F72</f>
        <v>0</v>
      </c>
      <c r="N72" s="351">
        <f t="shared" ref="N72:N73" si="48">$J72/1000*G72</f>
        <v>0</v>
      </c>
      <c r="O72" s="351">
        <f t="shared" ref="O72:O73" si="49">$J72/1000*H72</f>
        <v>0</v>
      </c>
      <c r="P72" s="842"/>
      <c r="Q72" s="133"/>
      <c r="R72" s="133"/>
      <c r="S72" s="133"/>
      <c r="T72" s="133"/>
      <c r="U72" s="133"/>
      <c r="V72" s="133"/>
      <c r="W72" s="133"/>
      <c r="X72" s="133"/>
      <c r="AH72" s="233"/>
      <c r="AI72" s="233"/>
      <c r="AJ72" s="233"/>
      <c r="AK72" s="233"/>
      <c r="AL72" s="233"/>
    </row>
    <row r="73" spans="1:38" x14ac:dyDescent="0.3">
      <c r="A73" s="867"/>
      <c r="B73" s="771" t="s">
        <v>720</v>
      </c>
      <c r="C73" s="554"/>
      <c r="D73" s="548">
        <f>'Inputs and eligible population'!G53</f>
        <v>0</v>
      </c>
      <c r="E73" s="548">
        <f>'Inputs and eligible population'!H53</f>
        <v>0</v>
      </c>
      <c r="F73" s="548">
        <f>'Inputs and eligible population'!I53</f>
        <v>0</v>
      </c>
      <c r="G73" s="548">
        <f>'Inputs and eligible population'!J53</f>
        <v>0</v>
      </c>
      <c r="H73" s="548">
        <f>'Inputs and eligible population'!K53</f>
        <v>0</v>
      </c>
      <c r="I73" s="814"/>
      <c r="J73" s="351">
        <f>'Inputs and eligible population'!J109</f>
        <v>0</v>
      </c>
      <c r="K73" s="351">
        <f t="shared" si="45"/>
        <v>0</v>
      </c>
      <c r="L73" s="351">
        <f t="shared" si="46"/>
        <v>0</v>
      </c>
      <c r="M73" s="351">
        <f t="shared" si="47"/>
        <v>0</v>
      </c>
      <c r="N73" s="351">
        <f t="shared" si="48"/>
        <v>0</v>
      </c>
      <c r="O73" s="351">
        <f t="shared" si="49"/>
        <v>0</v>
      </c>
      <c r="P73" s="842"/>
      <c r="Q73" s="133"/>
      <c r="R73" s="556"/>
      <c r="S73" s="556"/>
      <c r="T73" s="556"/>
      <c r="U73" s="556"/>
      <c r="V73" s="556"/>
      <c r="W73" s="133"/>
      <c r="X73" s="133"/>
      <c r="AH73" s="233"/>
      <c r="AI73" s="233"/>
      <c r="AJ73" s="233"/>
      <c r="AK73" s="233"/>
      <c r="AL73" s="233"/>
    </row>
    <row r="74" spans="1:38" x14ac:dyDescent="0.3">
      <c r="A74" s="867"/>
      <c r="B74" s="229" t="s">
        <v>894</v>
      </c>
      <c r="C74" s="551"/>
      <c r="D74" s="551">
        <f>SUM(D72:D73)</f>
        <v>0</v>
      </c>
      <c r="E74" s="551">
        <f t="shared" ref="E74:H74" si="50">SUM(E72:E73)</f>
        <v>0</v>
      </c>
      <c r="F74" s="551">
        <f t="shared" si="50"/>
        <v>0</v>
      </c>
      <c r="G74" s="551">
        <f t="shared" si="50"/>
        <v>0</v>
      </c>
      <c r="H74" s="551">
        <f t="shared" si="50"/>
        <v>0</v>
      </c>
      <c r="I74" s="814"/>
      <c r="J74" s="843"/>
      <c r="K74" s="235">
        <f>SUM(K72:K73)</f>
        <v>0</v>
      </c>
      <c r="L74" s="235">
        <f t="shared" ref="L74:O74" si="51">SUM(L72:L73)</f>
        <v>0</v>
      </c>
      <c r="M74" s="235">
        <f t="shared" si="51"/>
        <v>0</v>
      </c>
      <c r="N74" s="235">
        <f t="shared" si="51"/>
        <v>0</v>
      </c>
      <c r="O74" s="235">
        <f t="shared" si="51"/>
        <v>0</v>
      </c>
      <c r="P74" s="842"/>
      <c r="Q74" s="133"/>
      <c r="R74" s="555"/>
      <c r="S74" s="555"/>
      <c r="T74" s="555"/>
      <c r="U74" s="555"/>
      <c r="V74" s="555"/>
      <c r="W74" s="133"/>
      <c r="X74" s="133"/>
      <c r="AH74" s="233"/>
      <c r="AI74" s="233"/>
      <c r="AJ74" s="233"/>
      <c r="AK74" s="233"/>
      <c r="AL74" s="233"/>
    </row>
    <row r="75" spans="1:38" x14ac:dyDescent="0.3">
      <c r="A75" s="867"/>
      <c r="B75" s="815"/>
      <c r="C75" s="844"/>
      <c r="D75" s="845"/>
      <c r="E75" s="797"/>
      <c r="F75" s="797"/>
      <c r="G75" s="797"/>
      <c r="H75" s="797"/>
      <c r="I75" s="812"/>
      <c r="J75" s="812"/>
      <c r="K75" s="812"/>
      <c r="L75" s="812"/>
      <c r="M75" s="812"/>
      <c r="N75" s="812"/>
      <c r="O75" s="812"/>
      <c r="P75" s="842"/>
      <c r="Q75" s="133"/>
      <c r="R75" s="556"/>
      <c r="S75" s="557"/>
      <c r="T75" s="557"/>
      <c r="U75" s="557"/>
      <c r="V75" s="557"/>
      <c r="W75" s="133"/>
      <c r="X75" s="133"/>
      <c r="AH75" s="233"/>
      <c r="AI75" s="233"/>
      <c r="AJ75" s="233"/>
      <c r="AK75" s="233"/>
      <c r="AL75" s="233"/>
    </row>
    <row r="76" spans="1:38" x14ac:dyDescent="0.3">
      <c r="A76" s="867"/>
      <c r="B76" s="815" t="s">
        <v>1151</v>
      </c>
      <c r="C76" s="816"/>
      <c r="D76" s="816"/>
      <c r="E76" s="816"/>
      <c r="F76" s="816"/>
      <c r="G76" s="816"/>
      <c r="H76" s="817"/>
      <c r="I76" s="814"/>
      <c r="J76" s="818"/>
      <c r="K76" s="816"/>
      <c r="L76" s="816"/>
      <c r="M76" s="816"/>
      <c r="N76" s="816"/>
      <c r="O76" s="819"/>
      <c r="P76" s="842"/>
      <c r="Q76" s="133"/>
      <c r="R76" s="133"/>
      <c r="S76" s="133"/>
      <c r="T76" s="133"/>
      <c r="U76" s="133"/>
      <c r="V76" s="133"/>
      <c r="W76" s="133"/>
      <c r="X76" s="133"/>
      <c r="AH76" s="233"/>
      <c r="AI76" s="233"/>
      <c r="AJ76" s="233"/>
      <c r="AK76" s="233"/>
      <c r="AL76" s="233"/>
    </row>
    <row r="77" spans="1:38" x14ac:dyDescent="0.3">
      <c r="A77" s="867"/>
      <c r="B77" s="274" t="s">
        <v>895</v>
      </c>
      <c r="C77" s="552"/>
      <c r="D77" s="647" t="s">
        <v>623</v>
      </c>
      <c r="E77" s="648" t="s">
        <v>624</v>
      </c>
      <c r="F77" s="647" t="s">
        <v>625</v>
      </c>
      <c r="G77" s="647" t="s">
        <v>626</v>
      </c>
      <c r="H77" s="648" t="s">
        <v>627</v>
      </c>
      <c r="I77" s="814"/>
      <c r="J77" s="489" t="s">
        <v>893</v>
      </c>
      <c r="K77" s="647" t="s">
        <v>623</v>
      </c>
      <c r="L77" s="648" t="s">
        <v>624</v>
      </c>
      <c r="M77" s="647" t="s">
        <v>625</v>
      </c>
      <c r="N77" s="647" t="s">
        <v>626</v>
      </c>
      <c r="O77" s="647" t="s">
        <v>627</v>
      </c>
      <c r="P77" s="842"/>
      <c r="Q77" s="133"/>
      <c r="R77" s="133"/>
      <c r="S77" s="133"/>
      <c r="T77" s="133"/>
      <c r="U77" s="133"/>
      <c r="V77" s="133"/>
      <c r="W77" s="133"/>
      <c r="X77" s="133"/>
      <c r="AH77" s="233"/>
      <c r="AI77" s="233"/>
      <c r="AJ77" s="233"/>
      <c r="AK77" s="233"/>
      <c r="AL77" s="233"/>
    </row>
    <row r="78" spans="1:38" x14ac:dyDescent="0.3">
      <c r="A78" s="867"/>
      <c r="B78" s="247" t="s">
        <v>721</v>
      </c>
      <c r="C78" s="548"/>
      <c r="D78" s="548">
        <f>D72</f>
        <v>0</v>
      </c>
      <c r="E78" s="548">
        <f t="shared" ref="E78:H78" si="52">E72</f>
        <v>0</v>
      </c>
      <c r="F78" s="548">
        <f t="shared" si="52"/>
        <v>0</v>
      </c>
      <c r="G78" s="548">
        <f t="shared" si="52"/>
        <v>0</v>
      </c>
      <c r="H78" s="548">
        <f t="shared" si="52"/>
        <v>0</v>
      </c>
      <c r="I78" s="814"/>
      <c r="J78" s="351">
        <f>'Inputs and eligible population'!J107</f>
        <v>0</v>
      </c>
      <c r="K78" s="351">
        <f t="shared" ref="K78:K79" si="53">$J78/1000*D78</f>
        <v>0</v>
      </c>
      <c r="L78" s="351">
        <f t="shared" ref="L78:L79" si="54">$J78/1000*E78</f>
        <v>0</v>
      </c>
      <c r="M78" s="351">
        <f t="shared" ref="M78:M79" si="55">$J78/1000*F78</f>
        <v>0</v>
      </c>
      <c r="N78" s="351">
        <f t="shared" ref="N78:N79" si="56">$J78/1000*G78</f>
        <v>0</v>
      </c>
      <c r="O78" s="351">
        <f t="shared" ref="O78:O79" si="57">$J78/1000*H78</f>
        <v>0</v>
      </c>
      <c r="P78" s="842"/>
      <c r="Q78" s="133"/>
      <c r="R78" s="133"/>
      <c r="S78" s="133"/>
      <c r="T78" s="133"/>
      <c r="U78" s="133"/>
      <c r="V78" s="133"/>
      <c r="W78" s="133"/>
      <c r="X78" s="133"/>
      <c r="AH78" s="233"/>
      <c r="AI78" s="233"/>
      <c r="AJ78" s="233"/>
      <c r="AK78" s="233"/>
      <c r="AL78" s="233"/>
    </row>
    <row r="79" spans="1:38" x14ac:dyDescent="0.3">
      <c r="A79" s="867"/>
      <c r="B79" s="771" t="s">
        <v>720</v>
      </c>
      <c r="C79" s="641"/>
      <c r="D79" s="548">
        <f>D73</f>
        <v>0</v>
      </c>
      <c r="E79" s="548">
        <f t="shared" ref="E79:H79" si="58">E73</f>
        <v>0</v>
      </c>
      <c r="F79" s="548">
        <f t="shared" si="58"/>
        <v>0</v>
      </c>
      <c r="G79" s="548">
        <f t="shared" si="58"/>
        <v>0</v>
      </c>
      <c r="H79" s="548">
        <f t="shared" si="58"/>
        <v>0</v>
      </c>
      <c r="I79" s="814"/>
      <c r="J79" s="351">
        <f>'Inputs and eligible population'!J111</f>
        <v>0</v>
      </c>
      <c r="K79" s="351">
        <f t="shared" si="53"/>
        <v>0</v>
      </c>
      <c r="L79" s="351">
        <f t="shared" si="54"/>
        <v>0</v>
      </c>
      <c r="M79" s="351">
        <f t="shared" si="55"/>
        <v>0</v>
      </c>
      <c r="N79" s="351">
        <f t="shared" si="56"/>
        <v>0</v>
      </c>
      <c r="O79" s="351">
        <f t="shared" si="57"/>
        <v>0</v>
      </c>
      <c r="P79" s="842"/>
      <c r="Q79" s="133"/>
      <c r="R79" s="133"/>
      <c r="S79" s="133"/>
      <c r="T79" s="133"/>
      <c r="U79" s="133"/>
      <c r="V79" s="133"/>
      <c r="W79" s="133"/>
      <c r="X79" s="133"/>
      <c r="AH79" s="233"/>
      <c r="AI79" s="233"/>
      <c r="AJ79" s="233"/>
      <c r="AK79" s="233"/>
      <c r="AL79" s="233"/>
    </row>
    <row r="80" spans="1:38" x14ac:dyDescent="0.3">
      <c r="A80" s="867"/>
      <c r="B80" s="229" t="s">
        <v>896</v>
      </c>
      <c r="C80" s="551"/>
      <c r="D80" s="551">
        <f>SUM(D78:D79)</f>
        <v>0</v>
      </c>
      <c r="E80" s="551">
        <f t="shared" ref="E80:H80" si="59">SUM(E78:E79)</f>
        <v>0</v>
      </c>
      <c r="F80" s="551">
        <f t="shared" si="59"/>
        <v>0</v>
      </c>
      <c r="G80" s="551">
        <f t="shared" si="59"/>
        <v>0</v>
      </c>
      <c r="H80" s="174">
        <f t="shared" si="59"/>
        <v>0</v>
      </c>
      <c r="I80" s="814"/>
      <c r="J80" s="843"/>
      <c r="K80" s="235">
        <f>SUM(K78:K79)</f>
        <v>0</v>
      </c>
      <c r="L80" s="235">
        <f>SUM(L78:L79)</f>
        <v>0</v>
      </c>
      <c r="M80" s="235">
        <f>SUM(M78:M79)</f>
        <v>0</v>
      </c>
      <c r="N80" s="235">
        <f>SUM(N78:N79)</f>
        <v>0</v>
      </c>
      <c r="O80" s="235">
        <f>SUM(O78:O79)</f>
        <v>0</v>
      </c>
      <c r="P80" s="842"/>
      <c r="Q80" s="133"/>
      <c r="R80" s="133"/>
      <c r="S80" s="133"/>
      <c r="T80" s="133"/>
      <c r="U80" s="133"/>
      <c r="V80" s="133"/>
      <c r="W80" s="133"/>
      <c r="X80" s="133"/>
      <c r="AH80" s="233"/>
      <c r="AI80" s="233"/>
      <c r="AJ80" s="233"/>
      <c r="AK80" s="233"/>
      <c r="AL80" s="233"/>
    </row>
    <row r="81" spans="1:38" x14ac:dyDescent="0.3">
      <c r="A81" s="867"/>
      <c r="B81" s="868"/>
      <c r="C81" s="846"/>
      <c r="D81" s="844"/>
      <c r="E81" s="845"/>
      <c r="F81" s="797"/>
      <c r="G81" s="797"/>
      <c r="H81" s="797"/>
      <c r="I81" s="812"/>
      <c r="J81" s="812"/>
      <c r="K81" s="812"/>
      <c r="L81" s="812"/>
      <c r="M81" s="812"/>
      <c r="N81" s="812"/>
      <c r="O81" s="812"/>
      <c r="P81" s="842"/>
      <c r="Q81" s="133"/>
      <c r="R81" s="133"/>
      <c r="S81" s="133"/>
      <c r="T81" s="133"/>
      <c r="U81" s="133"/>
      <c r="V81" s="133"/>
      <c r="W81" s="133"/>
      <c r="X81" s="133"/>
      <c r="AH81" s="233"/>
      <c r="AI81" s="233"/>
      <c r="AJ81" s="233"/>
      <c r="AK81" s="233"/>
      <c r="AL81" s="233"/>
    </row>
    <row r="82" spans="1:38" x14ac:dyDescent="0.3">
      <c r="A82" s="728"/>
      <c r="B82" s="869" t="s">
        <v>897</v>
      </c>
      <c r="C82" s="350"/>
      <c r="D82" s="847"/>
      <c r="G82" s="133"/>
      <c r="H82" s="133"/>
      <c r="I82" s="133"/>
      <c r="J82" s="133"/>
      <c r="K82" s="133"/>
      <c r="L82" s="133"/>
      <c r="M82" s="133"/>
      <c r="N82" s="133"/>
      <c r="O82" s="133"/>
      <c r="P82" s="842"/>
      <c r="Q82" s="133"/>
      <c r="R82" s="133"/>
      <c r="S82" s="133"/>
      <c r="T82" s="133"/>
      <c r="U82" s="133"/>
      <c r="V82" s="133"/>
      <c r="W82" s="133"/>
      <c r="X82" s="133"/>
      <c r="AH82" s="233"/>
      <c r="AI82" s="233"/>
      <c r="AJ82" s="233"/>
      <c r="AK82" s="233"/>
      <c r="AL82" s="233"/>
    </row>
    <row r="83" spans="1:38" x14ac:dyDescent="0.3">
      <c r="A83" s="728"/>
      <c r="B83" s="213"/>
      <c r="C83" s="550"/>
      <c r="D83" s="647" t="s">
        <v>623</v>
      </c>
      <c r="E83" s="648" t="s">
        <v>624</v>
      </c>
      <c r="F83" s="647" t="s">
        <v>625</v>
      </c>
      <c r="G83" s="647" t="s">
        <v>626</v>
      </c>
      <c r="H83" s="648" t="s">
        <v>627</v>
      </c>
      <c r="I83" s="490"/>
      <c r="J83" s="348" t="s">
        <v>893</v>
      </c>
      <c r="K83" s="647" t="s">
        <v>623</v>
      </c>
      <c r="L83" s="648" t="s">
        <v>624</v>
      </c>
      <c r="M83" s="647" t="s">
        <v>625</v>
      </c>
      <c r="N83" s="647" t="s">
        <v>626</v>
      </c>
      <c r="O83" s="647" t="s">
        <v>627</v>
      </c>
      <c r="P83" s="842"/>
      <c r="Q83" s="133"/>
      <c r="R83" s="133"/>
      <c r="S83" s="133"/>
      <c r="T83" s="133"/>
      <c r="U83" s="133"/>
      <c r="V83" s="133"/>
      <c r="W83" s="133"/>
      <c r="X83" s="133"/>
      <c r="AH83" s="233"/>
      <c r="AI83" s="233"/>
      <c r="AJ83" s="233"/>
      <c r="AK83" s="233"/>
      <c r="AL83" s="233"/>
    </row>
    <row r="84" spans="1:38" x14ac:dyDescent="0.3">
      <c r="A84" s="728"/>
      <c r="B84" s="247" t="s">
        <v>720</v>
      </c>
      <c r="C84" s="548"/>
      <c r="D84" s="548">
        <f>'Inputs and eligible population'!G57</f>
        <v>9.4351680000000009</v>
      </c>
      <c r="E84" s="548">
        <f>'Inputs and eligible population'!H57</f>
        <v>8.6154406041599998</v>
      </c>
      <c r="F84" s="548">
        <f>'Inputs and eligible population'!I57</f>
        <v>7.8669311244705789</v>
      </c>
      <c r="G84" s="548">
        <f>'Inputs and eligible population'!J57</f>
        <v>7.183452148376575</v>
      </c>
      <c r="H84" s="548">
        <f>'Inputs and eligible population'!K57</f>
        <v>6.5593538257256174</v>
      </c>
      <c r="I84" s="490"/>
      <c r="J84" s="351">
        <f>'Unit costs'!N39</f>
        <v>9872.2857142857138</v>
      </c>
      <c r="K84" s="351">
        <f t="shared" ref="K84:O85" si="60">$J84/1000*D84</f>
        <v>93.146674258285714</v>
      </c>
      <c r="L84" s="351">
        <f t="shared" si="60"/>
        <v>85.054091198725843</v>
      </c>
      <c r="M84" s="351">
        <f t="shared" si="60"/>
        <v>77.664591755380542</v>
      </c>
      <c r="N84" s="351">
        <f t="shared" si="60"/>
        <v>70.917092023673078</v>
      </c>
      <c r="O84" s="351">
        <f t="shared" si="60"/>
        <v>64.755815068656347</v>
      </c>
      <c r="P84" s="842"/>
      <c r="Q84" s="133"/>
      <c r="R84" s="133"/>
      <c r="S84" s="133"/>
      <c r="T84" s="133"/>
      <c r="U84" s="133"/>
      <c r="V84" s="133"/>
      <c r="W84" s="133"/>
      <c r="X84" s="133"/>
      <c r="AH84" s="233"/>
      <c r="AI84" s="233"/>
      <c r="AJ84" s="233"/>
      <c r="AK84" s="233"/>
      <c r="AL84" s="233"/>
    </row>
    <row r="85" spans="1:38" x14ac:dyDescent="0.3">
      <c r="A85" s="728"/>
      <c r="B85" s="771" t="s">
        <v>898</v>
      </c>
      <c r="C85" s="554"/>
      <c r="D85" s="548">
        <f>'Inputs and eligible population'!G67</f>
        <v>0</v>
      </c>
      <c r="E85" s="548">
        <f>'Inputs and eligible population'!H67</f>
        <v>0</v>
      </c>
      <c r="F85" s="548">
        <f>'Inputs and eligible population'!I67</f>
        <v>0</v>
      </c>
      <c r="G85" s="548">
        <f>'Inputs and eligible population'!J67</f>
        <v>0</v>
      </c>
      <c r="H85" s="548">
        <f>'Inputs and eligible population'!K67</f>
        <v>0</v>
      </c>
      <c r="I85" s="490"/>
      <c r="J85" s="351">
        <f>'Unit costs'!N39</f>
        <v>9872.2857142857138</v>
      </c>
      <c r="K85" s="351">
        <f t="shared" si="60"/>
        <v>0</v>
      </c>
      <c r="L85" s="351">
        <f t="shared" si="60"/>
        <v>0</v>
      </c>
      <c r="M85" s="351">
        <f t="shared" si="60"/>
        <v>0</v>
      </c>
      <c r="N85" s="351">
        <f t="shared" si="60"/>
        <v>0</v>
      </c>
      <c r="O85" s="351">
        <f t="shared" si="60"/>
        <v>0</v>
      </c>
      <c r="P85" s="842"/>
      <c r="Q85" s="133"/>
      <c r="R85" s="556"/>
      <c r="S85" s="556"/>
      <c r="T85" s="556"/>
      <c r="U85" s="556"/>
      <c r="V85" s="556"/>
      <c r="W85" s="133"/>
      <c r="X85" s="133"/>
      <c r="AH85" s="233"/>
      <c r="AI85" s="233"/>
      <c r="AJ85" s="233"/>
      <c r="AK85" s="233"/>
      <c r="AL85" s="233"/>
    </row>
    <row r="86" spans="1:38" x14ac:dyDescent="0.3">
      <c r="A86" s="728"/>
      <c r="B86" s="229" t="s">
        <v>894</v>
      </c>
      <c r="C86" s="551"/>
      <c r="D86" s="551">
        <f>SUM(D84:D85)</f>
        <v>9.4351680000000009</v>
      </c>
      <c r="E86" s="551">
        <f t="shared" ref="E86:H86" si="61">SUM(E84:E85)</f>
        <v>8.6154406041599998</v>
      </c>
      <c r="F86" s="551">
        <f t="shared" si="61"/>
        <v>7.8669311244705789</v>
      </c>
      <c r="G86" s="551">
        <f t="shared" si="61"/>
        <v>7.183452148376575</v>
      </c>
      <c r="H86" s="551">
        <f t="shared" si="61"/>
        <v>6.5593538257256174</v>
      </c>
      <c r="I86" s="490"/>
      <c r="J86" s="848"/>
      <c r="K86" s="235">
        <f>SUM(K84:K85)</f>
        <v>93.146674258285714</v>
      </c>
      <c r="L86" s="235">
        <f t="shared" ref="L86:O86" si="62">SUM(L84:L85)</f>
        <v>85.054091198725843</v>
      </c>
      <c r="M86" s="235">
        <f t="shared" si="62"/>
        <v>77.664591755380542</v>
      </c>
      <c r="N86" s="235">
        <f t="shared" si="62"/>
        <v>70.917092023673078</v>
      </c>
      <c r="O86" s="235">
        <f t="shared" si="62"/>
        <v>64.755815068656347</v>
      </c>
      <c r="P86" s="842"/>
      <c r="Q86" s="133"/>
      <c r="R86" s="555"/>
      <c r="S86" s="555"/>
      <c r="T86" s="555"/>
      <c r="U86" s="555"/>
      <c r="V86" s="555"/>
      <c r="W86" s="133"/>
      <c r="X86" s="133"/>
      <c r="AH86" s="233"/>
      <c r="AI86" s="233"/>
      <c r="AJ86" s="233"/>
      <c r="AK86" s="233"/>
      <c r="AL86" s="233"/>
    </row>
    <row r="87" spans="1:38" x14ac:dyDescent="0.3">
      <c r="A87" s="728"/>
      <c r="B87" s="237"/>
      <c r="C87" s="350"/>
      <c r="D87" s="847"/>
      <c r="I87" s="133"/>
      <c r="J87" s="133"/>
      <c r="K87" s="133"/>
      <c r="L87" s="133"/>
      <c r="M87" s="133"/>
      <c r="N87" s="133"/>
      <c r="O87" s="133"/>
      <c r="P87" s="842"/>
      <c r="Q87" s="133"/>
      <c r="R87" s="556"/>
      <c r="S87" s="557"/>
      <c r="T87" s="557"/>
      <c r="U87" s="557"/>
      <c r="V87" s="557"/>
      <c r="W87" s="133"/>
      <c r="X87" s="133"/>
      <c r="AH87" s="233"/>
      <c r="AI87" s="233"/>
      <c r="AJ87" s="233"/>
      <c r="AK87" s="233"/>
      <c r="AL87" s="233"/>
    </row>
    <row r="88" spans="1:38" x14ac:dyDescent="0.3">
      <c r="A88" s="871"/>
      <c r="B88" s="575" t="s">
        <v>899</v>
      </c>
      <c r="C88" s="576"/>
      <c r="D88" s="577"/>
      <c r="E88" s="578"/>
      <c r="F88" s="579"/>
      <c r="G88" s="579"/>
      <c r="H88" s="580"/>
      <c r="I88" s="786"/>
      <c r="J88" s="657"/>
      <c r="K88" s="579"/>
      <c r="L88" s="579"/>
      <c r="M88" s="579"/>
      <c r="N88" s="579"/>
      <c r="O88" s="658"/>
      <c r="P88" s="842"/>
      <c r="Q88" s="133"/>
      <c r="R88" s="555"/>
      <c r="S88" s="555"/>
      <c r="T88" s="555"/>
      <c r="U88" s="555"/>
      <c r="V88" s="555"/>
    </row>
    <row r="89" spans="1:38" x14ac:dyDescent="0.3">
      <c r="A89" s="871"/>
      <c r="B89" s="790" t="s">
        <v>900</v>
      </c>
      <c r="C89" s="655"/>
      <c r="D89" s="655"/>
      <c r="E89" s="655"/>
      <c r="F89" s="655"/>
      <c r="G89" s="655"/>
      <c r="H89" s="655"/>
      <c r="I89" s="584"/>
      <c r="J89" s="654"/>
      <c r="K89" s="655"/>
      <c r="L89" s="655"/>
      <c r="M89" s="655"/>
      <c r="N89" s="655"/>
      <c r="O89" s="656"/>
      <c r="P89" s="842"/>
      <c r="Q89" s="133"/>
      <c r="R89" s="133"/>
      <c r="S89" s="133"/>
      <c r="T89" s="133"/>
      <c r="U89" s="133"/>
      <c r="V89" s="133"/>
      <c r="W89" s="133"/>
      <c r="X89" s="133"/>
      <c r="AH89" s="233"/>
      <c r="AI89" s="233"/>
      <c r="AJ89" s="233"/>
      <c r="AK89" s="233"/>
      <c r="AL89" s="233"/>
    </row>
    <row r="90" spans="1:38" x14ac:dyDescent="0.3">
      <c r="A90" s="871"/>
      <c r="B90" s="274" t="s">
        <v>895</v>
      </c>
      <c r="C90" s="552"/>
      <c r="D90" s="647" t="s">
        <v>623</v>
      </c>
      <c r="E90" s="648" t="s">
        <v>624</v>
      </c>
      <c r="F90" s="647" t="s">
        <v>625</v>
      </c>
      <c r="G90" s="647" t="s">
        <v>626</v>
      </c>
      <c r="H90" s="648" t="s">
        <v>627</v>
      </c>
      <c r="I90" s="584"/>
      <c r="J90" s="489" t="s">
        <v>893</v>
      </c>
      <c r="K90" s="647" t="s">
        <v>623</v>
      </c>
      <c r="L90" s="648" t="s">
        <v>624</v>
      </c>
      <c r="M90" s="647" t="s">
        <v>625</v>
      </c>
      <c r="N90" s="647" t="s">
        <v>626</v>
      </c>
      <c r="O90" s="648" t="s">
        <v>627</v>
      </c>
      <c r="P90" s="842"/>
      <c r="Q90" s="133"/>
      <c r="R90" s="133"/>
      <c r="S90" s="133"/>
      <c r="T90" s="133"/>
      <c r="U90" s="133"/>
      <c r="V90" s="133"/>
      <c r="W90" s="133"/>
      <c r="X90" s="133"/>
      <c r="AH90" s="233"/>
      <c r="AI90" s="233"/>
      <c r="AJ90" s="233"/>
      <c r="AK90" s="233"/>
      <c r="AL90" s="233"/>
    </row>
    <row r="91" spans="1:38" ht="17.55" customHeight="1" x14ac:dyDescent="0.3">
      <c r="A91" s="871"/>
      <c r="B91" s="247" t="s">
        <v>720</v>
      </c>
      <c r="C91" s="548"/>
      <c r="D91" s="128">
        <f>D84</f>
        <v>9.4351680000000009</v>
      </c>
      <c r="E91" s="128">
        <f t="shared" ref="E91:H91" si="63">E84</f>
        <v>8.6154406041599998</v>
      </c>
      <c r="F91" s="128">
        <f t="shared" si="63"/>
        <v>7.8669311244705789</v>
      </c>
      <c r="G91" s="128">
        <f t="shared" si="63"/>
        <v>7.183452148376575</v>
      </c>
      <c r="H91" s="128">
        <f t="shared" si="63"/>
        <v>6.5593538257256174</v>
      </c>
      <c r="I91" s="584"/>
      <c r="J91" s="351">
        <f>'Unit costs'!M64</f>
        <v>144.80000000000001</v>
      </c>
      <c r="K91" s="351">
        <f t="shared" ref="K91:O92" si="64">$J91/1000*D91</f>
        <v>1.3662123264000003</v>
      </c>
      <c r="L91" s="351">
        <f t="shared" si="64"/>
        <v>1.247515799482368</v>
      </c>
      <c r="M91" s="351">
        <f t="shared" si="64"/>
        <v>1.13913162682334</v>
      </c>
      <c r="N91" s="351">
        <f t="shared" si="64"/>
        <v>1.0401638710849281</v>
      </c>
      <c r="O91" s="351">
        <f t="shared" si="64"/>
        <v>0.94979443396506946</v>
      </c>
      <c r="P91" s="842"/>
      <c r="Q91" s="133"/>
      <c r="R91" s="133"/>
      <c r="S91" s="133"/>
      <c r="T91" s="133"/>
      <c r="U91" s="133"/>
      <c r="V91" s="133"/>
      <c r="W91" s="133"/>
      <c r="X91" s="133"/>
      <c r="AH91" s="233"/>
      <c r="AI91" s="233"/>
      <c r="AJ91" s="233"/>
      <c r="AK91" s="233"/>
      <c r="AL91" s="233"/>
    </row>
    <row r="92" spans="1:38" x14ac:dyDescent="0.3">
      <c r="A92" s="871"/>
      <c r="B92" s="640" t="s">
        <v>721</v>
      </c>
      <c r="C92" s="641"/>
      <c r="D92" s="548">
        <f>D85</f>
        <v>0</v>
      </c>
      <c r="E92" s="548">
        <f t="shared" ref="E92:H92" si="65">E85</f>
        <v>0</v>
      </c>
      <c r="F92" s="548">
        <f t="shared" si="65"/>
        <v>0</v>
      </c>
      <c r="G92" s="548">
        <f t="shared" si="65"/>
        <v>0</v>
      </c>
      <c r="H92" s="548">
        <f t="shared" si="65"/>
        <v>0</v>
      </c>
      <c r="I92" s="584"/>
      <c r="J92" s="351">
        <f>'Unit costs'!M64</f>
        <v>144.80000000000001</v>
      </c>
      <c r="K92" s="351">
        <f t="shared" si="64"/>
        <v>0</v>
      </c>
      <c r="L92" s="351">
        <f t="shared" si="64"/>
        <v>0</v>
      </c>
      <c r="M92" s="351">
        <f t="shared" si="64"/>
        <v>0</v>
      </c>
      <c r="N92" s="351">
        <f t="shared" si="64"/>
        <v>0</v>
      </c>
      <c r="O92" s="351">
        <f t="shared" si="64"/>
        <v>0</v>
      </c>
      <c r="P92" s="842"/>
      <c r="Q92" s="133"/>
      <c r="R92" s="133"/>
      <c r="S92" s="133"/>
      <c r="T92" s="133"/>
      <c r="U92" s="133"/>
      <c r="V92" s="133"/>
      <c r="W92" s="133"/>
      <c r="X92" s="133"/>
      <c r="AH92" s="233"/>
      <c r="AI92" s="233"/>
      <c r="AJ92" s="233"/>
      <c r="AK92" s="233"/>
      <c r="AL92" s="233"/>
    </row>
    <row r="93" spans="1:38" x14ac:dyDescent="0.3">
      <c r="A93" s="871"/>
      <c r="B93" s="229" t="s">
        <v>896</v>
      </c>
      <c r="C93" s="551"/>
      <c r="D93" s="551">
        <f>SUM(D91:D92)</f>
        <v>9.4351680000000009</v>
      </c>
      <c r="E93" s="551">
        <f t="shared" ref="E93:H93" si="66">SUM(E91:E92)</f>
        <v>8.6154406041599998</v>
      </c>
      <c r="F93" s="551">
        <f t="shared" si="66"/>
        <v>7.8669311244705789</v>
      </c>
      <c r="G93" s="551">
        <f t="shared" si="66"/>
        <v>7.183452148376575</v>
      </c>
      <c r="H93" s="551">
        <f t="shared" si="66"/>
        <v>6.5593538257256174</v>
      </c>
      <c r="I93" s="645"/>
      <c r="J93" s="849"/>
      <c r="K93" s="235">
        <f>SUM(K91:K92)</f>
        <v>1.3662123264000003</v>
      </c>
      <c r="L93" s="235">
        <f>SUM(L91:L92)</f>
        <v>1.247515799482368</v>
      </c>
      <c r="M93" s="235">
        <f>SUM(M91:M92)</f>
        <v>1.13913162682334</v>
      </c>
      <c r="N93" s="235">
        <f>SUM(N91:N92)</f>
        <v>1.0401638710849281</v>
      </c>
      <c r="O93" s="235">
        <f>SUM(O91:O92)</f>
        <v>0.94979443396506946</v>
      </c>
      <c r="P93" s="842"/>
      <c r="Q93" s="133"/>
      <c r="R93" s="133"/>
      <c r="S93" s="133"/>
      <c r="T93" s="133"/>
      <c r="U93" s="133"/>
      <c r="V93" s="133"/>
      <c r="W93" s="133"/>
      <c r="X93" s="133"/>
      <c r="AH93" s="233"/>
      <c r="AI93" s="233"/>
      <c r="AJ93" s="233"/>
      <c r="AK93" s="233"/>
      <c r="AL93" s="233"/>
    </row>
    <row r="94" spans="1:38" x14ac:dyDescent="0.3">
      <c r="A94" s="871"/>
      <c r="B94" s="873"/>
      <c r="C94" s="787"/>
      <c r="D94" s="788"/>
      <c r="E94" s="789"/>
      <c r="F94" s="786"/>
      <c r="G94" s="786"/>
      <c r="H94" s="786"/>
      <c r="I94" s="791"/>
      <c r="J94" s="791"/>
      <c r="K94" s="791"/>
      <c r="L94" s="791"/>
      <c r="M94" s="791"/>
      <c r="N94" s="791"/>
      <c r="O94" s="791"/>
      <c r="P94" s="842"/>
      <c r="Q94" s="133"/>
      <c r="R94" s="133"/>
      <c r="S94" s="133"/>
      <c r="T94" s="133"/>
      <c r="U94" s="133"/>
      <c r="V94" s="133"/>
      <c r="W94" s="133"/>
      <c r="X94" s="133"/>
      <c r="AH94" s="233"/>
      <c r="AI94" s="233"/>
      <c r="AJ94" s="233"/>
      <c r="AK94" s="233"/>
      <c r="AL94" s="233"/>
    </row>
    <row r="95" spans="1:38" x14ac:dyDescent="0.3">
      <c r="A95" s="875"/>
      <c r="B95" s="781" t="s">
        <v>899</v>
      </c>
      <c r="C95" s="573"/>
      <c r="D95" s="573"/>
      <c r="E95" s="573"/>
      <c r="F95" s="573"/>
      <c r="G95" s="573"/>
      <c r="H95" s="653"/>
      <c r="I95" s="574"/>
      <c r="J95" s="652"/>
      <c r="K95" s="573"/>
      <c r="L95" s="573"/>
      <c r="M95" s="573"/>
      <c r="N95" s="573"/>
      <c r="O95" s="653"/>
      <c r="P95" s="842"/>
      <c r="Q95" s="133"/>
      <c r="R95" s="133"/>
      <c r="S95" s="133"/>
      <c r="T95" s="133"/>
      <c r="U95" s="133"/>
      <c r="V95" s="133"/>
      <c r="W95" s="133"/>
      <c r="X95" s="133"/>
      <c r="AH95" s="233"/>
      <c r="AI95" s="233"/>
      <c r="AJ95" s="233"/>
      <c r="AK95" s="233"/>
      <c r="AL95" s="233"/>
    </row>
    <row r="96" spans="1:38" x14ac:dyDescent="0.3">
      <c r="A96" s="875"/>
      <c r="B96" s="778" t="s">
        <v>901</v>
      </c>
      <c r="C96" s="779"/>
      <c r="D96" s="779"/>
      <c r="E96" s="779"/>
      <c r="F96" s="779"/>
      <c r="G96" s="779"/>
      <c r="H96" s="779"/>
      <c r="I96" s="574"/>
      <c r="J96" s="780"/>
      <c r="K96" s="779"/>
      <c r="L96" s="779"/>
      <c r="M96" s="779"/>
      <c r="N96" s="779"/>
      <c r="O96" s="777"/>
      <c r="P96" s="842"/>
      <c r="Q96" s="133"/>
      <c r="R96" s="133"/>
      <c r="S96" s="133"/>
      <c r="T96" s="133"/>
      <c r="U96" s="133"/>
      <c r="V96" s="133"/>
      <c r="W96" s="133"/>
      <c r="X96" s="133"/>
      <c r="AH96" s="233"/>
      <c r="AI96" s="233"/>
      <c r="AJ96" s="233"/>
      <c r="AK96" s="233"/>
      <c r="AL96" s="233"/>
    </row>
    <row r="97" spans="1:38" x14ac:dyDescent="0.3">
      <c r="A97" s="875"/>
      <c r="B97" s="274" t="s">
        <v>895</v>
      </c>
      <c r="C97" s="552"/>
      <c r="D97" s="647" t="s">
        <v>623</v>
      </c>
      <c r="E97" s="648" t="s">
        <v>624</v>
      </c>
      <c r="F97" s="647" t="s">
        <v>625</v>
      </c>
      <c r="G97" s="647" t="s">
        <v>626</v>
      </c>
      <c r="H97" s="648" t="s">
        <v>627</v>
      </c>
      <c r="I97" s="574"/>
      <c r="J97" s="489" t="s">
        <v>893</v>
      </c>
      <c r="K97" s="647" t="s">
        <v>623</v>
      </c>
      <c r="L97" s="648" t="s">
        <v>624</v>
      </c>
      <c r="M97" s="647" t="s">
        <v>625</v>
      </c>
      <c r="N97" s="647" t="s">
        <v>626</v>
      </c>
      <c r="O97" s="648" t="s">
        <v>627</v>
      </c>
      <c r="P97" s="842"/>
      <c r="Q97" s="133"/>
      <c r="R97" s="133"/>
      <c r="S97" s="133"/>
      <c r="T97" s="133"/>
      <c r="U97" s="133"/>
      <c r="V97" s="133"/>
      <c r="W97" s="133"/>
      <c r="X97" s="133"/>
      <c r="AH97" s="233"/>
      <c r="AI97" s="233"/>
      <c r="AJ97" s="233"/>
      <c r="AK97" s="233"/>
      <c r="AL97" s="233"/>
    </row>
    <row r="98" spans="1:38" x14ac:dyDescent="0.3">
      <c r="A98" s="875"/>
      <c r="B98" s="247" t="s">
        <v>720</v>
      </c>
      <c r="C98" s="548"/>
      <c r="D98" s="128">
        <f>D91*'Inputs and eligible population'!$F$112</f>
        <v>0</v>
      </c>
      <c r="E98" s="128">
        <f>E91*'Inputs and eligible population'!$F$112</f>
        <v>0</v>
      </c>
      <c r="F98" s="128">
        <f>F91*'Inputs and eligible population'!$F$112</f>
        <v>0</v>
      </c>
      <c r="G98" s="128">
        <f>G91*'Inputs and eligible population'!$F$112</f>
        <v>0</v>
      </c>
      <c r="H98" s="128">
        <f>H91*'Inputs and eligible population'!$F$112</f>
        <v>0</v>
      </c>
      <c r="I98" s="574"/>
      <c r="J98" s="351">
        <f>'Inputs and eligible population'!J115</f>
        <v>0</v>
      </c>
      <c r="K98" s="351">
        <f t="shared" ref="K98:O99" si="67">$J98/1000*D98</f>
        <v>0</v>
      </c>
      <c r="L98" s="351">
        <f t="shared" si="67"/>
        <v>0</v>
      </c>
      <c r="M98" s="351">
        <f t="shared" si="67"/>
        <v>0</v>
      </c>
      <c r="N98" s="351">
        <f t="shared" si="67"/>
        <v>0</v>
      </c>
      <c r="O98" s="351">
        <f t="shared" si="67"/>
        <v>0</v>
      </c>
      <c r="P98" s="842"/>
      <c r="Q98" s="133"/>
      <c r="R98" s="133"/>
      <c r="S98" s="133"/>
      <c r="T98" s="133"/>
      <c r="U98" s="133"/>
      <c r="V98" s="133"/>
      <c r="W98" s="133"/>
      <c r="X98" s="133"/>
      <c r="AH98" s="233"/>
      <c r="AI98" s="233"/>
      <c r="AJ98" s="233"/>
      <c r="AK98" s="233"/>
      <c r="AL98" s="233"/>
    </row>
    <row r="99" spans="1:38" x14ac:dyDescent="0.3">
      <c r="A99" s="875"/>
      <c r="B99" s="772" t="s">
        <v>721</v>
      </c>
      <c r="C99" s="553"/>
      <c r="D99" s="128">
        <f>D92*'Inputs and eligible population'!$F$112</f>
        <v>0</v>
      </c>
      <c r="E99" s="128">
        <f>E92*'Inputs and eligible population'!$F$112</f>
        <v>0</v>
      </c>
      <c r="F99" s="128">
        <f>F92*'Inputs and eligible population'!$F$112</f>
        <v>0</v>
      </c>
      <c r="G99" s="128">
        <f>G92*'Inputs and eligible population'!$F$112</f>
        <v>0</v>
      </c>
      <c r="H99" s="128">
        <f>H92*'Inputs and eligible population'!$F$112</f>
        <v>0</v>
      </c>
      <c r="I99" s="574"/>
      <c r="J99" s="351">
        <f>'Inputs and eligible population'!J115</f>
        <v>0</v>
      </c>
      <c r="K99" s="351">
        <f t="shared" si="67"/>
        <v>0</v>
      </c>
      <c r="L99" s="351">
        <f t="shared" si="67"/>
        <v>0</v>
      </c>
      <c r="M99" s="351">
        <f t="shared" si="67"/>
        <v>0</v>
      </c>
      <c r="N99" s="351">
        <f t="shared" si="67"/>
        <v>0</v>
      </c>
      <c r="O99" s="351">
        <f t="shared" si="67"/>
        <v>0</v>
      </c>
      <c r="P99" s="842"/>
      <c r="Q99" s="133"/>
      <c r="R99" s="133"/>
      <c r="S99" s="133"/>
      <c r="T99" s="133"/>
      <c r="U99" s="133"/>
      <c r="V99" s="133"/>
      <c r="W99" s="133"/>
      <c r="X99" s="133"/>
      <c r="AH99" s="233"/>
      <c r="AI99" s="233"/>
      <c r="AJ99" s="233"/>
      <c r="AK99" s="233"/>
      <c r="AL99" s="233"/>
    </row>
    <row r="100" spans="1:38" x14ac:dyDescent="0.3">
      <c r="A100" s="875"/>
      <c r="B100" s="229" t="s">
        <v>902</v>
      </c>
      <c r="C100" s="551"/>
      <c r="D100" s="551">
        <f>SUM(D98:D99)</f>
        <v>0</v>
      </c>
      <c r="E100" s="551">
        <f t="shared" ref="E100:H100" si="68">SUM(E98:E99)</f>
        <v>0</v>
      </c>
      <c r="F100" s="551">
        <f t="shared" si="68"/>
        <v>0</v>
      </c>
      <c r="G100" s="551">
        <f t="shared" si="68"/>
        <v>0</v>
      </c>
      <c r="H100" s="551">
        <f t="shared" si="68"/>
        <v>0</v>
      </c>
      <c r="I100" s="574"/>
      <c r="J100" s="850"/>
      <c r="K100" s="235">
        <f>SUM(K98:K99)</f>
        <v>0</v>
      </c>
      <c r="L100" s="235">
        <f>SUM(L98:L99)</f>
        <v>0</v>
      </c>
      <c r="M100" s="235">
        <f>SUM(M98:M99)</f>
        <v>0</v>
      </c>
      <c r="N100" s="235">
        <f>SUM(N98:N99)</f>
        <v>0</v>
      </c>
      <c r="O100" s="235">
        <f>SUM(O98:O99)</f>
        <v>0</v>
      </c>
      <c r="P100" s="842"/>
      <c r="Q100" s="133"/>
      <c r="R100" s="133"/>
      <c r="S100" s="133"/>
      <c r="T100" s="133"/>
      <c r="U100" s="133"/>
      <c r="V100" s="133"/>
      <c r="W100" s="133"/>
      <c r="X100" s="133"/>
      <c r="AH100" s="233"/>
      <c r="AI100" s="233"/>
      <c r="AJ100" s="233"/>
      <c r="AK100" s="233"/>
      <c r="AL100" s="233"/>
    </row>
    <row r="101" spans="1:38" x14ac:dyDescent="0.3">
      <c r="A101" s="875"/>
      <c r="B101" s="876"/>
      <c r="C101" s="851"/>
      <c r="D101" s="852"/>
      <c r="E101" s="853"/>
      <c r="F101" s="569"/>
      <c r="G101" s="569"/>
      <c r="H101" s="569"/>
      <c r="I101" s="854"/>
      <c r="J101" s="854"/>
      <c r="K101" s="854"/>
      <c r="L101" s="854"/>
      <c r="M101" s="854"/>
      <c r="N101" s="854"/>
      <c r="O101" s="854"/>
      <c r="P101" s="842"/>
      <c r="Q101" s="133"/>
      <c r="R101" s="133"/>
      <c r="S101" s="133"/>
      <c r="T101" s="133"/>
      <c r="U101" s="133"/>
      <c r="V101" s="133"/>
      <c r="W101" s="133"/>
      <c r="X101" s="133"/>
      <c r="AH101" s="233"/>
      <c r="AI101" s="233"/>
      <c r="AJ101" s="233"/>
      <c r="AK101" s="233"/>
      <c r="AL101" s="233"/>
    </row>
    <row r="102" spans="1:38" x14ac:dyDescent="0.3">
      <c r="A102" s="878"/>
      <c r="B102" s="773" t="s">
        <v>736</v>
      </c>
      <c r="C102" s="586"/>
      <c r="D102" s="586"/>
      <c r="E102" s="586"/>
      <c r="F102" s="586"/>
      <c r="G102" s="586"/>
      <c r="H102" s="651"/>
      <c r="I102" s="587"/>
      <c r="J102" s="650"/>
      <c r="K102" s="586"/>
      <c r="L102" s="586"/>
      <c r="M102" s="586"/>
      <c r="N102" s="586"/>
      <c r="O102" s="651"/>
      <c r="P102" s="842"/>
      <c r="Q102" s="133"/>
      <c r="R102" s="133"/>
      <c r="S102" s="133"/>
      <c r="T102" s="133"/>
      <c r="U102" s="133"/>
      <c r="V102" s="133"/>
      <c r="W102" s="133"/>
      <c r="X102" s="133"/>
      <c r="AH102" s="233"/>
      <c r="AI102" s="233"/>
      <c r="AJ102" s="233"/>
      <c r="AK102" s="233"/>
      <c r="AL102" s="233"/>
    </row>
    <row r="103" spans="1:38" ht="28.8" x14ac:dyDescent="0.3">
      <c r="A103" s="878"/>
      <c r="B103" s="274" t="s">
        <v>895</v>
      </c>
      <c r="C103" s="552"/>
      <c r="D103" s="647" t="s">
        <v>623</v>
      </c>
      <c r="E103" s="648" t="s">
        <v>624</v>
      </c>
      <c r="F103" s="647" t="s">
        <v>625</v>
      </c>
      <c r="G103" s="647" t="s">
        <v>626</v>
      </c>
      <c r="H103" s="648" t="s">
        <v>627</v>
      </c>
      <c r="I103" s="587"/>
      <c r="J103" s="489" t="s">
        <v>903</v>
      </c>
      <c r="K103" s="647" t="s">
        <v>623</v>
      </c>
      <c r="L103" s="648" t="s">
        <v>624</v>
      </c>
      <c r="M103" s="647" t="s">
        <v>625</v>
      </c>
      <c r="N103" s="647" t="s">
        <v>626</v>
      </c>
      <c r="O103" s="648" t="s">
        <v>627</v>
      </c>
      <c r="P103" s="842"/>
      <c r="Q103" s="133"/>
      <c r="R103" s="133"/>
      <c r="S103" s="133"/>
      <c r="T103" s="133"/>
      <c r="U103" s="133"/>
      <c r="V103" s="133"/>
      <c r="W103" s="133"/>
      <c r="X103" s="133"/>
      <c r="AH103" s="233"/>
      <c r="AI103" s="233"/>
      <c r="AJ103" s="233"/>
      <c r="AK103" s="233"/>
      <c r="AL103" s="233"/>
    </row>
    <row r="104" spans="1:38" x14ac:dyDescent="0.3">
      <c r="A104" s="878"/>
      <c r="B104" s="247" t="s">
        <v>720</v>
      </c>
      <c r="C104" s="548"/>
      <c r="D104" s="128">
        <f>'Inputs and eligible population'!G55*'Inputs and eligible population'!$F$116</f>
        <v>0</v>
      </c>
      <c r="E104" s="128">
        <f>'Inputs and eligible population'!H55*'Inputs and eligible population'!$F$116</f>
        <v>0</v>
      </c>
      <c r="F104" s="128">
        <f>'Inputs and eligible population'!I55*'Inputs and eligible population'!$F$116</f>
        <v>0</v>
      </c>
      <c r="G104" s="128">
        <f>'Inputs and eligible population'!J55*'Inputs and eligible population'!$F$116</f>
        <v>0</v>
      </c>
      <c r="H104" s="128">
        <f>'Inputs and eligible population'!K55*'Inputs and eligible population'!$F$116</f>
        <v>0</v>
      </c>
      <c r="I104" s="587"/>
      <c r="J104" s="351">
        <f>'Inputs and eligible population'!J117</f>
        <v>0</v>
      </c>
      <c r="K104" s="351">
        <f t="shared" ref="K104:O105" si="69">$J104/1000*D104</f>
        <v>0</v>
      </c>
      <c r="L104" s="351">
        <f t="shared" si="69"/>
        <v>0</v>
      </c>
      <c r="M104" s="351">
        <f t="shared" si="69"/>
        <v>0</v>
      </c>
      <c r="N104" s="351">
        <f t="shared" si="69"/>
        <v>0</v>
      </c>
      <c r="O104" s="351">
        <f t="shared" si="69"/>
        <v>0</v>
      </c>
      <c r="P104" s="842"/>
      <c r="Q104" s="133"/>
      <c r="R104" s="133"/>
      <c r="S104" s="133"/>
      <c r="T104" s="133"/>
      <c r="U104" s="133"/>
      <c r="V104" s="133"/>
      <c r="W104" s="133"/>
      <c r="X104" s="133"/>
      <c r="AH104" s="233"/>
      <c r="AI104" s="233"/>
      <c r="AJ104" s="233"/>
      <c r="AK104" s="233"/>
      <c r="AL104" s="233"/>
    </row>
    <row r="105" spans="1:38" x14ac:dyDescent="0.3">
      <c r="A105" s="878"/>
      <c r="B105" s="772" t="s">
        <v>721</v>
      </c>
      <c r="C105" s="553"/>
      <c r="D105" s="128">
        <f>'Inputs and eligible population'!G67*'Inputs and eligible population'!$G$116</f>
        <v>0</v>
      </c>
      <c r="E105" s="128">
        <f>'Inputs and eligible population'!H67*'Inputs and eligible population'!$G$116</f>
        <v>0</v>
      </c>
      <c r="F105" s="128">
        <f>'Inputs and eligible population'!I67*'Inputs and eligible population'!$G$116</f>
        <v>0</v>
      </c>
      <c r="G105" s="128">
        <f>'Inputs and eligible population'!J67*'Inputs and eligible population'!$G$116</f>
        <v>0</v>
      </c>
      <c r="H105" s="128">
        <f>'Inputs and eligible population'!K67*'Inputs and eligible population'!$G$116</f>
        <v>0</v>
      </c>
      <c r="I105" s="587"/>
      <c r="J105" s="351">
        <f>'Inputs and eligible population'!J117</f>
        <v>0</v>
      </c>
      <c r="K105" s="351">
        <f t="shared" si="69"/>
        <v>0</v>
      </c>
      <c r="L105" s="351">
        <f t="shared" si="69"/>
        <v>0</v>
      </c>
      <c r="M105" s="351">
        <f t="shared" si="69"/>
        <v>0</v>
      </c>
      <c r="N105" s="351">
        <f t="shared" si="69"/>
        <v>0</v>
      </c>
      <c r="O105" s="351">
        <f t="shared" si="69"/>
        <v>0</v>
      </c>
      <c r="P105" s="842"/>
      <c r="Q105" s="133"/>
      <c r="R105" s="133"/>
      <c r="S105" s="133"/>
      <c r="T105" s="133"/>
      <c r="U105" s="133"/>
      <c r="V105" s="133"/>
      <c r="W105" s="133"/>
      <c r="X105" s="133"/>
      <c r="AH105" s="233"/>
      <c r="AI105" s="233"/>
      <c r="AJ105" s="233"/>
      <c r="AK105" s="233"/>
      <c r="AL105" s="233"/>
    </row>
    <row r="106" spans="1:38" x14ac:dyDescent="0.3">
      <c r="A106" s="878"/>
      <c r="B106" s="229" t="s">
        <v>896</v>
      </c>
      <c r="C106" s="551"/>
      <c r="D106" s="551">
        <f>SUM(D104:D105)</f>
        <v>0</v>
      </c>
      <c r="E106" s="551">
        <f t="shared" ref="E106:H106" si="70">SUM(E104:E105)</f>
        <v>0</v>
      </c>
      <c r="F106" s="551">
        <f t="shared" si="70"/>
        <v>0</v>
      </c>
      <c r="G106" s="551">
        <f t="shared" si="70"/>
        <v>0</v>
      </c>
      <c r="H106" s="551">
        <f t="shared" si="70"/>
        <v>0</v>
      </c>
      <c r="I106" s="587"/>
      <c r="J106" s="855"/>
      <c r="K106" s="235">
        <f>SUM(K104:K105)</f>
        <v>0</v>
      </c>
      <c r="L106" s="235">
        <f>SUM(L104:L105)</f>
        <v>0</v>
      </c>
      <c r="M106" s="235">
        <f>SUM(M104:M105)</f>
        <v>0</v>
      </c>
      <c r="N106" s="235">
        <f>SUM(N104:N105)</f>
        <v>0</v>
      </c>
      <c r="O106" s="235">
        <f>SUM(O104:O105)</f>
        <v>0</v>
      </c>
      <c r="P106" s="842"/>
      <c r="Q106" s="133"/>
      <c r="R106" s="133"/>
      <c r="S106" s="133"/>
      <c r="T106" s="133"/>
      <c r="U106" s="133"/>
      <c r="V106" s="133"/>
      <c r="W106" s="133"/>
      <c r="X106" s="133"/>
      <c r="AH106" s="233"/>
      <c r="AI106" s="233"/>
      <c r="AJ106" s="233"/>
      <c r="AK106" s="233"/>
      <c r="AL106" s="233"/>
    </row>
    <row r="107" spans="1:38" x14ac:dyDescent="0.3">
      <c r="A107" s="878"/>
      <c r="B107" s="879"/>
      <c r="C107" s="856"/>
      <c r="D107" s="857"/>
      <c r="E107" s="858"/>
      <c r="F107" s="588"/>
      <c r="G107" s="588"/>
      <c r="H107" s="588"/>
      <c r="I107" s="859"/>
      <c r="J107" s="859"/>
      <c r="K107" s="859"/>
      <c r="L107" s="859"/>
      <c r="M107" s="859"/>
      <c r="N107" s="859"/>
      <c r="O107" s="859"/>
      <c r="P107" s="842"/>
      <c r="Q107" s="133"/>
      <c r="R107" s="133"/>
      <c r="S107" s="133"/>
      <c r="T107" s="133"/>
      <c r="U107" s="133"/>
      <c r="V107" s="133"/>
      <c r="W107" s="133"/>
      <c r="X107" s="133"/>
      <c r="AH107" s="233"/>
      <c r="AI107" s="233"/>
      <c r="AJ107" s="233"/>
      <c r="AK107" s="233"/>
      <c r="AL107" s="233"/>
    </row>
    <row r="108" spans="1:38" x14ac:dyDescent="0.3">
      <c r="A108" s="728"/>
      <c r="B108" s="959"/>
      <c r="P108" s="727"/>
    </row>
    <row r="109" spans="1:38" x14ac:dyDescent="0.3">
      <c r="A109" s="728"/>
      <c r="B109" s="262" t="s">
        <v>1129</v>
      </c>
      <c r="C109" s="960"/>
      <c r="D109" s="960"/>
      <c r="E109" s="960"/>
      <c r="F109" s="960"/>
      <c r="G109" s="960"/>
      <c r="H109" s="961"/>
      <c r="I109" s="490"/>
      <c r="J109" s="962"/>
      <c r="K109" s="960"/>
      <c r="L109" s="960"/>
      <c r="M109" s="960"/>
      <c r="N109" s="960"/>
      <c r="O109" s="961"/>
      <c r="P109" s="842"/>
      <c r="Q109" s="133"/>
      <c r="R109" s="133"/>
      <c r="S109" s="133"/>
      <c r="T109" s="133"/>
      <c r="U109" s="133"/>
      <c r="V109" s="133"/>
      <c r="W109" s="133"/>
      <c r="X109" s="133"/>
      <c r="AH109" s="233"/>
      <c r="AI109" s="233"/>
      <c r="AJ109" s="233"/>
      <c r="AK109" s="233"/>
      <c r="AL109" s="233"/>
    </row>
    <row r="110" spans="1:38" ht="28.8" x14ac:dyDescent="0.3">
      <c r="A110" s="728"/>
      <c r="B110" s="274" t="s">
        <v>895</v>
      </c>
      <c r="C110" s="552"/>
      <c r="D110" s="647" t="s">
        <v>623</v>
      </c>
      <c r="E110" s="648" t="s">
        <v>624</v>
      </c>
      <c r="F110" s="647" t="s">
        <v>625</v>
      </c>
      <c r="G110" s="647" t="s">
        <v>626</v>
      </c>
      <c r="H110" s="648" t="s">
        <v>627</v>
      </c>
      <c r="I110" s="490"/>
      <c r="J110" s="489" t="s">
        <v>903</v>
      </c>
      <c r="K110" s="647" t="s">
        <v>623</v>
      </c>
      <c r="L110" s="648" t="s">
        <v>624</v>
      </c>
      <c r="M110" s="647" t="s">
        <v>625</v>
      </c>
      <c r="N110" s="647" t="s">
        <v>626</v>
      </c>
      <c r="O110" s="648" t="s">
        <v>627</v>
      </c>
      <c r="P110" s="842"/>
      <c r="Q110" s="133"/>
      <c r="R110" s="133"/>
      <c r="S110" s="133"/>
      <c r="T110" s="133"/>
      <c r="U110" s="133"/>
      <c r="V110" s="133"/>
      <c r="W110" s="133"/>
      <c r="X110" s="133"/>
      <c r="AH110" s="233"/>
      <c r="AI110" s="233"/>
      <c r="AJ110" s="233"/>
      <c r="AK110" s="233"/>
      <c r="AL110" s="233"/>
    </row>
    <row r="111" spans="1:38" x14ac:dyDescent="0.3">
      <c r="A111" s="728"/>
      <c r="B111" s="247" t="s">
        <v>720</v>
      </c>
      <c r="C111" s="548"/>
      <c r="D111" s="128">
        <f>'Inputs and eligible population'!G59</f>
        <v>0</v>
      </c>
      <c r="E111" s="128">
        <f>'Inputs and eligible population'!H59</f>
        <v>0</v>
      </c>
      <c r="F111" s="128">
        <f>'Inputs and eligible population'!I59</f>
        <v>0</v>
      </c>
      <c r="G111" s="128">
        <f>'Inputs and eligible population'!J59</f>
        <v>0</v>
      </c>
      <c r="H111" s="128">
        <f>'Inputs and eligible population'!K59</f>
        <v>0</v>
      </c>
      <c r="I111" s="490"/>
      <c r="J111" s="351">
        <f>'Unit costs'!N32</f>
        <v>0</v>
      </c>
      <c r="K111" s="351">
        <f t="shared" ref="K111:K112" si="71">$J111/1000*D111</f>
        <v>0</v>
      </c>
      <c r="L111" s="351">
        <f t="shared" ref="L111:L112" si="72">$J111/1000*E111</f>
        <v>0</v>
      </c>
      <c r="M111" s="351">
        <f t="shared" ref="M111:M112" si="73">$J111/1000*F111</f>
        <v>0</v>
      </c>
      <c r="N111" s="351">
        <f t="shared" ref="N111:N112" si="74">$J111/1000*G111</f>
        <v>0</v>
      </c>
      <c r="O111" s="351">
        <f t="shared" ref="O111:O112" si="75">$J111/1000*H111</f>
        <v>0</v>
      </c>
      <c r="P111" s="842"/>
      <c r="Q111" s="133"/>
      <c r="R111" s="133"/>
      <c r="S111" s="133"/>
      <c r="T111" s="133"/>
      <c r="U111" s="133"/>
      <c r="V111" s="133"/>
      <c r="W111" s="133"/>
      <c r="X111" s="133"/>
      <c r="AH111" s="233"/>
      <c r="AI111" s="233"/>
      <c r="AJ111" s="233"/>
      <c r="AK111" s="233"/>
      <c r="AL111" s="233"/>
    </row>
    <row r="112" spans="1:38" x14ac:dyDescent="0.3">
      <c r="A112" s="728"/>
      <c r="B112" s="772" t="s">
        <v>721</v>
      </c>
      <c r="C112" s="553"/>
      <c r="D112" s="128">
        <f>'Inputs and eligible population'!G69</f>
        <v>0</v>
      </c>
      <c r="E112" s="128">
        <f>'Inputs and eligible population'!H69</f>
        <v>0</v>
      </c>
      <c r="F112" s="128">
        <f>'Inputs and eligible population'!I69</f>
        <v>0</v>
      </c>
      <c r="G112" s="128">
        <f>'Inputs and eligible population'!J69</f>
        <v>0</v>
      </c>
      <c r="H112" s="128">
        <f>'Inputs and eligible population'!K69</f>
        <v>0</v>
      </c>
      <c r="I112" s="490"/>
      <c r="J112" s="351">
        <f>'Unit costs'!J32</f>
        <v>0</v>
      </c>
      <c r="K112" s="351">
        <f t="shared" si="71"/>
        <v>0</v>
      </c>
      <c r="L112" s="351">
        <f t="shared" si="72"/>
        <v>0</v>
      </c>
      <c r="M112" s="351">
        <f t="shared" si="73"/>
        <v>0</v>
      </c>
      <c r="N112" s="351">
        <f t="shared" si="74"/>
        <v>0</v>
      </c>
      <c r="O112" s="351">
        <f t="shared" si="75"/>
        <v>0</v>
      </c>
      <c r="P112" s="842"/>
      <c r="Q112" s="133"/>
      <c r="R112" s="133"/>
      <c r="S112" s="133"/>
      <c r="T112" s="133"/>
      <c r="U112" s="133"/>
      <c r="V112" s="133"/>
      <c r="W112" s="133"/>
      <c r="X112" s="133"/>
      <c r="AH112" s="233"/>
      <c r="AI112" s="233"/>
      <c r="AJ112" s="233"/>
      <c r="AK112" s="233"/>
      <c r="AL112" s="233"/>
    </row>
    <row r="113" spans="1:42" x14ac:dyDescent="0.3">
      <c r="A113" s="728"/>
      <c r="B113" s="229" t="s">
        <v>896</v>
      </c>
      <c r="C113" s="551"/>
      <c r="D113" s="551">
        <f>SUM(D111:D112)</f>
        <v>0</v>
      </c>
      <c r="E113" s="551">
        <f t="shared" ref="E113:H113" si="76">SUM(E111:E112)</f>
        <v>0</v>
      </c>
      <c r="F113" s="551">
        <f t="shared" si="76"/>
        <v>0</v>
      </c>
      <c r="G113" s="551">
        <f t="shared" si="76"/>
        <v>0</v>
      </c>
      <c r="H113" s="551">
        <f t="shared" si="76"/>
        <v>0</v>
      </c>
      <c r="I113" s="490"/>
      <c r="J113" s="848"/>
      <c r="K113" s="235">
        <f>SUM(K111:K112)</f>
        <v>0</v>
      </c>
      <c r="L113" s="235">
        <f>SUM(L111:L112)</f>
        <v>0</v>
      </c>
      <c r="M113" s="235">
        <f>SUM(M111:M112)</f>
        <v>0</v>
      </c>
      <c r="N113" s="235">
        <f>SUM(N111:N112)</f>
        <v>0</v>
      </c>
      <c r="O113" s="235">
        <f>SUM(O111:O112)</f>
        <v>0</v>
      </c>
      <c r="P113" s="842"/>
      <c r="Q113" s="133"/>
      <c r="R113" s="133"/>
      <c r="S113" s="133"/>
      <c r="T113" s="133"/>
      <c r="U113" s="133"/>
      <c r="V113" s="133"/>
      <c r="W113" s="133"/>
      <c r="X113" s="133"/>
      <c r="AH113" s="233"/>
      <c r="AI113" s="233"/>
      <c r="AJ113" s="233"/>
      <c r="AK113" s="233"/>
      <c r="AL113" s="233"/>
    </row>
    <row r="114" spans="1:42" x14ac:dyDescent="0.3">
      <c r="A114" s="728"/>
      <c r="B114" s="237"/>
      <c r="C114" s="890"/>
      <c r="D114" s="350"/>
      <c r="E114" s="847"/>
      <c r="I114" s="133"/>
      <c r="J114" s="133"/>
      <c r="K114" s="133"/>
      <c r="L114" s="133"/>
      <c r="M114" s="133"/>
      <c r="N114" s="133"/>
      <c r="O114" s="133"/>
      <c r="P114" s="842"/>
      <c r="Q114" s="133"/>
      <c r="R114" s="133"/>
      <c r="S114" s="133"/>
      <c r="T114" s="133"/>
      <c r="U114" s="133"/>
      <c r="V114" s="133"/>
      <c r="W114" s="133"/>
      <c r="X114" s="133"/>
      <c r="AH114" s="233"/>
      <c r="AI114" s="233"/>
      <c r="AJ114" s="233"/>
      <c r="AK114" s="233"/>
      <c r="AL114" s="233"/>
    </row>
    <row r="115" spans="1:42" x14ac:dyDescent="0.3">
      <c r="A115" s="880"/>
      <c r="B115" s="774" t="s">
        <v>890</v>
      </c>
      <c r="C115" s="696"/>
      <c r="D115" s="696"/>
      <c r="E115" s="696"/>
      <c r="F115" s="696"/>
      <c r="G115" s="696"/>
      <c r="H115" s="696"/>
      <c r="I115" s="697"/>
      <c r="J115" s="133"/>
      <c r="K115" s="133"/>
      <c r="L115" s="133"/>
      <c r="M115" s="133"/>
      <c r="N115" s="133"/>
      <c r="O115" s="133"/>
      <c r="P115" s="842"/>
      <c r="Q115" s="644"/>
      <c r="R115" s="644"/>
      <c r="S115" s="644"/>
      <c r="T115" s="644"/>
      <c r="U115" s="644"/>
      <c r="V115" s="133"/>
      <c r="AF115" s="233"/>
      <c r="AG115" s="233"/>
      <c r="AH115" s="233"/>
      <c r="AI115" s="233"/>
      <c r="AJ115" s="233"/>
    </row>
    <row r="116" spans="1:42" x14ac:dyDescent="0.3">
      <c r="A116" s="880"/>
      <c r="B116" s="274" t="s">
        <v>895</v>
      </c>
      <c r="C116" s="552"/>
      <c r="D116" s="647" t="s">
        <v>623</v>
      </c>
      <c r="E116" s="648" t="s">
        <v>624</v>
      </c>
      <c r="F116" s="647" t="s">
        <v>625</v>
      </c>
      <c r="G116" s="647" t="s">
        <v>626</v>
      </c>
      <c r="H116" s="648" t="s">
        <v>627</v>
      </c>
      <c r="I116" s="697"/>
      <c r="J116" s="860"/>
      <c r="K116" s="649"/>
      <c r="L116" s="649"/>
      <c r="M116" s="649"/>
      <c r="N116" s="649"/>
      <c r="O116" s="649"/>
      <c r="P116" s="842"/>
      <c r="Q116" s="644"/>
      <c r="R116" s="644"/>
      <c r="T116" s="644"/>
      <c r="U116" s="644"/>
      <c r="V116" s="133"/>
      <c r="AF116" s="233"/>
      <c r="AG116" s="233"/>
      <c r="AH116" s="233"/>
      <c r="AI116" s="233"/>
      <c r="AJ116" s="233"/>
    </row>
    <row r="117" spans="1:42" x14ac:dyDescent="0.3">
      <c r="A117" s="880"/>
      <c r="B117" s="247" t="s">
        <v>904</v>
      </c>
      <c r="C117" s="548"/>
      <c r="D117" s="128">
        <f>D84*'Inputs and eligible population'!$F$118</f>
        <v>33.315128914285715</v>
      </c>
      <c r="E117" s="128">
        <f>E84*'Inputs and eligible population'!$F$118</f>
        <v>30.420710514212566</v>
      </c>
      <c r="F117" s="128">
        <f>F84*'Inputs and eligible population'!$F$118</f>
        <v>27.777759184737778</v>
      </c>
      <c r="G117" s="128">
        <f>G84*'Inputs and eligible population'!$F$118</f>
        <v>25.364427466767758</v>
      </c>
      <c r="H117" s="128">
        <f>H84*'Inputs and eligible population'!$F$118</f>
        <v>23.160766008454974</v>
      </c>
      <c r="I117" s="697"/>
      <c r="J117" s="644"/>
      <c r="K117" s="644"/>
      <c r="L117" s="644"/>
      <c r="M117" s="644"/>
      <c r="N117" s="644"/>
      <c r="O117" s="644"/>
      <c r="P117" s="842"/>
      <c r="Q117" s="644"/>
      <c r="R117" s="644"/>
      <c r="S117" s="644"/>
      <c r="T117" s="644"/>
      <c r="U117" s="644"/>
      <c r="V117" s="644"/>
      <c r="AF117" s="233"/>
      <c r="AG117" s="233"/>
      <c r="AH117" s="233"/>
      <c r="AI117" s="233"/>
      <c r="AJ117" s="233"/>
    </row>
    <row r="118" spans="1:42" x14ac:dyDescent="0.3">
      <c r="A118" s="880"/>
      <c r="B118" s="772" t="s">
        <v>721</v>
      </c>
      <c r="C118" s="553"/>
      <c r="D118" s="128">
        <f>D85*'Inputs and eligible population'!$G$118</f>
        <v>0</v>
      </c>
      <c r="E118" s="128">
        <f>E85*'Inputs and eligible population'!$G$118</f>
        <v>0</v>
      </c>
      <c r="F118" s="128">
        <f>F85*'Inputs and eligible population'!$G$118</f>
        <v>0</v>
      </c>
      <c r="G118" s="128">
        <f>G85*'Inputs and eligible population'!$G$118</f>
        <v>0</v>
      </c>
      <c r="H118" s="128">
        <f>H85*'Inputs and eligible population'!$G$118</f>
        <v>0</v>
      </c>
      <c r="I118" s="697"/>
      <c r="J118" s="644"/>
      <c r="K118" s="644"/>
      <c r="L118" s="644"/>
      <c r="M118" s="644"/>
      <c r="N118" s="644"/>
      <c r="O118" s="644"/>
      <c r="P118" s="842"/>
      <c r="Q118" s="644"/>
      <c r="R118" s="644"/>
      <c r="S118" s="644"/>
      <c r="T118" s="644"/>
      <c r="U118" s="644"/>
      <c r="V118" s="644"/>
      <c r="AF118" s="233"/>
      <c r="AG118" s="233"/>
      <c r="AH118" s="233"/>
      <c r="AI118" s="233"/>
      <c r="AJ118" s="233"/>
    </row>
    <row r="119" spans="1:42" x14ac:dyDescent="0.3">
      <c r="A119" s="880"/>
      <c r="B119" s="229" t="s">
        <v>896</v>
      </c>
      <c r="C119" s="551"/>
      <c r="D119" s="551">
        <f>SUM(D117:D118)</f>
        <v>33.315128914285715</v>
      </c>
      <c r="E119" s="551">
        <f>SUM(E117:E118)</f>
        <v>30.420710514212566</v>
      </c>
      <c r="F119" s="551">
        <f>SUM(F117:F118)</f>
        <v>27.777759184737778</v>
      </c>
      <c r="G119" s="551">
        <f>SUM(G117:G118)</f>
        <v>25.364427466767758</v>
      </c>
      <c r="H119" s="551">
        <f>SUM(H117:H118)</f>
        <v>23.160766008454974</v>
      </c>
      <c r="I119" s="697"/>
      <c r="J119" s="848"/>
      <c r="K119" s="861"/>
      <c r="L119" s="861"/>
      <c r="M119" s="861"/>
      <c r="N119" s="861"/>
      <c r="O119" s="861"/>
      <c r="P119" s="842"/>
      <c r="Q119" s="644"/>
      <c r="R119" s="644"/>
      <c r="S119" s="644"/>
      <c r="T119" s="644"/>
      <c r="U119" s="644"/>
      <c r="V119" s="644"/>
      <c r="W119" s="133"/>
      <c r="X119" s="133"/>
      <c r="Y119" s="133"/>
      <c r="Z119" s="133"/>
      <c r="AA119" s="133"/>
      <c r="AB119" s="133"/>
      <c r="AL119" s="233"/>
      <c r="AM119" s="233"/>
      <c r="AN119" s="233"/>
      <c r="AO119" s="233"/>
      <c r="AP119" s="233"/>
    </row>
    <row r="120" spans="1:42" x14ac:dyDescent="0.3">
      <c r="A120" s="880"/>
      <c r="B120" s="892"/>
      <c r="C120" s="862"/>
      <c r="D120" s="863"/>
      <c r="E120" s="864"/>
      <c r="F120" s="692"/>
      <c r="G120" s="692"/>
      <c r="H120" s="698"/>
      <c r="I120" s="865"/>
      <c r="J120" s="133"/>
      <c r="K120" s="133"/>
      <c r="L120" s="133"/>
      <c r="M120" s="133"/>
      <c r="N120" s="133"/>
      <c r="O120" s="133"/>
      <c r="P120" s="842"/>
      <c r="Q120" s="644"/>
      <c r="R120" s="644"/>
      <c r="S120" s="644"/>
      <c r="T120" s="644"/>
      <c r="U120" s="644"/>
      <c r="V120" s="644"/>
      <c r="AF120" s="233"/>
      <c r="AG120" s="233"/>
      <c r="AH120" s="233"/>
      <c r="AI120" s="233"/>
      <c r="AJ120" s="233"/>
    </row>
    <row r="121" spans="1:42" x14ac:dyDescent="0.3">
      <c r="A121" s="728"/>
      <c r="B121" s="869" t="s">
        <v>905</v>
      </c>
      <c r="C121" s="890"/>
      <c r="D121" s="350"/>
      <c r="E121" s="847"/>
      <c r="I121" s="133"/>
      <c r="J121" s="133"/>
      <c r="K121" s="133"/>
      <c r="L121" s="133"/>
      <c r="M121" s="133"/>
      <c r="N121" s="133"/>
      <c r="O121" s="133"/>
      <c r="P121" s="842"/>
      <c r="Q121" s="644"/>
      <c r="R121" s="644"/>
      <c r="S121" s="644"/>
      <c r="T121" s="644"/>
      <c r="U121" s="644"/>
      <c r="V121" s="644"/>
      <c r="AF121" s="233"/>
      <c r="AG121" s="233"/>
      <c r="AH121" s="233"/>
      <c r="AI121" s="233"/>
      <c r="AJ121" s="233"/>
    </row>
    <row r="122" spans="1:42" x14ac:dyDescent="0.3">
      <c r="A122" s="728"/>
      <c r="B122" s="274" t="s">
        <v>895</v>
      </c>
      <c r="C122" s="552"/>
      <c r="D122" s="647" t="s">
        <v>623</v>
      </c>
      <c r="E122" s="648" t="s">
        <v>624</v>
      </c>
      <c r="F122" s="647" t="s">
        <v>625</v>
      </c>
      <c r="G122" s="647" t="s">
        <v>626</v>
      </c>
      <c r="H122" s="648" t="s">
        <v>627</v>
      </c>
      <c r="I122" s="133"/>
      <c r="J122" s="133"/>
      <c r="K122" s="133"/>
      <c r="L122" s="133"/>
      <c r="M122" s="133"/>
      <c r="N122" s="133"/>
      <c r="O122" s="133"/>
      <c r="P122" s="842"/>
      <c r="Q122" s="644"/>
      <c r="R122" s="644"/>
      <c r="S122" s="644"/>
      <c r="T122" s="644"/>
      <c r="U122" s="644"/>
      <c r="V122" s="644"/>
      <c r="AF122" s="233"/>
      <c r="AG122" s="233"/>
      <c r="AH122" s="233"/>
      <c r="AI122" s="233"/>
      <c r="AJ122" s="233"/>
    </row>
    <row r="123" spans="1:42" x14ac:dyDescent="0.3">
      <c r="A123" s="728"/>
      <c r="B123" s="247" t="s">
        <v>906</v>
      </c>
      <c r="C123" s="548"/>
      <c r="D123" s="128">
        <f>('Inputs and eligible population'!G53*'Inputs and eligible population'!$F$108*'Inputs and eligible population'!$F$109+'Inputs and eligible population'!G63*'Inputs and eligible population'!$G$104*'Inputs and eligible population'!$G$105)/60</f>
        <v>0</v>
      </c>
      <c r="E123" s="128">
        <f>('Inputs and eligible population'!H53*'Inputs and eligible population'!$F$108*'Inputs and eligible population'!$F$109+'Inputs and eligible population'!H63*'Inputs and eligible population'!$G$104*'Inputs and eligible population'!$G$105)/60</f>
        <v>0</v>
      </c>
      <c r="F123" s="128">
        <f>('Inputs and eligible population'!I53*'Inputs and eligible population'!$F$108*'Inputs and eligible population'!$F$109+'Inputs and eligible population'!I63*'Inputs and eligible population'!$G$104*'Inputs and eligible population'!$G$105)/60</f>
        <v>0</v>
      </c>
      <c r="G123" s="128">
        <f>('Inputs and eligible population'!J53*'Inputs and eligible population'!$F$108*'Inputs and eligible population'!$F$109+'Inputs and eligible population'!J63*'Inputs and eligible population'!$G$104*'Inputs and eligible population'!$G$105)/60</f>
        <v>0</v>
      </c>
      <c r="H123" s="128">
        <f>('Inputs and eligible population'!K53*'Inputs and eligible population'!$F$108*'Inputs and eligible population'!$F$109+'Inputs and eligible population'!K63*'Inputs and eligible population'!$G$104*'Inputs and eligible population'!$G$105)/60</f>
        <v>0</v>
      </c>
      <c r="I123" s="133"/>
      <c r="J123" s="133"/>
      <c r="K123" s="133"/>
      <c r="L123" s="133"/>
      <c r="M123" s="133"/>
      <c r="N123" s="133"/>
      <c r="O123" s="133"/>
      <c r="P123" s="842"/>
      <c r="Q123" s="644"/>
      <c r="R123" s="644"/>
      <c r="S123" s="644"/>
      <c r="T123" s="644"/>
      <c r="U123" s="644"/>
      <c r="V123" s="644"/>
      <c r="AF123" s="233"/>
      <c r="AG123" s="233"/>
      <c r="AH123" s="233"/>
      <c r="AI123" s="233"/>
      <c r="AJ123" s="233"/>
    </row>
    <row r="124" spans="1:42" x14ac:dyDescent="0.3">
      <c r="A124" s="728"/>
      <c r="B124" s="247" t="s">
        <v>907</v>
      </c>
      <c r="C124" s="548"/>
      <c r="D124" s="128">
        <f>'Inputs and eligible population'!G53*'Inputs and eligible population'!$G$106*'Inputs and eligible population'!$G$107/60+'Inputs and eligible population'!G63*'Inputs and eligible population'!$F$110*'Inputs and eligible population'!$F$111/60</f>
        <v>0</v>
      </c>
      <c r="E124" s="128">
        <f>'Inputs and eligible population'!H53*'Inputs and eligible population'!$G$106*'Inputs and eligible population'!$G$107/60+'Inputs and eligible population'!H63*'Inputs and eligible population'!$F$110*'Inputs and eligible population'!$F$111/60</f>
        <v>0</v>
      </c>
      <c r="F124" s="128">
        <f>'Inputs and eligible population'!I53*'Inputs and eligible population'!$G$106*'Inputs and eligible population'!$G$107/60+'Inputs and eligible population'!I63*'Inputs and eligible population'!$F$110*'Inputs and eligible population'!$F$111/60</f>
        <v>0</v>
      </c>
      <c r="G124" s="128">
        <f>'Inputs and eligible population'!J53*'Inputs and eligible population'!$G$106*'Inputs and eligible population'!$G$107/60+'Inputs and eligible population'!J63*'Inputs and eligible population'!$F$110*'Inputs and eligible population'!$F$111/60</f>
        <v>0</v>
      </c>
      <c r="H124" s="128">
        <f>'Inputs and eligible population'!K53*'Inputs and eligible population'!$G$106*'Inputs and eligible population'!$G$107/60+'Inputs and eligible population'!K63*'Inputs and eligible population'!$F$110*'Inputs and eligible population'!$F$111/60</f>
        <v>0</v>
      </c>
      <c r="I124" s="133"/>
      <c r="J124" s="133"/>
      <c r="K124" s="133"/>
      <c r="L124" s="133"/>
      <c r="M124" s="133"/>
      <c r="N124" s="133"/>
      <c r="O124" s="133"/>
      <c r="P124" s="842"/>
      <c r="Q124" s="644"/>
      <c r="R124" s="644"/>
      <c r="S124" s="644"/>
      <c r="T124" s="644"/>
      <c r="U124" s="644"/>
      <c r="V124" s="644"/>
      <c r="AF124" s="233"/>
      <c r="AG124" s="233"/>
      <c r="AH124" s="233"/>
      <c r="AI124" s="233"/>
      <c r="AJ124" s="233"/>
    </row>
    <row r="125" spans="1:42" s="147" customFormat="1" x14ac:dyDescent="0.3">
      <c r="A125" s="726"/>
      <c r="B125" s="793" t="s">
        <v>908</v>
      </c>
      <c r="C125" s="794"/>
      <c r="D125" s="558">
        <f>SUM(D123:D124)</f>
        <v>0</v>
      </c>
      <c r="E125" s="558">
        <f t="shared" ref="E125" si="77">SUM(E123:E124)</f>
        <v>0</v>
      </c>
      <c r="F125" s="558">
        <f t="shared" ref="F125" si="78">SUM(F123:F124)</f>
        <v>0</v>
      </c>
      <c r="G125" s="558">
        <f t="shared" ref="G125" si="79">SUM(G123:G124)</f>
        <v>0</v>
      </c>
      <c r="H125" s="558">
        <f t="shared" ref="H125" si="80">SUM(H123:H124)</f>
        <v>0</v>
      </c>
      <c r="I125" s="785"/>
      <c r="J125" s="785"/>
      <c r="K125" s="785"/>
      <c r="L125" s="785"/>
      <c r="M125" s="785"/>
      <c r="N125" s="785"/>
      <c r="O125" s="785"/>
      <c r="P125" s="891"/>
      <c r="Q125" s="795"/>
      <c r="R125" s="795"/>
      <c r="S125" s="795"/>
      <c r="T125" s="795"/>
      <c r="U125" s="795"/>
      <c r="V125" s="795"/>
      <c r="AF125" s="254"/>
      <c r="AG125" s="254"/>
      <c r="AH125" s="254"/>
      <c r="AI125" s="254"/>
      <c r="AJ125" s="254"/>
    </row>
    <row r="126" spans="1:42" s="147" customFormat="1" x14ac:dyDescent="0.3">
      <c r="A126" s="726"/>
      <c r="B126" s="869"/>
      <c r="C126" s="1036"/>
      <c r="D126" s="634"/>
      <c r="E126" s="634"/>
      <c r="F126" s="634"/>
      <c r="G126" s="634"/>
      <c r="H126" s="634"/>
      <c r="I126" s="785"/>
      <c r="J126" s="785"/>
      <c r="K126" s="785"/>
      <c r="L126" s="785"/>
      <c r="M126" s="785"/>
      <c r="N126" s="785"/>
      <c r="O126" s="785"/>
      <c r="P126" s="891"/>
      <c r="Q126" s="795"/>
      <c r="R126" s="795"/>
      <c r="S126" s="795"/>
      <c r="T126" s="795"/>
      <c r="U126" s="795"/>
      <c r="V126" s="795"/>
      <c r="AF126" s="254"/>
      <c r="AG126" s="254"/>
      <c r="AH126" s="254"/>
      <c r="AI126" s="254"/>
      <c r="AJ126" s="254"/>
    </row>
    <row r="127" spans="1:42" x14ac:dyDescent="0.3">
      <c r="A127" s="728"/>
      <c r="B127" s="869" t="s">
        <v>1154</v>
      </c>
      <c r="C127" s="890"/>
      <c r="D127" s="350"/>
      <c r="E127" s="847"/>
      <c r="I127" s="133"/>
      <c r="J127" s="133"/>
      <c r="K127" s="133"/>
      <c r="L127" s="133"/>
      <c r="M127" s="133"/>
      <c r="N127" s="133"/>
      <c r="O127" s="133"/>
      <c r="P127" s="842"/>
      <c r="Q127" s="644"/>
      <c r="R127" s="644"/>
      <c r="S127" s="644"/>
      <c r="T127" s="644"/>
      <c r="U127" s="644"/>
      <c r="V127" s="644"/>
      <c r="AF127" s="233"/>
      <c r="AG127" s="233"/>
      <c r="AH127" s="233"/>
      <c r="AI127" s="233"/>
      <c r="AJ127" s="233"/>
    </row>
    <row r="128" spans="1:42" x14ac:dyDescent="0.3">
      <c r="A128" s="728"/>
      <c r="B128" s="274" t="s">
        <v>895</v>
      </c>
      <c r="C128" s="552"/>
      <c r="D128" s="647" t="s">
        <v>623</v>
      </c>
      <c r="E128" s="648" t="s">
        <v>624</v>
      </c>
      <c r="F128" s="647" t="s">
        <v>625</v>
      </c>
      <c r="G128" s="647" t="s">
        <v>626</v>
      </c>
      <c r="H128" s="648" t="s">
        <v>627</v>
      </c>
      <c r="I128" s="133"/>
      <c r="J128" s="133"/>
      <c r="K128" s="133"/>
      <c r="L128" s="133"/>
      <c r="M128" s="133"/>
      <c r="N128" s="133"/>
      <c r="O128" s="133"/>
      <c r="P128" s="842"/>
      <c r="Q128" s="644"/>
      <c r="R128" s="644"/>
      <c r="S128" s="644"/>
      <c r="T128" s="644"/>
      <c r="U128" s="644"/>
      <c r="V128" s="644"/>
      <c r="AF128" s="233"/>
      <c r="AG128" s="233"/>
      <c r="AH128" s="233"/>
      <c r="AI128" s="233"/>
      <c r="AJ128" s="233"/>
    </row>
    <row r="129" spans="1:38" x14ac:dyDescent="0.3">
      <c r="A129" s="728"/>
      <c r="B129" s="247" t="s">
        <v>906</v>
      </c>
      <c r="C129" s="548"/>
      <c r="D129" s="128">
        <f>'Inputs and eligible population'!G52*'Inputs and eligible population'!$F$100*'Inputs and eligible population'!$F$101/60+'Inputs and eligible population'!G62*'Inputs and eligible population'!$G$96*'Inputs and eligible population'!$G$97/60</f>
        <v>0</v>
      </c>
      <c r="E129" s="128">
        <f>'Inputs and eligible population'!H52*'Inputs and eligible population'!$F$100*'Inputs and eligible population'!$F$101/60+'Inputs and eligible population'!H62*'Inputs and eligible population'!$G$96*'Inputs and eligible population'!$G$97/60</f>
        <v>0</v>
      </c>
      <c r="F129" s="128">
        <f>'Inputs and eligible population'!I52*'Inputs and eligible population'!$F$100*'Inputs and eligible population'!$F$101/60+'Inputs and eligible population'!I62*'Inputs and eligible population'!$G$96*'Inputs and eligible population'!$G$97/60</f>
        <v>0</v>
      </c>
      <c r="G129" s="128">
        <f>'Inputs and eligible population'!J52*'Inputs and eligible population'!$F$100*'Inputs and eligible population'!$F$101/60+'Inputs and eligible population'!J62*'Inputs and eligible population'!$G$96*'Inputs and eligible population'!$G$97/60</f>
        <v>0</v>
      </c>
      <c r="H129" s="128">
        <f>'Inputs and eligible population'!K52*'Inputs and eligible population'!$F$100*'Inputs and eligible population'!$F$101/60+'Inputs and eligible population'!K62*'Inputs and eligible population'!$G$96*'Inputs and eligible population'!$G$97/60</f>
        <v>0</v>
      </c>
      <c r="I129" s="133"/>
      <c r="J129" s="133"/>
      <c r="K129" s="133"/>
      <c r="L129" s="133"/>
      <c r="M129" s="133"/>
      <c r="N129" s="133"/>
      <c r="O129" s="133"/>
      <c r="P129" s="842"/>
      <c r="Q129" s="644"/>
      <c r="R129" s="644"/>
      <c r="S129" s="644"/>
      <c r="T129" s="644"/>
      <c r="U129" s="644"/>
      <c r="V129" s="644"/>
      <c r="AF129" s="233"/>
      <c r="AG129" s="233"/>
      <c r="AH129" s="233"/>
      <c r="AI129" s="233"/>
      <c r="AJ129" s="233"/>
    </row>
    <row r="130" spans="1:38" x14ac:dyDescent="0.3">
      <c r="A130" s="728"/>
      <c r="B130" s="247" t="s">
        <v>907</v>
      </c>
      <c r="C130" s="548"/>
      <c r="D130" s="128">
        <f>'Inputs and eligible population'!G52*'Inputs and eligible population'!$F$102*'Inputs and eligible population'!$F$103/60+'Inputs and eligible population'!G62*'Inputs and eligible population'!$G$98*'Inputs and eligible population'!$G$99/60</f>
        <v>0</v>
      </c>
      <c r="E130" s="128">
        <f>'Inputs and eligible population'!H52*'Inputs and eligible population'!$F$102*'Inputs and eligible population'!$F$103/60+'Inputs and eligible population'!H62*'Inputs and eligible population'!$G$98*'Inputs and eligible population'!$G$99/60</f>
        <v>0</v>
      </c>
      <c r="F130" s="128">
        <f>'Inputs and eligible population'!I52*'Inputs and eligible population'!$F$102*'Inputs and eligible population'!$F$103/60+'Inputs and eligible population'!I62*'Inputs and eligible population'!$G$98*'Inputs and eligible population'!$G$99/60</f>
        <v>0</v>
      </c>
      <c r="G130" s="128">
        <f>'Inputs and eligible population'!J52*'Inputs and eligible population'!$F$102*'Inputs and eligible population'!$F$103/60+'Inputs and eligible population'!J62*'Inputs and eligible population'!$G$98*'Inputs and eligible population'!$G$99/60</f>
        <v>0</v>
      </c>
      <c r="H130" s="128">
        <f>'Inputs and eligible population'!K52*'Inputs and eligible population'!$F$102*'Inputs and eligible population'!$F$103/60+'Inputs and eligible population'!K62*'Inputs and eligible population'!$G$98*'Inputs and eligible population'!$G$99/60</f>
        <v>0</v>
      </c>
      <c r="I130" s="133"/>
      <c r="J130" s="133"/>
      <c r="K130" s="133"/>
      <c r="L130" s="133"/>
      <c r="M130" s="133"/>
      <c r="N130" s="133"/>
      <c r="O130" s="133"/>
      <c r="P130" s="842"/>
      <c r="Q130" s="644"/>
      <c r="R130" s="644"/>
      <c r="S130" s="644"/>
      <c r="T130" s="644"/>
      <c r="U130" s="644"/>
      <c r="V130" s="644"/>
      <c r="AF130" s="233"/>
      <c r="AG130" s="233"/>
      <c r="AH130" s="233"/>
      <c r="AI130" s="233"/>
      <c r="AJ130" s="233"/>
    </row>
    <row r="131" spans="1:38" s="147" customFormat="1" x14ac:dyDescent="0.3">
      <c r="A131" s="726"/>
      <c r="B131" s="793" t="s">
        <v>908</v>
      </c>
      <c r="C131" s="794"/>
      <c r="D131" s="558">
        <f>SUM(D129:D130)</f>
        <v>0</v>
      </c>
      <c r="E131" s="558">
        <f t="shared" ref="E131:H131" si="81">SUM(E129:E130)</f>
        <v>0</v>
      </c>
      <c r="F131" s="558">
        <f t="shared" si="81"/>
        <v>0</v>
      </c>
      <c r="G131" s="558">
        <f t="shared" si="81"/>
        <v>0</v>
      </c>
      <c r="H131" s="558">
        <f t="shared" si="81"/>
        <v>0</v>
      </c>
      <c r="I131" s="785"/>
      <c r="J131" s="785"/>
      <c r="K131" s="785"/>
      <c r="L131" s="785"/>
      <c r="M131" s="785"/>
      <c r="N131" s="785"/>
      <c r="O131" s="785"/>
      <c r="P131" s="891"/>
      <c r="Q131" s="795"/>
      <c r="R131" s="795"/>
      <c r="S131" s="795"/>
      <c r="T131" s="795"/>
      <c r="U131" s="795"/>
      <c r="V131" s="795"/>
      <c r="AF131" s="254"/>
      <c r="AG131" s="254"/>
      <c r="AH131" s="254"/>
      <c r="AI131" s="254"/>
      <c r="AJ131" s="254"/>
    </row>
    <row r="132" spans="1:38" ht="9.6" customHeight="1" thickBot="1" x14ac:dyDescent="0.35">
      <c r="A132" s="729"/>
      <c r="B132" s="737"/>
      <c r="C132" s="733"/>
      <c r="D132" s="733"/>
      <c r="E132" s="733"/>
      <c r="F132" s="733"/>
      <c r="G132" s="733"/>
      <c r="H132" s="733"/>
      <c r="I132" s="733"/>
      <c r="J132" s="733"/>
      <c r="K132" s="733"/>
      <c r="L132" s="733"/>
      <c r="M132" s="733"/>
      <c r="N132" s="733"/>
      <c r="O132" s="733"/>
      <c r="P132" s="734"/>
    </row>
    <row r="133" spans="1:38" ht="9.6" customHeight="1" x14ac:dyDescent="0.3"/>
    <row r="134" spans="1:38" ht="9.6" customHeight="1" thickBot="1" x14ac:dyDescent="0.35"/>
    <row r="135" spans="1:38" ht="9.6" customHeight="1" x14ac:dyDescent="0.3">
      <c r="A135" s="719"/>
      <c r="B135" s="866"/>
      <c r="C135" s="724"/>
      <c r="D135" s="724"/>
      <c r="E135" s="724"/>
      <c r="F135" s="724"/>
      <c r="G135" s="724"/>
      <c r="H135" s="724"/>
      <c r="I135" s="724"/>
      <c r="J135" s="724"/>
      <c r="K135" s="724"/>
      <c r="L135" s="724"/>
      <c r="M135" s="724"/>
      <c r="N135" s="724"/>
      <c r="O135" s="724"/>
      <c r="P135" s="725"/>
    </row>
    <row r="136" spans="1:38" x14ac:dyDescent="0.3">
      <c r="A136" s="728"/>
      <c r="B136" s="782" t="s">
        <v>709</v>
      </c>
      <c r="C136" s="783"/>
      <c r="D136" s="784"/>
      <c r="E136" s="783"/>
      <c r="F136" s="147"/>
      <c r="G136" s="785"/>
      <c r="H136" s="785"/>
      <c r="I136" s="785"/>
      <c r="J136" s="785"/>
      <c r="K136" s="785"/>
      <c r="L136" s="785"/>
      <c r="M136" s="785"/>
      <c r="N136" s="785"/>
      <c r="O136" s="147"/>
      <c r="P136" s="842"/>
      <c r="Q136" s="133"/>
      <c r="R136" s="133"/>
      <c r="S136" s="133"/>
      <c r="T136" s="133"/>
      <c r="U136" s="133"/>
      <c r="V136" s="133"/>
      <c r="W136" s="133"/>
      <c r="X136" s="133"/>
      <c r="AH136" s="233"/>
      <c r="AI136" s="233"/>
      <c r="AJ136" s="233"/>
      <c r="AK136" s="233"/>
      <c r="AL136" s="233"/>
    </row>
    <row r="137" spans="1:38" x14ac:dyDescent="0.3">
      <c r="A137" s="999"/>
      <c r="B137" s="1010" t="s">
        <v>899</v>
      </c>
      <c r="C137" s="994"/>
      <c r="D137" s="995"/>
      <c r="E137" s="994"/>
      <c r="F137" s="996"/>
      <c r="G137" s="997"/>
      <c r="H137" s="1011"/>
      <c r="I137" s="992"/>
      <c r="J137" s="1012"/>
      <c r="K137" s="997"/>
      <c r="L137" s="997"/>
      <c r="M137" s="997"/>
      <c r="N137" s="997"/>
      <c r="O137" s="998"/>
      <c r="P137" s="842"/>
      <c r="Q137" s="133"/>
      <c r="R137" s="133"/>
      <c r="S137" s="133"/>
      <c r="T137" s="133"/>
      <c r="U137" s="133"/>
      <c r="V137" s="133"/>
      <c r="W137" s="133"/>
      <c r="X137" s="133"/>
      <c r="Y137" s="133"/>
      <c r="Z137" s="133"/>
      <c r="AA137" s="133"/>
      <c r="AB137" s="133"/>
      <c r="AC137" s="133"/>
      <c r="AD137" s="133"/>
      <c r="AE137" s="133"/>
      <c r="AF137" s="133"/>
      <c r="AG137" s="133"/>
      <c r="AH137" s="902"/>
      <c r="AI137" s="902"/>
      <c r="AJ137" s="902"/>
      <c r="AK137" s="902"/>
      <c r="AL137" s="902"/>
    </row>
    <row r="138" spans="1:38" x14ac:dyDescent="0.3">
      <c r="A138" s="999"/>
      <c r="B138" s="987" t="s">
        <v>1133</v>
      </c>
      <c r="C138" s="988"/>
      <c r="D138" s="989"/>
      <c r="E138" s="990"/>
      <c r="F138" s="990"/>
      <c r="G138" s="991"/>
      <c r="H138" s="993"/>
      <c r="I138" s="992"/>
      <c r="J138" s="1013"/>
      <c r="K138" s="991"/>
      <c r="L138" s="991"/>
      <c r="M138" s="991"/>
      <c r="N138" s="991"/>
      <c r="O138" s="993"/>
      <c r="P138" s="842"/>
      <c r="Q138" s="133"/>
      <c r="R138" s="133"/>
      <c r="S138" s="133"/>
      <c r="T138" s="133"/>
      <c r="U138" s="133"/>
      <c r="V138" s="133"/>
      <c r="W138" s="133"/>
      <c r="X138" s="133"/>
      <c r="Y138" s="133"/>
      <c r="Z138" s="133"/>
      <c r="AA138" s="133"/>
      <c r="AB138" s="133"/>
      <c r="AC138" s="133"/>
      <c r="AD138" s="133"/>
      <c r="AE138" s="133"/>
      <c r="AF138" s="133"/>
      <c r="AG138" s="133"/>
      <c r="AH138" s="902"/>
      <c r="AI138" s="902"/>
      <c r="AJ138" s="902"/>
      <c r="AK138" s="902"/>
      <c r="AL138" s="902"/>
    </row>
    <row r="139" spans="1:38" x14ac:dyDescent="0.3">
      <c r="A139" s="999"/>
      <c r="B139" s="1029" t="s">
        <v>895</v>
      </c>
      <c r="C139" s="1030"/>
      <c r="D139" s="738" t="s">
        <v>623</v>
      </c>
      <c r="E139" s="739" t="s">
        <v>624</v>
      </c>
      <c r="F139" s="738" t="s">
        <v>625</v>
      </c>
      <c r="G139" s="738" t="s">
        <v>626</v>
      </c>
      <c r="H139" s="739" t="s">
        <v>627</v>
      </c>
      <c r="I139" s="1001"/>
      <c r="J139" s="1031" t="s">
        <v>893</v>
      </c>
      <c r="K139" s="738" t="s">
        <v>623</v>
      </c>
      <c r="L139" s="739" t="s">
        <v>624</v>
      </c>
      <c r="M139" s="738" t="s">
        <v>625</v>
      </c>
      <c r="N139" s="738" t="s">
        <v>626</v>
      </c>
      <c r="O139" s="738" t="s">
        <v>627</v>
      </c>
      <c r="P139" s="842"/>
      <c r="Q139" s="133"/>
      <c r="R139" s="133"/>
      <c r="S139" s="133"/>
      <c r="T139" s="133"/>
      <c r="U139" s="133"/>
      <c r="V139" s="133"/>
      <c r="W139" s="133"/>
      <c r="X139" s="133"/>
      <c r="Y139" s="133"/>
      <c r="Z139" s="133"/>
      <c r="AA139" s="133"/>
      <c r="AB139" s="133"/>
      <c r="AC139" s="133"/>
      <c r="AD139" s="133"/>
      <c r="AE139" s="133"/>
      <c r="AF139" s="133"/>
      <c r="AG139" s="133"/>
      <c r="AH139" s="902"/>
      <c r="AI139" s="902"/>
      <c r="AJ139" s="902"/>
      <c r="AK139" s="902"/>
      <c r="AL139" s="902"/>
    </row>
    <row r="140" spans="1:38" x14ac:dyDescent="0.3">
      <c r="A140" s="999"/>
      <c r="B140" s="792" t="s">
        <v>898</v>
      </c>
      <c r="C140" s="554"/>
      <c r="D140" s="548">
        <f>'Inputs and eligible population'!G74</f>
        <v>0</v>
      </c>
      <c r="E140" s="548">
        <f>'Inputs and eligible population'!H74</f>
        <v>0</v>
      </c>
      <c r="F140" s="548">
        <f>'Inputs and eligible population'!I74</f>
        <v>0</v>
      </c>
      <c r="G140" s="548">
        <f>'Inputs and eligible population'!J74</f>
        <v>0</v>
      </c>
      <c r="H140" s="548">
        <f>'Inputs and eligible population'!K74</f>
        <v>0</v>
      </c>
      <c r="I140" s="1001"/>
      <c r="J140" s="351">
        <f>'Inputs and eligible population'!J97</f>
        <v>0</v>
      </c>
      <c r="K140" s="351">
        <f t="shared" ref="K140:O140" si="82">$J140/1000*D140</f>
        <v>0</v>
      </c>
      <c r="L140" s="351">
        <f t="shared" si="82"/>
        <v>0</v>
      </c>
      <c r="M140" s="351">
        <f t="shared" si="82"/>
        <v>0</v>
      </c>
      <c r="N140" s="351">
        <f t="shared" si="82"/>
        <v>0</v>
      </c>
      <c r="O140" s="351">
        <f t="shared" si="82"/>
        <v>0</v>
      </c>
      <c r="P140" s="842"/>
      <c r="Q140" s="133"/>
      <c r="R140" s="133"/>
      <c r="S140" s="133"/>
      <c r="T140" s="133"/>
      <c r="U140" s="133"/>
      <c r="V140" s="133"/>
      <c r="W140" s="133"/>
      <c r="X140" s="133"/>
      <c r="Y140" s="133"/>
      <c r="Z140" s="133"/>
      <c r="AA140" s="133"/>
      <c r="AB140" s="133"/>
      <c r="AC140" s="133"/>
      <c r="AD140" s="133"/>
      <c r="AE140" s="133"/>
      <c r="AF140" s="133"/>
      <c r="AG140" s="133"/>
      <c r="AH140" s="902"/>
      <c r="AI140" s="902"/>
      <c r="AJ140" s="902"/>
      <c r="AK140" s="902"/>
      <c r="AL140" s="902"/>
    </row>
    <row r="141" spans="1:38" x14ac:dyDescent="0.3">
      <c r="A141" s="999"/>
      <c r="B141" s="1002"/>
      <c r="C141" s="1003"/>
      <c r="D141" s="1004"/>
      <c r="E141" s="1005"/>
      <c r="F141" s="1005"/>
      <c r="G141" s="1005"/>
      <c r="H141" s="1005"/>
      <c r="I141" s="1005"/>
      <c r="J141" s="1019"/>
      <c r="K141" s="1020"/>
      <c r="L141" s="1020"/>
      <c r="M141" s="1020"/>
      <c r="N141" s="1020"/>
      <c r="O141" s="1021"/>
      <c r="P141" s="842"/>
      <c r="Q141" s="133"/>
      <c r="R141" s="133"/>
      <c r="S141" s="903"/>
      <c r="T141" s="903"/>
      <c r="U141" s="903"/>
      <c r="V141" s="903"/>
      <c r="W141" s="133"/>
      <c r="X141" s="133"/>
      <c r="Y141" s="133"/>
      <c r="Z141" s="133"/>
      <c r="AA141" s="133"/>
      <c r="AB141" s="133"/>
      <c r="AC141" s="133"/>
      <c r="AD141" s="133"/>
      <c r="AE141" s="133"/>
      <c r="AF141" s="133"/>
      <c r="AG141" s="133"/>
      <c r="AH141" s="902"/>
      <c r="AI141" s="902"/>
      <c r="AJ141" s="902"/>
      <c r="AK141" s="902"/>
      <c r="AL141" s="902"/>
    </row>
    <row r="142" spans="1:38" x14ac:dyDescent="0.3">
      <c r="A142" s="999"/>
      <c r="B142" s="1022" t="s">
        <v>1134</v>
      </c>
      <c r="C142" s="1023"/>
      <c r="D142" s="1024"/>
      <c r="E142" s="1025"/>
      <c r="F142" s="1026"/>
      <c r="G142" s="1026"/>
      <c r="H142" s="1006"/>
      <c r="I142" s="1027"/>
      <c r="J142" s="1007"/>
      <c r="K142" s="1026"/>
      <c r="L142" s="1026"/>
      <c r="M142" s="1026"/>
      <c r="N142" s="1026"/>
      <c r="O142" s="1008"/>
      <c r="P142" s="842"/>
      <c r="Q142" s="133"/>
      <c r="R142" s="902"/>
      <c r="S142" s="902"/>
      <c r="T142" s="902"/>
      <c r="U142" s="902"/>
      <c r="V142" s="902"/>
      <c r="W142" s="133"/>
      <c r="X142" s="133"/>
      <c r="Y142" s="133"/>
      <c r="Z142" s="133"/>
      <c r="AA142" s="133"/>
      <c r="AB142" s="133"/>
      <c r="AC142" s="133"/>
      <c r="AD142" s="133"/>
      <c r="AE142" s="133"/>
      <c r="AF142" s="133"/>
      <c r="AG142" s="133"/>
      <c r="AH142" s="133"/>
      <c r="AI142" s="133"/>
      <c r="AJ142" s="133"/>
      <c r="AK142" s="133"/>
      <c r="AL142" s="133"/>
    </row>
    <row r="143" spans="1:38" x14ac:dyDescent="0.3">
      <c r="A143" s="999"/>
      <c r="B143" s="262" t="s">
        <v>907</v>
      </c>
      <c r="C143" s="960"/>
      <c r="D143" s="960"/>
      <c r="E143" s="960"/>
      <c r="F143" s="960"/>
      <c r="G143" s="960"/>
      <c r="H143" s="960"/>
      <c r="I143" s="1001"/>
      <c r="J143" s="970"/>
      <c r="K143" s="963"/>
      <c r="L143" s="963"/>
      <c r="M143" s="963"/>
      <c r="N143" s="963"/>
      <c r="O143" s="964"/>
      <c r="P143" s="842"/>
      <c r="Q143" s="133"/>
      <c r="R143" s="133"/>
      <c r="S143" s="133"/>
      <c r="T143" s="133"/>
      <c r="U143" s="133"/>
      <c r="V143" s="133"/>
      <c r="W143" s="133"/>
      <c r="X143" s="133"/>
      <c r="Y143" s="133"/>
      <c r="Z143" s="133"/>
      <c r="AA143" s="133"/>
      <c r="AB143" s="133"/>
      <c r="AC143" s="133"/>
      <c r="AD143" s="133"/>
      <c r="AE143" s="133"/>
      <c r="AF143" s="133"/>
      <c r="AG143" s="133"/>
      <c r="AH143" s="902"/>
      <c r="AI143" s="902"/>
      <c r="AJ143" s="902"/>
      <c r="AK143" s="902"/>
      <c r="AL143" s="902"/>
    </row>
    <row r="144" spans="1:38" x14ac:dyDescent="0.3">
      <c r="A144" s="999"/>
      <c r="B144" s="274" t="s">
        <v>895</v>
      </c>
      <c r="C144" s="552"/>
      <c r="D144" s="647" t="s">
        <v>623</v>
      </c>
      <c r="E144" s="648" t="s">
        <v>624</v>
      </c>
      <c r="F144" s="647" t="s">
        <v>625</v>
      </c>
      <c r="G144" s="647" t="s">
        <v>626</v>
      </c>
      <c r="H144" s="648" t="s">
        <v>627</v>
      </c>
      <c r="I144" s="1001"/>
      <c r="J144" s="489" t="s">
        <v>893</v>
      </c>
      <c r="K144" s="647" t="s">
        <v>623</v>
      </c>
      <c r="L144" s="648" t="s">
        <v>624</v>
      </c>
      <c r="M144" s="647" t="s">
        <v>625</v>
      </c>
      <c r="N144" s="647" t="s">
        <v>626</v>
      </c>
      <c r="O144" s="647" t="s">
        <v>627</v>
      </c>
      <c r="P144" s="842"/>
      <c r="Q144" s="133"/>
      <c r="R144" s="133"/>
      <c r="S144" s="133"/>
      <c r="T144" s="133"/>
      <c r="U144" s="133"/>
      <c r="V144" s="133"/>
      <c r="W144" s="133"/>
      <c r="X144" s="133"/>
      <c r="Y144" s="133"/>
      <c r="Z144" s="133"/>
      <c r="AA144" s="133"/>
      <c r="AB144" s="133"/>
      <c r="AC144" s="133"/>
      <c r="AD144" s="133"/>
      <c r="AE144" s="133"/>
      <c r="AF144" s="133"/>
      <c r="AG144" s="133"/>
      <c r="AH144" s="902"/>
      <c r="AI144" s="902"/>
      <c r="AJ144" s="902"/>
      <c r="AK144" s="902"/>
      <c r="AL144" s="902"/>
    </row>
    <row r="145" spans="1:38" x14ac:dyDescent="0.3">
      <c r="A145" s="999"/>
      <c r="B145" s="640" t="s">
        <v>721</v>
      </c>
      <c r="C145" s="548"/>
      <c r="D145" s="128">
        <f>D140</f>
        <v>0</v>
      </c>
      <c r="E145" s="128">
        <f t="shared" ref="E145:H145" si="83">E140</f>
        <v>0</v>
      </c>
      <c r="F145" s="128">
        <f t="shared" si="83"/>
        <v>0</v>
      </c>
      <c r="G145" s="128">
        <f t="shared" si="83"/>
        <v>0</v>
      </c>
      <c r="H145" s="128">
        <f t="shared" si="83"/>
        <v>0</v>
      </c>
      <c r="I145" s="1001"/>
      <c r="J145" s="351">
        <f>'Inputs and eligible population'!J99</f>
        <v>0</v>
      </c>
      <c r="K145" s="351">
        <f t="shared" ref="K145:O145" si="84">$J145/1000*D145</f>
        <v>0</v>
      </c>
      <c r="L145" s="351">
        <f t="shared" si="84"/>
        <v>0</v>
      </c>
      <c r="M145" s="351">
        <f t="shared" si="84"/>
        <v>0</v>
      </c>
      <c r="N145" s="351">
        <f t="shared" si="84"/>
        <v>0</v>
      </c>
      <c r="O145" s="351">
        <f t="shared" si="84"/>
        <v>0</v>
      </c>
      <c r="P145" s="842"/>
      <c r="Q145" s="133"/>
      <c r="R145" s="133"/>
      <c r="S145" s="133"/>
      <c r="T145" s="133"/>
      <c r="U145" s="133"/>
      <c r="V145" s="133"/>
      <c r="W145" s="133"/>
      <c r="X145" s="133"/>
      <c r="Y145" s="133"/>
      <c r="Z145" s="133"/>
      <c r="AA145" s="133"/>
      <c r="AB145" s="133"/>
      <c r="AC145" s="133"/>
      <c r="AD145" s="133"/>
      <c r="AE145" s="133"/>
      <c r="AF145" s="133"/>
      <c r="AG145" s="133"/>
      <c r="AH145" s="902"/>
      <c r="AI145" s="902"/>
      <c r="AJ145" s="902"/>
      <c r="AK145" s="902"/>
      <c r="AL145" s="902"/>
    </row>
    <row r="146" spans="1:38" x14ac:dyDescent="0.3">
      <c r="A146" s="999"/>
      <c r="B146" s="1014"/>
      <c r="C146" s="1015"/>
      <c r="D146" s="1016"/>
      <c r="E146" s="1015"/>
      <c r="F146" s="1017"/>
      <c r="G146" s="1018"/>
      <c r="H146" s="1018"/>
      <c r="I146" s="1018"/>
      <c r="J146" s="1018"/>
      <c r="K146" s="1018"/>
      <c r="L146" s="1018"/>
      <c r="M146" s="1018"/>
      <c r="N146" s="1018"/>
      <c r="O146" s="1017"/>
      <c r="P146" s="842"/>
      <c r="Q146" s="133"/>
      <c r="R146" s="133"/>
      <c r="S146" s="133"/>
      <c r="T146" s="133"/>
      <c r="U146" s="133"/>
      <c r="V146" s="133"/>
      <c r="W146" s="133"/>
      <c r="X146" s="133"/>
      <c r="Y146" s="133"/>
      <c r="Z146" s="133"/>
      <c r="AA146" s="133"/>
      <c r="AB146" s="133"/>
      <c r="AC146" s="133"/>
      <c r="AD146" s="133"/>
      <c r="AE146" s="133"/>
      <c r="AF146" s="133"/>
      <c r="AG146" s="133"/>
      <c r="AH146" s="902"/>
      <c r="AI146" s="902"/>
      <c r="AJ146" s="902"/>
      <c r="AK146" s="902"/>
      <c r="AL146" s="902"/>
    </row>
    <row r="147" spans="1:38" x14ac:dyDescent="0.3">
      <c r="A147" s="867"/>
      <c r="B147" s="820" t="s">
        <v>899</v>
      </c>
      <c r="C147" s="799"/>
      <c r="D147" s="821"/>
      <c r="E147" s="799"/>
      <c r="F147" s="822"/>
      <c r="G147" s="823"/>
      <c r="H147" s="824"/>
      <c r="I147" s="812"/>
      <c r="J147" s="825"/>
      <c r="K147" s="823"/>
      <c r="L147" s="823"/>
      <c r="M147" s="823"/>
      <c r="N147" s="823"/>
      <c r="O147" s="826"/>
      <c r="P147" s="842"/>
      <c r="Q147" s="133"/>
      <c r="R147" s="133"/>
      <c r="S147" s="133"/>
      <c r="T147" s="133"/>
      <c r="U147" s="133"/>
      <c r="V147" s="133"/>
      <c r="W147" s="133"/>
      <c r="X147" s="133"/>
      <c r="AH147" s="233"/>
      <c r="AI147" s="233"/>
      <c r="AJ147" s="233"/>
      <c r="AK147" s="233"/>
      <c r="AL147" s="233"/>
    </row>
    <row r="148" spans="1:38" x14ac:dyDescent="0.3">
      <c r="A148" s="867"/>
      <c r="B148" s="807" t="str">
        <f>B70</f>
        <v>Orthotics first appointment</v>
      </c>
      <c r="C148" s="808"/>
      <c r="D148" s="809"/>
      <c r="E148" s="810"/>
      <c r="F148" s="810"/>
      <c r="G148" s="811"/>
      <c r="H148" s="813"/>
      <c r="I148" s="812"/>
      <c r="J148" s="827"/>
      <c r="K148" s="811"/>
      <c r="L148" s="811"/>
      <c r="M148" s="811"/>
      <c r="N148" s="811"/>
      <c r="O148" s="813"/>
      <c r="P148" s="842"/>
      <c r="Q148" s="133"/>
      <c r="R148" s="133"/>
      <c r="S148" s="133"/>
      <c r="T148" s="133"/>
      <c r="U148" s="133"/>
      <c r="V148" s="133"/>
      <c r="W148" s="133"/>
      <c r="X148" s="133"/>
      <c r="AH148" s="233"/>
      <c r="AI148" s="233"/>
      <c r="AJ148" s="233"/>
      <c r="AK148" s="233"/>
      <c r="AL148" s="233"/>
    </row>
    <row r="149" spans="1:38" x14ac:dyDescent="0.3">
      <c r="A149" s="867"/>
      <c r="B149" s="213" t="s">
        <v>895</v>
      </c>
      <c r="C149" s="550"/>
      <c r="D149" s="647" t="s">
        <v>623</v>
      </c>
      <c r="E149" s="648" t="s">
        <v>624</v>
      </c>
      <c r="F149" s="647" t="s">
        <v>625</v>
      </c>
      <c r="G149" s="647" t="s">
        <v>626</v>
      </c>
      <c r="H149" s="648" t="s">
        <v>627</v>
      </c>
      <c r="I149" s="814"/>
      <c r="J149" s="489" t="s">
        <v>893</v>
      </c>
      <c r="K149" s="647" t="s">
        <v>623</v>
      </c>
      <c r="L149" s="648" t="s">
        <v>624</v>
      </c>
      <c r="M149" s="647" t="s">
        <v>625</v>
      </c>
      <c r="N149" s="647" t="s">
        <v>626</v>
      </c>
      <c r="O149" s="647" t="s">
        <v>627</v>
      </c>
      <c r="P149" s="842"/>
      <c r="Q149" s="133"/>
      <c r="R149" s="133"/>
      <c r="S149" s="133"/>
      <c r="T149" s="133"/>
      <c r="U149" s="133"/>
      <c r="V149" s="133"/>
      <c r="W149" s="133"/>
      <c r="X149" s="133"/>
      <c r="AH149" s="233"/>
      <c r="AI149" s="233"/>
      <c r="AJ149" s="233"/>
      <c r="AK149" s="233"/>
      <c r="AL149" s="233"/>
    </row>
    <row r="150" spans="1:38" x14ac:dyDescent="0.3">
      <c r="A150" s="867"/>
      <c r="B150" s="792" t="s">
        <v>898</v>
      </c>
      <c r="C150" s="554"/>
      <c r="D150" s="548">
        <f>'Inputs and eligible population'!G75</f>
        <v>50</v>
      </c>
      <c r="E150" s="548">
        <f>'Inputs and eligible population'!H75</f>
        <v>33.5</v>
      </c>
      <c r="F150" s="548">
        <f>'Inputs and eligible population'!I75</f>
        <v>22.445</v>
      </c>
      <c r="G150" s="548">
        <f>'Inputs and eligible population'!J75</f>
        <v>15.03815</v>
      </c>
      <c r="H150" s="548">
        <f>'Inputs and eligible population'!K75</f>
        <v>10.0755605</v>
      </c>
      <c r="I150" s="814"/>
      <c r="J150" s="351">
        <f>'Inputs and eligible population'!J105</f>
        <v>0</v>
      </c>
      <c r="K150" s="351">
        <f t="shared" ref="K150" si="85">$J150/1000*D150</f>
        <v>0</v>
      </c>
      <c r="L150" s="351">
        <f t="shared" ref="L150" si="86">$J150/1000*E150</f>
        <v>0</v>
      </c>
      <c r="M150" s="351">
        <f t="shared" ref="M150" si="87">$J150/1000*F150</f>
        <v>0</v>
      </c>
      <c r="N150" s="351">
        <f t="shared" ref="N150" si="88">$J150/1000*G150</f>
        <v>0</v>
      </c>
      <c r="O150" s="351">
        <f t="shared" ref="O150" si="89">$J150/1000*H150</f>
        <v>0</v>
      </c>
      <c r="P150" s="842"/>
      <c r="Q150" s="133"/>
      <c r="R150" s="133"/>
      <c r="S150" s="133"/>
      <c r="T150" s="133"/>
      <c r="U150" s="133"/>
      <c r="V150" s="133"/>
      <c r="W150" s="133"/>
      <c r="X150" s="133"/>
      <c r="AH150" s="233"/>
      <c r="AI150" s="233"/>
      <c r="AJ150" s="233"/>
      <c r="AK150" s="233"/>
      <c r="AL150" s="233"/>
    </row>
    <row r="151" spans="1:38" x14ac:dyDescent="0.3">
      <c r="A151" s="867"/>
      <c r="B151" s="868"/>
      <c r="C151" s="844"/>
      <c r="D151" s="845"/>
      <c r="E151" s="797"/>
      <c r="F151" s="797"/>
      <c r="G151" s="797"/>
      <c r="H151" s="797"/>
      <c r="I151" s="797"/>
      <c r="J151" s="835"/>
      <c r="K151" s="836"/>
      <c r="L151" s="836"/>
      <c r="M151" s="836"/>
      <c r="N151" s="836"/>
      <c r="O151" s="837"/>
      <c r="P151" s="842"/>
      <c r="Q151" s="133"/>
      <c r="R151" s="556"/>
      <c r="S151" s="557"/>
      <c r="T151" s="557"/>
      <c r="U151" s="557"/>
      <c r="V151" s="557"/>
      <c r="W151" s="133"/>
      <c r="X151" s="133"/>
      <c r="AH151" s="233"/>
      <c r="AI151" s="233"/>
      <c r="AJ151" s="233"/>
      <c r="AK151" s="233"/>
      <c r="AL151" s="233"/>
    </row>
    <row r="152" spans="1:38" x14ac:dyDescent="0.3">
      <c r="A152" s="867"/>
      <c r="B152" s="829" t="s">
        <v>909</v>
      </c>
      <c r="C152" s="830"/>
      <c r="D152" s="831"/>
      <c r="E152" s="832"/>
      <c r="F152" s="833"/>
      <c r="G152" s="833"/>
      <c r="H152" s="817"/>
      <c r="I152" s="828"/>
      <c r="J152" s="818"/>
      <c r="K152" s="833"/>
      <c r="L152" s="833"/>
      <c r="M152" s="833"/>
      <c r="N152" s="833"/>
      <c r="O152" s="819"/>
      <c r="P152" s="842"/>
      <c r="Q152" s="133"/>
      <c r="R152" s="555"/>
      <c r="S152" s="555"/>
      <c r="T152" s="555"/>
      <c r="U152" s="555"/>
      <c r="V152" s="555"/>
    </row>
    <row r="153" spans="1:38" x14ac:dyDescent="0.3">
      <c r="A153" s="867"/>
      <c r="B153" s="834" t="s">
        <v>1152</v>
      </c>
      <c r="C153" s="816"/>
      <c r="D153" s="816"/>
      <c r="E153" s="816"/>
      <c r="F153" s="816"/>
      <c r="G153" s="816"/>
      <c r="H153" s="816"/>
      <c r="I153" s="814"/>
      <c r="J153" s="827"/>
      <c r="K153" s="811"/>
      <c r="L153" s="811"/>
      <c r="M153" s="811"/>
      <c r="N153" s="811"/>
      <c r="O153" s="813"/>
      <c r="P153" s="842"/>
      <c r="Q153" s="133"/>
      <c r="R153" s="133"/>
      <c r="S153" s="133"/>
      <c r="T153" s="133"/>
      <c r="U153" s="133"/>
      <c r="V153" s="133"/>
      <c r="W153" s="133"/>
      <c r="X153" s="133"/>
      <c r="AH153" s="233"/>
      <c r="AI153" s="233"/>
      <c r="AJ153" s="233"/>
      <c r="AK153" s="233"/>
      <c r="AL153" s="233"/>
    </row>
    <row r="154" spans="1:38" x14ac:dyDescent="0.3">
      <c r="A154" s="867"/>
      <c r="B154" s="274" t="s">
        <v>895</v>
      </c>
      <c r="C154" s="552"/>
      <c r="D154" s="647" t="s">
        <v>623</v>
      </c>
      <c r="E154" s="648" t="s">
        <v>624</v>
      </c>
      <c r="F154" s="647" t="s">
        <v>625</v>
      </c>
      <c r="G154" s="647" t="s">
        <v>626</v>
      </c>
      <c r="H154" s="648" t="s">
        <v>627</v>
      </c>
      <c r="I154" s="814"/>
      <c r="J154" s="489" t="s">
        <v>893</v>
      </c>
      <c r="K154" s="647" t="s">
        <v>623</v>
      </c>
      <c r="L154" s="648" t="s">
        <v>624</v>
      </c>
      <c r="M154" s="647" t="s">
        <v>625</v>
      </c>
      <c r="N154" s="647" t="s">
        <v>626</v>
      </c>
      <c r="O154" s="647" t="s">
        <v>627</v>
      </c>
      <c r="P154" s="842"/>
      <c r="Q154" s="133"/>
      <c r="R154" s="133"/>
      <c r="S154" s="133"/>
      <c r="T154" s="133"/>
      <c r="U154" s="133"/>
      <c r="V154" s="133"/>
      <c r="W154" s="133"/>
      <c r="X154" s="133"/>
      <c r="AH154" s="233"/>
      <c r="AI154" s="233"/>
      <c r="AJ154" s="233"/>
      <c r="AK154" s="233"/>
      <c r="AL154" s="233"/>
    </row>
    <row r="155" spans="1:38" x14ac:dyDescent="0.3">
      <c r="A155" s="867"/>
      <c r="B155" s="640" t="s">
        <v>721</v>
      </c>
      <c r="C155" s="548"/>
      <c r="D155" s="128">
        <f>D150</f>
        <v>50</v>
      </c>
      <c r="E155" s="128">
        <f t="shared" ref="E155:H155" si="90">E150</f>
        <v>33.5</v>
      </c>
      <c r="F155" s="128">
        <f t="shared" si="90"/>
        <v>22.445</v>
      </c>
      <c r="G155" s="128">
        <f t="shared" si="90"/>
        <v>15.03815</v>
      </c>
      <c r="H155" s="128">
        <f t="shared" si="90"/>
        <v>10.0755605</v>
      </c>
      <c r="I155" s="814"/>
      <c r="J155" s="351">
        <f>'Inputs and eligible population'!J107</f>
        <v>0</v>
      </c>
      <c r="K155" s="351">
        <f t="shared" ref="K155" si="91">$J155/1000*D155</f>
        <v>0</v>
      </c>
      <c r="L155" s="351">
        <f t="shared" ref="L155" si="92">$J155/1000*E155</f>
        <v>0</v>
      </c>
      <c r="M155" s="351">
        <f t="shared" ref="M155" si="93">$J155/1000*F155</f>
        <v>0</v>
      </c>
      <c r="N155" s="351">
        <f t="shared" ref="N155" si="94">$J155/1000*G155</f>
        <v>0</v>
      </c>
      <c r="O155" s="351">
        <f t="shared" ref="O155" si="95">$J155/1000*H155</f>
        <v>0</v>
      </c>
      <c r="P155" s="842"/>
      <c r="Q155" s="133"/>
      <c r="R155" s="133"/>
      <c r="S155" s="133"/>
      <c r="T155" s="133"/>
      <c r="U155" s="133"/>
      <c r="V155" s="133"/>
      <c r="W155" s="133"/>
      <c r="X155" s="133"/>
      <c r="AH155" s="233"/>
      <c r="AI155" s="233"/>
      <c r="AJ155" s="233"/>
      <c r="AK155" s="233"/>
      <c r="AL155" s="233"/>
    </row>
    <row r="156" spans="1:38" x14ac:dyDescent="0.3">
      <c r="A156" s="867"/>
      <c r="B156" s="868"/>
      <c r="C156" s="846"/>
      <c r="D156" s="844"/>
      <c r="E156" s="845"/>
      <c r="F156" s="797"/>
      <c r="G156" s="797"/>
      <c r="H156" s="797"/>
      <c r="I156" s="812"/>
      <c r="J156" s="812"/>
      <c r="K156" s="812"/>
      <c r="L156" s="812"/>
      <c r="M156" s="812"/>
      <c r="N156" s="812"/>
      <c r="O156" s="812"/>
      <c r="P156" s="842"/>
      <c r="Q156" s="133"/>
      <c r="R156" s="133"/>
      <c r="S156" s="133"/>
      <c r="T156" s="133"/>
      <c r="U156" s="133"/>
      <c r="V156" s="133"/>
      <c r="W156" s="133"/>
      <c r="X156" s="133"/>
      <c r="AH156" s="233"/>
      <c r="AI156" s="233"/>
      <c r="AJ156" s="233"/>
      <c r="AK156" s="233"/>
      <c r="AL156" s="233"/>
    </row>
    <row r="157" spans="1:38" x14ac:dyDescent="0.3">
      <c r="A157" s="728"/>
      <c r="B157" s="869" t="s">
        <v>897</v>
      </c>
      <c r="C157" s="350"/>
      <c r="D157" s="847"/>
      <c r="G157" s="133"/>
      <c r="H157" s="133"/>
      <c r="I157" s="133"/>
      <c r="J157" s="133"/>
      <c r="K157" s="133"/>
      <c r="L157" s="133"/>
      <c r="M157" s="133"/>
      <c r="N157" s="133"/>
      <c r="O157" s="133"/>
      <c r="P157" s="842"/>
      <c r="Q157" s="133"/>
      <c r="R157" s="133"/>
      <c r="S157" s="133"/>
      <c r="T157" s="133"/>
      <c r="U157" s="133"/>
      <c r="V157" s="133"/>
      <c r="W157" s="133"/>
      <c r="X157" s="133"/>
      <c r="AH157" s="233"/>
      <c r="AI157" s="233"/>
      <c r="AJ157" s="233"/>
      <c r="AK157" s="233"/>
      <c r="AL157" s="233"/>
    </row>
    <row r="158" spans="1:38" x14ac:dyDescent="0.3">
      <c r="A158" s="870"/>
      <c r="B158" s="274"/>
      <c r="C158" s="552"/>
      <c r="D158" s="647" t="s">
        <v>623</v>
      </c>
      <c r="E158" s="648" t="s">
        <v>624</v>
      </c>
      <c r="F158" s="647" t="s">
        <v>625</v>
      </c>
      <c r="G158" s="647" t="s">
        <v>626</v>
      </c>
      <c r="H158" s="648" t="s">
        <v>627</v>
      </c>
      <c r="I158" s="490"/>
      <c r="J158" s="348" t="s">
        <v>893</v>
      </c>
      <c r="K158" s="647" t="s">
        <v>623</v>
      </c>
      <c r="L158" s="648" t="s">
        <v>624</v>
      </c>
      <c r="M158" s="647" t="s">
        <v>625</v>
      </c>
      <c r="N158" s="647" t="s">
        <v>626</v>
      </c>
      <c r="O158" s="648" t="s">
        <v>627</v>
      </c>
      <c r="P158" s="842"/>
      <c r="Q158" s="133"/>
      <c r="R158" s="133"/>
      <c r="S158" s="133"/>
      <c r="T158" s="133"/>
      <c r="U158" s="133"/>
      <c r="V158" s="133"/>
      <c r="W158" s="133"/>
      <c r="X158" s="133"/>
      <c r="AH158" s="233"/>
      <c r="AI158" s="233"/>
      <c r="AJ158" s="233"/>
      <c r="AK158" s="233"/>
      <c r="AL158" s="233"/>
    </row>
    <row r="159" spans="1:38" x14ac:dyDescent="0.3">
      <c r="A159" s="728"/>
      <c r="B159" s="247" t="s">
        <v>721</v>
      </c>
      <c r="C159" s="548"/>
      <c r="D159" s="548">
        <f>'Inputs and eligible population'!G79</f>
        <v>34.039499999999997</v>
      </c>
      <c r="E159" s="548">
        <f>'Inputs and eligible population'!H79</f>
        <v>22.806464999999999</v>
      </c>
      <c r="F159" s="548">
        <f>'Inputs and eligible population'!I79</f>
        <v>15.280331550000001</v>
      </c>
      <c r="G159" s="548">
        <f>'Inputs and eligible population'!J79</f>
        <v>10.2378221385</v>
      </c>
      <c r="H159" s="548">
        <f>'Inputs and eligible population'!K79</f>
        <v>6.8593408327950005</v>
      </c>
      <c r="I159" s="490"/>
      <c r="J159" s="351">
        <f>J85</f>
        <v>9872.2857142857138</v>
      </c>
      <c r="K159" s="351">
        <f t="shared" ref="K159" si="96">$J159/1000*D159</f>
        <v>336.04766957142851</v>
      </c>
      <c r="L159" s="351">
        <f t="shared" ref="L159" si="97">$J159/1000*E159</f>
        <v>225.15193861285709</v>
      </c>
      <c r="M159" s="351">
        <f t="shared" ref="M159" si="98">$J159/1000*F159</f>
        <v>150.85179887061429</v>
      </c>
      <c r="N159" s="351">
        <f t="shared" ref="N159" si="99">$J159/1000*G159</f>
        <v>101.07070524331156</v>
      </c>
      <c r="O159" s="351">
        <f t="shared" ref="O159" si="100">$J159/1000*H159</f>
        <v>67.717372513018745</v>
      </c>
      <c r="P159" s="842"/>
      <c r="Q159" s="133"/>
      <c r="R159" s="133"/>
      <c r="S159" s="133"/>
      <c r="T159" s="133"/>
      <c r="U159" s="133"/>
      <c r="V159" s="133"/>
      <c r="W159" s="133"/>
      <c r="X159" s="133"/>
      <c r="AH159" s="233"/>
      <c r="AI159" s="233"/>
      <c r="AJ159" s="233"/>
      <c r="AK159" s="233"/>
      <c r="AL159" s="233"/>
    </row>
    <row r="160" spans="1:38" x14ac:dyDescent="0.3">
      <c r="A160" s="728"/>
      <c r="B160" s="237"/>
      <c r="C160" s="350"/>
      <c r="D160" s="847"/>
      <c r="I160" s="133"/>
      <c r="J160" s="133"/>
      <c r="K160" s="133"/>
      <c r="L160" s="133"/>
      <c r="M160" s="133"/>
      <c r="N160" s="133"/>
      <c r="O160" s="133"/>
      <c r="P160" s="842"/>
      <c r="Q160" s="133"/>
      <c r="R160" s="556"/>
      <c r="S160" s="557"/>
      <c r="T160" s="557"/>
      <c r="U160" s="557"/>
      <c r="V160" s="557"/>
      <c r="W160" s="133"/>
      <c r="X160" s="133"/>
      <c r="AH160" s="233"/>
      <c r="AI160" s="233"/>
      <c r="AJ160" s="233"/>
      <c r="AK160" s="233"/>
      <c r="AL160" s="233"/>
    </row>
    <row r="161" spans="1:38" x14ac:dyDescent="0.3">
      <c r="A161" s="871"/>
      <c r="B161" s="575" t="s">
        <v>899</v>
      </c>
      <c r="C161" s="576"/>
      <c r="D161" s="577"/>
      <c r="E161" s="578"/>
      <c r="F161" s="579"/>
      <c r="G161" s="579"/>
      <c r="H161" s="580"/>
      <c r="I161" s="581"/>
      <c r="J161" s="657"/>
      <c r="K161" s="579"/>
      <c r="L161" s="579"/>
      <c r="M161" s="579"/>
      <c r="N161" s="579"/>
      <c r="O161" s="658"/>
      <c r="P161" s="842"/>
      <c r="Q161" s="133"/>
      <c r="R161" s="555"/>
      <c r="S161" s="555"/>
      <c r="T161" s="555"/>
      <c r="U161" s="555"/>
      <c r="V161" s="555"/>
    </row>
    <row r="162" spans="1:38" x14ac:dyDescent="0.3">
      <c r="A162" s="872"/>
      <c r="B162" s="582" t="s">
        <v>900</v>
      </c>
      <c r="C162" s="583"/>
      <c r="D162" s="583"/>
      <c r="E162" s="583"/>
      <c r="F162" s="583"/>
      <c r="G162" s="583"/>
      <c r="H162" s="583"/>
      <c r="I162" s="584"/>
      <c r="J162" s="654"/>
      <c r="K162" s="655"/>
      <c r="L162" s="655"/>
      <c r="M162" s="655"/>
      <c r="N162" s="655"/>
      <c r="O162" s="656"/>
      <c r="P162" s="842"/>
      <c r="Q162" s="133"/>
      <c r="R162" s="133"/>
      <c r="S162" s="133"/>
      <c r="T162" s="133"/>
      <c r="U162" s="133"/>
      <c r="V162" s="133"/>
      <c r="W162" s="133"/>
      <c r="X162" s="133"/>
      <c r="AH162" s="233"/>
      <c r="AI162" s="233"/>
      <c r="AJ162" s="233"/>
      <c r="AK162" s="233"/>
      <c r="AL162" s="233"/>
    </row>
    <row r="163" spans="1:38" x14ac:dyDescent="0.3">
      <c r="A163" s="872"/>
      <c r="B163" s="274" t="s">
        <v>895</v>
      </c>
      <c r="C163" s="552"/>
      <c r="D163" s="647" t="s">
        <v>623</v>
      </c>
      <c r="E163" s="648" t="s">
        <v>624</v>
      </c>
      <c r="F163" s="647" t="s">
        <v>625</v>
      </c>
      <c r="G163" s="647" t="s">
        <v>626</v>
      </c>
      <c r="H163" s="648" t="s">
        <v>627</v>
      </c>
      <c r="I163" s="584"/>
      <c r="J163" s="489" t="s">
        <v>893</v>
      </c>
      <c r="K163" s="647" t="s">
        <v>623</v>
      </c>
      <c r="L163" s="648" t="s">
        <v>624</v>
      </c>
      <c r="M163" s="647" t="s">
        <v>625</v>
      </c>
      <c r="N163" s="647" t="s">
        <v>626</v>
      </c>
      <c r="O163" s="648" t="s">
        <v>627</v>
      </c>
      <c r="P163" s="842"/>
      <c r="Q163" s="133"/>
      <c r="R163" s="133"/>
      <c r="S163" s="133"/>
      <c r="T163" s="133"/>
      <c r="U163" s="133"/>
      <c r="V163" s="133"/>
      <c r="W163" s="133"/>
      <c r="X163" s="133"/>
      <c r="AH163" s="233"/>
      <c r="AI163" s="233"/>
      <c r="AJ163" s="233"/>
      <c r="AK163" s="233"/>
      <c r="AL163" s="233"/>
    </row>
    <row r="164" spans="1:38" x14ac:dyDescent="0.3">
      <c r="A164" s="871"/>
      <c r="B164" s="640" t="s">
        <v>721</v>
      </c>
      <c r="C164" s="641"/>
      <c r="D164" s="548">
        <f>'Inputs and eligible population'!G79</f>
        <v>34.039499999999997</v>
      </c>
      <c r="E164" s="548">
        <f t="shared" ref="E164:H164" si="101">E159</f>
        <v>22.806464999999999</v>
      </c>
      <c r="F164" s="548">
        <f t="shared" si="101"/>
        <v>15.280331550000001</v>
      </c>
      <c r="G164" s="548">
        <f t="shared" si="101"/>
        <v>10.2378221385</v>
      </c>
      <c r="H164" s="548">
        <f t="shared" si="101"/>
        <v>6.8593408327950005</v>
      </c>
      <c r="I164" s="584"/>
      <c r="J164" s="351">
        <f>J92</f>
        <v>144.80000000000001</v>
      </c>
      <c r="K164" s="351">
        <f t="shared" ref="K164" si="102">$J164/1000*D164</f>
        <v>4.9289195999999995</v>
      </c>
      <c r="L164" s="351">
        <f t="shared" ref="L164" si="103">$J164/1000*E164</f>
        <v>3.302376132</v>
      </c>
      <c r="M164" s="351">
        <f t="shared" ref="M164" si="104">$J164/1000*F164</f>
        <v>2.2125920084400006</v>
      </c>
      <c r="N164" s="351">
        <f t="shared" ref="N164" si="105">$J164/1000*G164</f>
        <v>1.4824366456548002</v>
      </c>
      <c r="O164" s="351">
        <f t="shared" ref="O164" si="106">$J164/1000*H164</f>
        <v>0.99323255258871612</v>
      </c>
      <c r="P164" s="842"/>
      <c r="Q164" s="133"/>
      <c r="R164" s="133"/>
      <c r="S164" s="133"/>
      <c r="T164" s="133"/>
      <c r="U164" s="133"/>
      <c r="V164" s="133"/>
      <c r="W164" s="133"/>
      <c r="X164" s="133"/>
      <c r="AH164" s="233"/>
      <c r="AI164" s="233"/>
      <c r="AJ164" s="233"/>
      <c r="AK164" s="233"/>
      <c r="AL164" s="233"/>
    </row>
    <row r="165" spans="1:38" x14ac:dyDescent="0.3">
      <c r="A165" s="871"/>
      <c r="B165" s="873"/>
      <c r="C165" s="787"/>
      <c r="D165" s="788"/>
      <c r="E165" s="789"/>
      <c r="F165" s="786"/>
      <c r="G165" s="786"/>
      <c r="H165" s="579"/>
      <c r="I165" s="791"/>
      <c r="J165" s="791"/>
      <c r="K165" s="791"/>
      <c r="L165" s="791"/>
      <c r="M165" s="791"/>
      <c r="N165" s="791"/>
      <c r="O165" s="791"/>
      <c r="P165" s="842"/>
      <c r="Q165" s="133"/>
      <c r="R165" s="133"/>
      <c r="S165" s="133"/>
      <c r="T165" s="133"/>
      <c r="U165" s="133"/>
      <c r="V165" s="133"/>
      <c r="W165" s="133"/>
      <c r="X165" s="133"/>
      <c r="AH165" s="233"/>
      <c r="AI165" s="233"/>
      <c r="AJ165" s="233"/>
      <c r="AK165" s="233"/>
      <c r="AL165" s="233"/>
    </row>
    <row r="166" spans="1:38" x14ac:dyDescent="0.3">
      <c r="A166" s="874"/>
      <c r="B166" s="572" t="s">
        <v>901</v>
      </c>
      <c r="C166" s="573"/>
      <c r="D166" s="573"/>
      <c r="E166" s="573"/>
      <c r="F166" s="573"/>
      <c r="G166" s="573"/>
      <c r="H166" s="573"/>
      <c r="I166" s="574"/>
      <c r="J166" s="652"/>
      <c r="K166" s="573"/>
      <c r="L166" s="573"/>
      <c r="M166" s="573"/>
      <c r="N166" s="573"/>
      <c r="O166" s="653"/>
      <c r="P166" s="842"/>
      <c r="Q166" s="133"/>
      <c r="R166" s="133"/>
      <c r="S166" s="133"/>
      <c r="T166" s="133"/>
      <c r="U166" s="133"/>
      <c r="V166" s="133"/>
      <c r="W166" s="133"/>
      <c r="X166" s="133"/>
      <c r="AH166" s="233"/>
      <c r="AI166" s="233"/>
      <c r="AJ166" s="233"/>
      <c r="AK166" s="233"/>
      <c r="AL166" s="233"/>
    </row>
    <row r="167" spans="1:38" x14ac:dyDescent="0.3">
      <c r="A167" s="874"/>
      <c r="B167" s="274" t="s">
        <v>895</v>
      </c>
      <c r="C167" s="552"/>
      <c r="D167" s="647" t="s">
        <v>623</v>
      </c>
      <c r="E167" s="648" t="s">
        <v>624</v>
      </c>
      <c r="F167" s="647" t="s">
        <v>625</v>
      </c>
      <c r="G167" s="647" t="s">
        <v>626</v>
      </c>
      <c r="H167" s="648" t="s">
        <v>627</v>
      </c>
      <c r="I167" s="574"/>
      <c r="J167" s="489" t="s">
        <v>893</v>
      </c>
      <c r="K167" s="647" t="s">
        <v>623</v>
      </c>
      <c r="L167" s="648" t="s">
        <v>624</v>
      </c>
      <c r="M167" s="647" t="s">
        <v>625</v>
      </c>
      <c r="N167" s="647" t="s">
        <v>626</v>
      </c>
      <c r="O167" s="648" t="s">
        <v>627</v>
      </c>
      <c r="P167" s="842"/>
      <c r="Q167" s="133"/>
      <c r="R167" s="133"/>
      <c r="S167" s="133"/>
      <c r="T167" s="133"/>
      <c r="U167" s="133"/>
      <c r="V167" s="133"/>
      <c r="W167" s="133"/>
      <c r="X167" s="133"/>
      <c r="AH167" s="233"/>
      <c r="AI167" s="233"/>
      <c r="AJ167" s="233"/>
      <c r="AK167" s="233"/>
      <c r="AL167" s="233"/>
    </row>
    <row r="168" spans="1:38" x14ac:dyDescent="0.3">
      <c r="A168" s="874"/>
      <c r="B168" s="247" t="s">
        <v>721</v>
      </c>
      <c r="C168" s="548"/>
      <c r="D168" s="128">
        <f>D164*'Inputs and eligible population'!$F$112</f>
        <v>0</v>
      </c>
      <c r="E168" s="128">
        <f>E164*'Inputs and eligible population'!$F$112</f>
        <v>0</v>
      </c>
      <c r="F168" s="128">
        <f>F164*'Inputs and eligible population'!$F$112</f>
        <v>0</v>
      </c>
      <c r="G168" s="128">
        <f>G164*'Inputs and eligible population'!$F$112</f>
        <v>0</v>
      </c>
      <c r="H168" s="128">
        <f>H164*'Inputs and eligible population'!$F$112</f>
        <v>0</v>
      </c>
      <c r="I168" s="574"/>
      <c r="J168" s="351">
        <f>J99</f>
        <v>0</v>
      </c>
      <c r="K168" s="351">
        <f t="shared" ref="K168" si="107">$J168/1000*D168</f>
        <v>0</v>
      </c>
      <c r="L168" s="351">
        <f t="shared" ref="L168" si="108">$J168/1000*E168</f>
        <v>0</v>
      </c>
      <c r="M168" s="351">
        <f t="shared" ref="M168" si="109">$J168/1000*F168</f>
        <v>0</v>
      </c>
      <c r="N168" s="351">
        <f t="shared" ref="N168" si="110">$J168/1000*G168</f>
        <v>0</v>
      </c>
      <c r="O168" s="351">
        <f t="shared" ref="O168" si="111">$J168/1000*H168</f>
        <v>0</v>
      </c>
      <c r="P168" s="842"/>
      <c r="Q168" s="133"/>
      <c r="R168" s="133"/>
      <c r="S168" s="133"/>
      <c r="T168" s="133"/>
      <c r="U168" s="133"/>
      <c r="V168" s="133"/>
      <c r="W168" s="133"/>
      <c r="X168" s="133"/>
      <c r="AH168" s="233"/>
      <c r="AI168" s="233"/>
      <c r="AJ168" s="233"/>
      <c r="AK168" s="233"/>
      <c r="AL168" s="233"/>
    </row>
    <row r="169" spans="1:38" x14ac:dyDescent="0.3">
      <c r="A169" s="875"/>
      <c r="B169" s="876"/>
      <c r="C169" s="851"/>
      <c r="D169" s="852"/>
      <c r="E169" s="853"/>
      <c r="F169" s="569"/>
      <c r="G169" s="569"/>
      <c r="H169" s="569"/>
      <c r="I169" s="854"/>
      <c r="J169" s="854"/>
      <c r="K169" s="854"/>
      <c r="L169" s="854"/>
      <c r="M169" s="854"/>
      <c r="N169" s="854"/>
      <c r="O169" s="854"/>
      <c r="P169" s="842"/>
      <c r="Q169" s="133"/>
      <c r="R169" s="133"/>
      <c r="S169" s="133"/>
      <c r="T169" s="133"/>
      <c r="U169" s="133"/>
      <c r="V169" s="133"/>
      <c r="W169" s="133"/>
      <c r="X169" s="133"/>
      <c r="AH169" s="233"/>
      <c r="AI169" s="233"/>
      <c r="AJ169" s="233"/>
      <c r="AK169" s="233"/>
      <c r="AL169" s="233"/>
    </row>
    <row r="170" spans="1:38" x14ac:dyDescent="0.3">
      <c r="A170" s="877"/>
      <c r="B170" s="585" t="s">
        <v>736</v>
      </c>
      <c r="C170" s="586"/>
      <c r="D170" s="586"/>
      <c r="E170" s="586"/>
      <c r="F170" s="586"/>
      <c r="G170" s="586"/>
      <c r="H170" s="586"/>
      <c r="I170" s="587"/>
      <c r="J170" s="650"/>
      <c r="K170" s="586"/>
      <c r="L170" s="586"/>
      <c r="M170" s="586"/>
      <c r="N170" s="586"/>
      <c r="O170" s="651"/>
      <c r="P170" s="842"/>
      <c r="Q170" s="133"/>
      <c r="R170" s="133"/>
      <c r="S170" s="133"/>
      <c r="T170" s="133"/>
      <c r="U170" s="133"/>
      <c r="V170" s="133"/>
      <c r="W170" s="133"/>
      <c r="X170" s="133"/>
      <c r="AH170" s="233"/>
      <c r="AI170" s="233"/>
      <c r="AJ170" s="233"/>
      <c r="AK170" s="233"/>
      <c r="AL170" s="233"/>
    </row>
    <row r="171" spans="1:38" ht="28.8" x14ac:dyDescent="0.3">
      <c r="A171" s="877"/>
      <c r="B171" s="274" t="s">
        <v>895</v>
      </c>
      <c r="C171" s="552"/>
      <c r="D171" s="647" t="s">
        <v>623</v>
      </c>
      <c r="E171" s="648" t="s">
        <v>624</v>
      </c>
      <c r="F171" s="647" t="s">
        <v>625</v>
      </c>
      <c r="G171" s="647" t="s">
        <v>626</v>
      </c>
      <c r="H171" s="648" t="s">
        <v>627</v>
      </c>
      <c r="I171" s="587"/>
      <c r="J171" s="489" t="s">
        <v>903</v>
      </c>
      <c r="K171" s="647" t="s">
        <v>623</v>
      </c>
      <c r="L171" s="648" t="s">
        <v>624</v>
      </c>
      <c r="M171" s="647" t="s">
        <v>625</v>
      </c>
      <c r="N171" s="647" t="s">
        <v>626</v>
      </c>
      <c r="O171" s="648" t="s">
        <v>627</v>
      </c>
      <c r="P171" s="842"/>
      <c r="Q171" s="133"/>
      <c r="R171" s="133"/>
      <c r="S171" s="133"/>
      <c r="T171" s="133"/>
      <c r="U171" s="133"/>
      <c r="V171" s="133"/>
      <c r="W171" s="133"/>
      <c r="X171" s="133"/>
      <c r="AH171" s="233"/>
      <c r="AI171" s="233"/>
      <c r="AJ171" s="233"/>
      <c r="AK171" s="233"/>
      <c r="AL171" s="233"/>
    </row>
    <row r="172" spans="1:38" x14ac:dyDescent="0.3">
      <c r="A172" s="877"/>
      <c r="B172" s="247" t="s">
        <v>721</v>
      </c>
      <c r="C172" s="548"/>
      <c r="D172" s="128">
        <f>'Inputs and eligible population'!G79*'Inputs and eligible population'!$G$116</f>
        <v>0</v>
      </c>
      <c r="E172" s="128">
        <f>'Inputs and eligible population'!H79*'Inputs and eligible population'!$G$116</f>
        <v>0</v>
      </c>
      <c r="F172" s="128">
        <f>'Inputs and eligible population'!I79*'Inputs and eligible population'!$G$116</f>
        <v>0</v>
      </c>
      <c r="G172" s="128">
        <f>'Inputs and eligible population'!J79*'Inputs and eligible population'!$G$116</f>
        <v>0</v>
      </c>
      <c r="H172" s="128">
        <f>'Inputs and eligible population'!K79*'Inputs and eligible population'!$G$116</f>
        <v>0</v>
      </c>
      <c r="I172" s="587"/>
      <c r="J172" s="351">
        <f>J105</f>
        <v>0</v>
      </c>
      <c r="K172" s="351">
        <f t="shared" ref="K172" si="112">$J172/1000*D172</f>
        <v>0</v>
      </c>
      <c r="L172" s="351">
        <f t="shared" ref="L172" si="113">$J172/1000*E172</f>
        <v>0</v>
      </c>
      <c r="M172" s="351">
        <f t="shared" ref="M172" si="114">$J172/1000*F172</f>
        <v>0</v>
      </c>
      <c r="N172" s="351">
        <f t="shared" ref="N172" si="115">$J172/1000*G172</f>
        <v>0</v>
      </c>
      <c r="O172" s="351">
        <f t="shared" ref="O172" si="116">$J172/1000*H172</f>
        <v>0</v>
      </c>
      <c r="P172" s="842"/>
      <c r="Q172" s="133"/>
      <c r="R172" s="133"/>
      <c r="S172" s="133"/>
      <c r="T172" s="133"/>
      <c r="U172" s="133"/>
      <c r="V172" s="133"/>
      <c r="W172" s="133"/>
      <c r="X172" s="133"/>
      <c r="AH172" s="233"/>
      <c r="AI172" s="233"/>
      <c r="AJ172" s="233"/>
      <c r="AK172" s="233"/>
      <c r="AL172" s="233"/>
    </row>
    <row r="173" spans="1:38" x14ac:dyDescent="0.3">
      <c r="A173" s="878"/>
      <c r="B173" s="879"/>
      <c r="C173" s="856"/>
      <c r="D173" s="857"/>
      <c r="E173" s="858"/>
      <c r="F173" s="588"/>
      <c r="G173" s="588"/>
      <c r="H173" s="589"/>
      <c r="I173" s="859"/>
      <c r="J173" s="859"/>
      <c r="K173" s="859"/>
      <c r="L173" s="859"/>
      <c r="M173" s="859"/>
      <c r="N173" s="859"/>
      <c r="O173" s="859"/>
      <c r="P173" s="842"/>
      <c r="Q173" s="133"/>
      <c r="R173" s="133"/>
      <c r="S173" s="133"/>
      <c r="T173" s="133"/>
      <c r="U173" s="133"/>
      <c r="V173" s="133"/>
      <c r="W173" s="133"/>
      <c r="X173" s="133"/>
      <c r="AH173" s="233"/>
      <c r="AI173" s="233"/>
      <c r="AJ173" s="233"/>
      <c r="AK173" s="233"/>
      <c r="AL173" s="233"/>
    </row>
    <row r="174" spans="1:38" x14ac:dyDescent="0.3">
      <c r="A174" s="728"/>
      <c r="B174" s="237"/>
      <c r="C174" s="890"/>
      <c r="D174" s="350"/>
      <c r="E174" s="847"/>
      <c r="I174" s="133"/>
      <c r="J174" s="133"/>
      <c r="K174" s="133"/>
      <c r="L174" s="133"/>
      <c r="M174" s="133"/>
      <c r="N174" s="133"/>
      <c r="O174" s="133"/>
      <c r="P174" s="842"/>
      <c r="Q174" s="133"/>
      <c r="R174" s="133"/>
      <c r="S174" s="133"/>
      <c r="T174" s="133"/>
      <c r="U174" s="133"/>
      <c r="V174" s="133"/>
      <c r="W174" s="133"/>
      <c r="X174" s="133"/>
      <c r="AH174" s="233"/>
      <c r="AI174" s="233"/>
      <c r="AJ174" s="233"/>
      <c r="AK174" s="233"/>
      <c r="AL174" s="233"/>
    </row>
    <row r="175" spans="1:38" x14ac:dyDescent="0.3">
      <c r="A175" s="728"/>
      <c r="B175" s="262" t="s">
        <v>1129</v>
      </c>
      <c r="C175" s="960"/>
      <c r="D175" s="960"/>
      <c r="E175" s="960"/>
      <c r="F175" s="960"/>
      <c r="G175" s="960"/>
      <c r="H175" s="961"/>
      <c r="I175" s="490"/>
      <c r="J175" s="962"/>
      <c r="K175" s="960"/>
      <c r="L175" s="960"/>
      <c r="M175" s="960"/>
      <c r="N175" s="960"/>
      <c r="O175" s="961"/>
      <c r="P175" s="842"/>
      <c r="Q175" s="133"/>
      <c r="R175" s="133"/>
      <c r="S175" s="133"/>
      <c r="T175" s="133"/>
      <c r="U175" s="133"/>
      <c r="V175" s="133"/>
      <c r="W175" s="133"/>
      <c r="X175" s="133"/>
      <c r="AH175" s="233"/>
      <c r="AI175" s="233"/>
      <c r="AJ175" s="233"/>
      <c r="AK175" s="233"/>
      <c r="AL175" s="233"/>
    </row>
    <row r="176" spans="1:38" ht="28.8" x14ac:dyDescent="0.3">
      <c r="A176" s="728"/>
      <c r="B176" s="274" t="s">
        <v>895</v>
      </c>
      <c r="C176" s="552"/>
      <c r="D176" s="647" t="s">
        <v>623</v>
      </c>
      <c r="E176" s="648" t="s">
        <v>624</v>
      </c>
      <c r="F176" s="647" t="s">
        <v>625</v>
      </c>
      <c r="G176" s="647" t="s">
        <v>626</v>
      </c>
      <c r="H176" s="648" t="s">
        <v>627</v>
      </c>
      <c r="I176" s="490"/>
      <c r="J176" s="489" t="s">
        <v>903</v>
      </c>
      <c r="K176" s="647" t="s">
        <v>623</v>
      </c>
      <c r="L176" s="648" t="s">
        <v>624</v>
      </c>
      <c r="M176" s="647" t="s">
        <v>625</v>
      </c>
      <c r="N176" s="647" t="s">
        <v>626</v>
      </c>
      <c r="O176" s="648" t="s">
        <v>627</v>
      </c>
      <c r="P176" s="842"/>
      <c r="Q176" s="133"/>
      <c r="R176" s="133"/>
      <c r="S176" s="133"/>
      <c r="T176" s="133"/>
      <c r="U176" s="133"/>
      <c r="V176" s="133"/>
      <c r="W176" s="133"/>
      <c r="X176" s="133"/>
      <c r="AH176" s="233"/>
      <c r="AI176" s="233"/>
      <c r="AJ176" s="233"/>
      <c r="AK176" s="233"/>
      <c r="AL176" s="233"/>
    </row>
    <row r="177" spans="1:38" x14ac:dyDescent="0.3">
      <c r="A177" s="728"/>
      <c r="B177" s="772" t="s">
        <v>721</v>
      </c>
      <c r="C177" s="553"/>
      <c r="D177" s="128">
        <f>'Inputs and eligible population'!G81</f>
        <v>0</v>
      </c>
      <c r="E177" s="128">
        <f>'Inputs and eligible population'!H81</f>
        <v>0</v>
      </c>
      <c r="F177" s="128">
        <f>'Inputs and eligible population'!I81</f>
        <v>0</v>
      </c>
      <c r="G177" s="128">
        <f>'Inputs and eligible population'!J81</f>
        <v>0</v>
      </c>
      <c r="H177" s="128">
        <f>'Inputs and eligible population'!K81</f>
        <v>0</v>
      </c>
      <c r="I177" s="490"/>
      <c r="J177" s="351">
        <f>'Unit costs'!J32</f>
        <v>0</v>
      </c>
      <c r="K177" s="351">
        <f t="shared" ref="K177" si="117">$J177/1000*D177</f>
        <v>0</v>
      </c>
      <c r="L177" s="351">
        <f t="shared" ref="L177" si="118">$J177/1000*E177</f>
        <v>0</v>
      </c>
      <c r="M177" s="351">
        <f t="shared" ref="M177" si="119">$J177/1000*F177</f>
        <v>0</v>
      </c>
      <c r="N177" s="351">
        <f t="shared" ref="N177" si="120">$J177/1000*G177</f>
        <v>0</v>
      </c>
      <c r="O177" s="351">
        <f t="shared" ref="O177" si="121">$J177/1000*H177</f>
        <v>0</v>
      </c>
      <c r="P177" s="842"/>
      <c r="Q177" s="133"/>
      <c r="R177" s="133"/>
      <c r="S177" s="133"/>
      <c r="T177" s="133"/>
      <c r="U177" s="133"/>
      <c r="V177" s="133"/>
      <c r="W177" s="133"/>
      <c r="X177" s="133"/>
      <c r="AH177" s="233"/>
      <c r="AI177" s="233"/>
      <c r="AJ177" s="233"/>
      <c r="AK177" s="233"/>
      <c r="AL177" s="233"/>
    </row>
    <row r="178" spans="1:38" x14ac:dyDescent="0.3">
      <c r="A178" s="728"/>
      <c r="B178" s="229" t="s">
        <v>896</v>
      </c>
      <c r="C178" s="551"/>
      <c r="D178" s="551">
        <f>SUM(D177:D177)</f>
        <v>0</v>
      </c>
      <c r="E178" s="551">
        <f>SUM(E177:E177)</f>
        <v>0</v>
      </c>
      <c r="F178" s="551">
        <f>SUM(F177:F177)</f>
        <v>0</v>
      </c>
      <c r="G178" s="551">
        <f>SUM(G177:G177)</f>
        <v>0</v>
      </c>
      <c r="H178" s="551">
        <f>SUM(H177:H177)</f>
        <v>0</v>
      </c>
      <c r="I178" s="490"/>
      <c r="J178" s="848"/>
      <c r="K178" s="235">
        <f>SUM(K177:K177)</f>
        <v>0</v>
      </c>
      <c r="L178" s="235">
        <f>SUM(L177:L177)</f>
        <v>0</v>
      </c>
      <c r="M178" s="235">
        <f>SUM(M177:M177)</f>
        <v>0</v>
      </c>
      <c r="N178" s="235">
        <f>SUM(N177:N177)</f>
        <v>0</v>
      </c>
      <c r="O178" s="235">
        <f>SUM(O177:O177)</f>
        <v>0</v>
      </c>
      <c r="P178" s="842"/>
      <c r="Q178" s="133"/>
      <c r="R178" s="133"/>
      <c r="S178" s="133"/>
      <c r="T178" s="133"/>
      <c r="U178" s="133"/>
      <c r="V178" s="133"/>
      <c r="W178" s="133"/>
      <c r="X178" s="133"/>
      <c r="AH178" s="233"/>
      <c r="AI178" s="233"/>
      <c r="AJ178" s="233"/>
      <c r="AK178" s="233"/>
      <c r="AL178" s="233"/>
    </row>
    <row r="179" spans="1:38" x14ac:dyDescent="0.3">
      <c r="A179" s="880"/>
      <c r="B179" s="881"/>
      <c r="C179" s="692"/>
      <c r="D179" s="692"/>
      <c r="E179" s="692"/>
      <c r="F179" s="692"/>
      <c r="G179" s="692"/>
      <c r="H179" s="692"/>
      <c r="I179" s="692"/>
      <c r="J179" s="692"/>
      <c r="K179" s="692"/>
      <c r="L179" s="692"/>
      <c r="M179" s="692"/>
      <c r="N179" s="692"/>
      <c r="O179" s="692"/>
      <c r="P179" s="727"/>
    </row>
    <row r="180" spans="1:38" x14ac:dyDescent="0.3">
      <c r="A180" s="882"/>
      <c r="B180" s="695" t="s">
        <v>890</v>
      </c>
      <c r="C180" s="696"/>
      <c r="D180" s="978"/>
      <c r="E180" s="978"/>
      <c r="F180" s="978"/>
      <c r="G180" s="978"/>
      <c r="H180" s="978"/>
      <c r="I180" s="697"/>
      <c r="J180" s="133"/>
      <c r="K180" s="133"/>
      <c r="L180" s="133"/>
      <c r="M180" s="133"/>
      <c r="N180" s="133"/>
      <c r="O180" s="133"/>
      <c r="P180" s="842"/>
      <c r="Q180" s="644"/>
      <c r="R180" s="644"/>
      <c r="S180" s="644"/>
      <c r="T180" s="644"/>
      <c r="U180" s="644"/>
      <c r="V180" s="133"/>
      <c r="AF180" s="233"/>
      <c r="AG180" s="233"/>
      <c r="AH180" s="233"/>
      <c r="AI180" s="233"/>
      <c r="AJ180" s="233"/>
    </row>
    <row r="181" spans="1:38" x14ac:dyDescent="0.3">
      <c r="A181" s="882"/>
      <c r="B181" s="274" t="s">
        <v>895</v>
      </c>
      <c r="C181" s="552"/>
      <c r="D181" s="647" t="s">
        <v>623</v>
      </c>
      <c r="E181" s="648" t="s">
        <v>624</v>
      </c>
      <c r="F181" s="647" t="s">
        <v>625</v>
      </c>
      <c r="G181" s="647" t="s">
        <v>626</v>
      </c>
      <c r="H181" s="648" t="s">
        <v>627</v>
      </c>
      <c r="I181" s="697"/>
      <c r="J181" s="860"/>
      <c r="K181" s="649"/>
      <c r="L181" s="649"/>
      <c r="M181" s="649"/>
      <c r="N181" s="649"/>
      <c r="O181" s="649"/>
      <c r="P181" s="842"/>
      <c r="Q181" s="644"/>
      <c r="R181" s="644"/>
      <c r="S181" s="644"/>
      <c r="T181" s="644"/>
      <c r="U181" s="644"/>
      <c r="V181" s="133"/>
      <c r="AF181" s="233"/>
      <c r="AG181" s="233"/>
      <c r="AH181" s="233"/>
      <c r="AI181" s="233"/>
      <c r="AJ181" s="233"/>
    </row>
    <row r="182" spans="1:38" x14ac:dyDescent="0.3">
      <c r="A182" s="882"/>
      <c r="B182" s="247" t="s">
        <v>910</v>
      </c>
      <c r="C182" s="548"/>
      <c r="D182" s="128">
        <f>D159*'Inputs and eligible population'!$G$118</f>
        <v>120.19185357142854</v>
      </c>
      <c r="E182" s="128">
        <f>E159*'Inputs and eligible population'!$G$118</f>
        <v>80.528541892857135</v>
      </c>
      <c r="F182" s="128">
        <f>F159*'Inputs and eligible population'!$G$118</f>
        <v>53.95412306821428</v>
      </c>
      <c r="G182" s="128">
        <f>G159*'Inputs and eligible population'!$G$118</f>
        <v>36.149262455703564</v>
      </c>
      <c r="H182" s="128">
        <f>H159*'Inputs and eligible population'!$G$118</f>
        <v>24.220005845321392</v>
      </c>
      <c r="I182" s="697"/>
      <c r="J182" s="644"/>
      <c r="K182" s="644"/>
      <c r="L182" s="644"/>
      <c r="M182" s="644"/>
      <c r="N182" s="644"/>
      <c r="O182" s="644"/>
      <c r="P182" s="842"/>
      <c r="Q182" s="644"/>
      <c r="R182" s="644"/>
      <c r="S182" s="644"/>
      <c r="T182" s="644"/>
      <c r="U182" s="644"/>
      <c r="V182" s="644"/>
      <c r="AF182" s="233"/>
      <c r="AG182" s="233"/>
      <c r="AH182" s="233"/>
      <c r="AI182" s="233"/>
      <c r="AJ182" s="233"/>
    </row>
    <row r="183" spans="1:38" x14ac:dyDescent="0.3">
      <c r="A183" s="883"/>
      <c r="B183" s="884"/>
      <c r="C183" s="885"/>
      <c r="D183" s="886"/>
      <c r="E183" s="887"/>
      <c r="F183" s="888"/>
      <c r="G183" s="888"/>
      <c r="H183" s="838"/>
      <c r="I183" s="889"/>
      <c r="J183" s="133"/>
      <c r="K183" s="133"/>
      <c r="L183" s="133"/>
      <c r="M183" s="133"/>
      <c r="N183" s="133"/>
      <c r="O183" s="133"/>
      <c r="P183" s="842"/>
      <c r="Q183" s="644"/>
      <c r="R183" s="644"/>
      <c r="S183" s="644"/>
      <c r="T183" s="644"/>
      <c r="U183" s="644"/>
      <c r="V183" s="644"/>
      <c r="AF183" s="233"/>
      <c r="AG183" s="233"/>
      <c r="AH183" s="233"/>
      <c r="AI183" s="233"/>
      <c r="AJ183" s="233"/>
    </row>
    <row r="184" spans="1:38" x14ac:dyDescent="0.3">
      <c r="A184" s="728"/>
      <c r="B184" s="869" t="s">
        <v>1157</v>
      </c>
      <c r="C184" s="890"/>
      <c r="D184" s="350"/>
      <c r="E184" s="847"/>
      <c r="I184" s="133"/>
      <c r="J184" s="133"/>
      <c r="K184" s="133"/>
      <c r="L184" s="133"/>
      <c r="M184" s="133"/>
      <c r="N184" s="133"/>
      <c r="O184" s="133"/>
      <c r="P184" s="842"/>
      <c r="Q184" s="644"/>
      <c r="R184" s="644"/>
      <c r="S184" s="644"/>
      <c r="T184" s="644"/>
      <c r="U184" s="644"/>
      <c r="V184" s="644"/>
      <c r="AF184" s="233"/>
      <c r="AG184" s="233"/>
      <c r="AH184" s="233"/>
      <c r="AI184" s="233"/>
      <c r="AJ184" s="233"/>
    </row>
    <row r="185" spans="1:38" x14ac:dyDescent="0.3">
      <c r="A185" s="728"/>
      <c r="B185" s="274" t="s">
        <v>895</v>
      </c>
      <c r="C185" s="552"/>
      <c r="D185" s="647" t="s">
        <v>623</v>
      </c>
      <c r="E185" s="648" t="s">
        <v>624</v>
      </c>
      <c r="F185" s="647" t="s">
        <v>625</v>
      </c>
      <c r="G185" s="647" t="s">
        <v>626</v>
      </c>
      <c r="H185" s="648" t="s">
        <v>627</v>
      </c>
      <c r="I185" s="133"/>
      <c r="J185" s="133"/>
      <c r="K185" s="133"/>
      <c r="L185" s="133"/>
      <c r="M185" s="133"/>
      <c r="N185" s="133"/>
      <c r="O185" s="133"/>
      <c r="P185" s="842"/>
      <c r="Q185" s="644"/>
      <c r="R185" s="644"/>
      <c r="S185" s="644"/>
      <c r="T185" s="644"/>
      <c r="U185" s="644"/>
      <c r="V185" s="644"/>
      <c r="AF185" s="233"/>
      <c r="AG185" s="233"/>
      <c r="AH185" s="233"/>
      <c r="AI185" s="233"/>
      <c r="AJ185" s="233"/>
    </row>
    <row r="186" spans="1:38" x14ac:dyDescent="0.3">
      <c r="A186" s="728"/>
      <c r="B186" s="247" t="s">
        <v>906</v>
      </c>
      <c r="C186" s="548"/>
      <c r="D186" s="128">
        <f>'Inputs and eligible population'!G75*'Inputs and eligible population'!$G$104*'Inputs and eligible population'!$G$105/60</f>
        <v>0</v>
      </c>
      <c r="E186" s="128">
        <f>'Inputs and eligible population'!H75*'Inputs and eligible population'!$G$104*'Inputs and eligible population'!$G$105/60</f>
        <v>0</v>
      </c>
      <c r="F186" s="128">
        <f>'Inputs and eligible population'!I75*'Inputs and eligible population'!$G$104*'Inputs and eligible population'!$G$105/60</f>
        <v>0</v>
      </c>
      <c r="G186" s="128">
        <f>'Inputs and eligible population'!J75*'Inputs and eligible population'!$G$104*'Inputs and eligible population'!$G$105/60</f>
        <v>0</v>
      </c>
      <c r="H186" s="128">
        <f>'Inputs and eligible population'!K75*'Inputs and eligible population'!$G$104*'Inputs and eligible population'!$G$105/60</f>
        <v>0</v>
      </c>
      <c r="I186" s="133"/>
      <c r="J186" s="133"/>
      <c r="K186" s="133"/>
      <c r="L186" s="133"/>
      <c r="M186" s="133"/>
      <c r="N186" s="133"/>
      <c r="O186" s="133"/>
      <c r="P186" s="842"/>
      <c r="Q186" s="644"/>
      <c r="R186" s="644"/>
      <c r="S186" s="644"/>
      <c r="T186" s="644"/>
      <c r="U186" s="644"/>
      <c r="V186" s="644"/>
      <c r="AF186" s="233"/>
      <c r="AG186" s="233"/>
      <c r="AH186" s="233"/>
      <c r="AI186" s="233"/>
      <c r="AJ186" s="233"/>
    </row>
    <row r="187" spans="1:38" x14ac:dyDescent="0.3">
      <c r="A187" s="728"/>
      <c r="B187" s="247" t="s">
        <v>907</v>
      </c>
      <c r="C187" s="548"/>
      <c r="D187" s="128">
        <f>'Inputs and eligible population'!G75*'Inputs and eligible population'!$G$106*'Inputs and eligible population'!$G$107/60</f>
        <v>0</v>
      </c>
      <c r="E187" s="128">
        <f>'Inputs and eligible population'!H75*'Inputs and eligible population'!$G$106*'Inputs and eligible population'!$G$107/60</f>
        <v>0</v>
      </c>
      <c r="F187" s="128">
        <f>'Inputs and eligible population'!I75*'Inputs and eligible population'!$G$106*'Inputs and eligible population'!$G$107/60</f>
        <v>0</v>
      </c>
      <c r="G187" s="128">
        <f>'Inputs and eligible population'!J75*'Inputs and eligible population'!$G$106*'Inputs and eligible population'!$G$107/60</f>
        <v>0</v>
      </c>
      <c r="H187" s="128">
        <f>'Inputs and eligible population'!K75*'Inputs and eligible population'!$G$106*'Inputs and eligible population'!$G$107/60</f>
        <v>0</v>
      </c>
      <c r="I187" s="133"/>
      <c r="J187" s="133"/>
      <c r="K187" s="133"/>
      <c r="L187" s="133"/>
      <c r="M187" s="133"/>
      <c r="N187" s="133"/>
      <c r="O187" s="133"/>
      <c r="P187" s="842"/>
      <c r="Q187" s="644"/>
      <c r="R187" s="644"/>
      <c r="S187" s="644"/>
      <c r="T187" s="644"/>
      <c r="U187" s="644"/>
      <c r="V187" s="644"/>
      <c r="AF187" s="233"/>
      <c r="AG187" s="233"/>
      <c r="AH187" s="233"/>
      <c r="AI187" s="233"/>
      <c r="AJ187" s="233"/>
    </row>
    <row r="188" spans="1:38" s="147" customFormat="1" x14ac:dyDescent="0.3">
      <c r="A188" s="726"/>
      <c r="B188" s="793" t="s">
        <v>908</v>
      </c>
      <c r="C188" s="794"/>
      <c r="D188" s="558">
        <f>SUM(D186:D187)</f>
        <v>0</v>
      </c>
      <c r="E188" s="558">
        <f t="shared" ref="E188:H188" si="122">SUM(E186:E187)</f>
        <v>0</v>
      </c>
      <c r="F188" s="558">
        <f t="shared" si="122"/>
        <v>0</v>
      </c>
      <c r="G188" s="558">
        <f t="shared" si="122"/>
        <v>0</v>
      </c>
      <c r="H188" s="558">
        <f t="shared" si="122"/>
        <v>0</v>
      </c>
      <c r="I188" s="785"/>
      <c r="J188" s="785"/>
      <c r="K188" s="785"/>
      <c r="L188" s="785"/>
      <c r="M188" s="785"/>
      <c r="N188" s="785"/>
      <c r="O188" s="785"/>
      <c r="P188" s="891"/>
      <c r="Q188" s="795"/>
      <c r="R188" s="795"/>
      <c r="S188" s="795"/>
      <c r="T188" s="795"/>
      <c r="U188" s="795"/>
      <c r="V188" s="795"/>
      <c r="AF188" s="254"/>
      <c r="AG188" s="254"/>
      <c r="AH188" s="254"/>
      <c r="AI188" s="254"/>
      <c r="AJ188" s="254"/>
    </row>
    <row r="189" spans="1:38" s="147" customFormat="1" x14ac:dyDescent="0.3">
      <c r="A189" s="726"/>
      <c r="B189" s="869"/>
      <c r="C189" s="1036"/>
      <c r="D189" s="634"/>
      <c r="E189" s="634"/>
      <c r="F189" s="634"/>
      <c r="G189" s="634"/>
      <c r="H189" s="634"/>
      <c r="I189" s="785"/>
      <c r="J189" s="785"/>
      <c r="K189" s="785"/>
      <c r="L189" s="785"/>
      <c r="M189" s="785"/>
      <c r="N189" s="785"/>
      <c r="O189" s="785"/>
      <c r="P189" s="891"/>
      <c r="Q189" s="795"/>
      <c r="R189" s="795"/>
      <c r="S189" s="795"/>
      <c r="T189" s="795"/>
      <c r="U189" s="795"/>
      <c r="V189" s="795"/>
      <c r="AF189" s="254"/>
      <c r="AG189" s="254"/>
      <c r="AH189" s="254"/>
      <c r="AI189" s="254"/>
      <c r="AJ189" s="254"/>
    </row>
    <row r="190" spans="1:38" x14ac:dyDescent="0.3">
      <c r="A190" s="728"/>
      <c r="B190" s="869" t="s">
        <v>1153</v>
      </c>
      <c r="C190" s="890"/>
      <c r="D190" s="350"/>
      <c r="E190" s="847"/>
      <c r="I190" s="133"/>
      <c r="J190" s="133"/>
      <c r="K190" s="133"/>
      <c r="L190" s="133"/>
      <c r="M190" s="133"/>
      <c r="N190" s="133"/>
      <c r="O190" s="133"/>
      <c r="P190" s="842"/>
      <c r="Q190" s="644"/>
      <c r="R190" s="644"/>
      <c r="S190" s="644"/>
      <c r="T190" s="644"/>
      <c r="U190" s="644"/>
      <c r="V190" s="644"/>
      <c r="AF190" s="233"/>
      <c r="AG190" s="233"/>
      <c r="AH190" s="233"/>
      <c r="AI190" s="233"/>
      <c r="AJ190" s="233"/>
    </row>
    <row r="191" spans="1:38" x14ac:dyDescent="0.3">
      <c r="A191" s="728"/>
      <c r="B191" s="274" t="s">
        <v>895</v>
      </c>
      <c r="C191" s="552"/>
      <c r="D191" s="647" t="s">
        <v>623</v>
      </c>
      <c r="E191" s="648" t="s">
        <v>624</v>
      </c>
      <c r="F191" s="647" t="s">
        <v>625</v>
      </c>
      <c r="G191" s="647" t="s">
        <v>626</v>
      </c>
      <c r="H191" s="648" t="s">
        <v>627</v>
      </c>
      <c r="I191" s="133"/>
      <c r="J191" s="133"/>
      <c r="K191" s="133"/>
      <c r="L191" s="133"/>
      <c r="M191" s="133"/>
      <c r="N191" s="133"/>
      <c r="O191" s="133"/>
      <c r="P191" s="842"/>
      <c r="Q191" s="644"/>
      <c r="R191" s="644"/>
      <c r="S191" s="644"/>
      <c r="T191" s="644"/>
      <c r="U191" s="644"/>
      <c r="V191" s="644"/>
      <c r="AF191" s="233"/>
      <c r="AG191" s="233"/>
      <c r="AH191" s="233"/>
      <c r="AI191" s="233"/>
      <c r="AJ191" s="233"/>
    </row>
    <row r="192" spans="1:38" x14ac:dyDescent="0.3">
      <c r="A192" s="728"/>
      <c r="B192" s="247" t="s">
        <v>906</v>
      </c>
      <c r="C192" s="548"/>
      <c r="D192" s="128">
        <f>'Inputs and eligible population'!G74*'Inputs and eligible population'!$G$96*'Inputs and eligible population'!$G$97/60</f>
        <v>0</v>
      </c>
      <c r="E192" s="128">
        <f>'Inputs and eligible population'!H74*'Inputs and eligible population'!$G$96*'Inputs and eligible population'!$G$97/60</f>
        <v>0</v>
      </c>
      <c r="F192" s="128">
        <f>'Inputs and eligible population'!I74*'Inputs and eligible population'!$G$96*'Inputs and eligible population'!$G$97/60</f>
        <v>0</v>
      </c>
      <c r="G192" s="128">
        <f>'Inputs and eligible population'!J74*'Inputs and eligible population'!$G$96*'Inputs and eligible population'!$G$97/60</f>
        <v>0</v>
      </c>
      <c r="H192" s="128">
        <f>'Inputs and eligible population'!K74*'Inputs and eligible population'!$G$96*'Inputs and eligible population'!$G$97/60</f>
        <v>0</v>
      </c>
      <c r="I192" s="133"/>
      <c r="J192" s="133"/>
      <c r="K192" s="133"/>
      <c r="L192" s="133"/>
      <c r="M192" s="133"/>
      <c r="N192" s="133"/>
      <c r="O192" s="133"/>
      <c r="P192" s="842"/>
      <c r="Q192" s="644"/>
      <c r="R192" s="644"/>
      <c r="S192" s="644"/>
      <c r="T192" s="644"/>
      <c r="U192" s="644"/>
      <c r="V192" s="644"/>
      <c r="AF192" s="233"/>
      <c r="AG192" s="233"/>
      <c r="AH192" s="233"/>
      <c r="AI192" s="233"/>
      <c r="AJ192" s="233"/>
    </row>
    <row r="193" spans="1:36" x14ac:dyDescent="0.3">
      <c r="A193" s="728"/>
      <c r="B193" s="247" t="s">
        <v>907</v>
      </c>
      <c r="C193" s="548"/>
      <c r="D193" s="128">
        <f>'Inputs and eligible population'!G74*'Inputs and eligible population'!$G$98*'Inputs and eligible population'!$G$99/60</f>
        <v>0</v>
      </c>
      <c r="E193" s="128">
        <f>'Inputs and eligible population'!H74*'Inputs and eligible population'!$G$98*'Inputs and eligible population'!$G$99/60</f>
        <v>0</v>
      </c>
      <c r="F193" s="128">
        <f>'Inputs and eligible population'!I74*'Inputs and eligible population'!$G$98*'Inputs and eligible population'!$G$99/60</f>
        <v>0</v>
      </c>
      <c r="G193" s="128">
        <f>'Inputs and eligible population'!J74*'Inputs and eligible population'!$G$98*'Inputs and eligible population'!$G$99/60</f>
        <v>0</v>
      </c>
      <c r="H193" s="128">
        <f>'Inputs and eligible population'!K74*'Inputs and eligible population'!$G$98*'Inputs and eligible population'!$G$99/60</f>
        <v>0</v>
      </c>
      <c r="I193" s="133"/>
      <c r="J193" s="133"/>
      <c r="K193" s="133"/>
      <c r="L193" s="133"/>
      <c r="M193" s="133"/>
      <c r="N193" s="133"/>
      <c r="O193" s="133"/>
      <c r="P193" s="842"/>
      <c r="Q193" s="644"/>
      <c r="R193" s="644"/>
      <c r="S193" s="644"/>
      <c r="T193" s="644"/>
      <c r="U193" s="644"/>
      <c r="V193" s="644"/>
      <c r="AF193" s="233"/>
      <c r="AG193" s="233"/>
      <c r="AH193" s="233"/>
      <c r="AI193" s="233"/>
      <c r="AJ193" s="233"/>
    </row>
    <row r="194" spans="1:36" s="147" customFormat="1" x14ac:dyDescent="0.3">
      <c r="A194" s="726"/>
      <c r="B194" s="793" t="s">
        <v>908</v>
      </c>
      <c r="C194" s="794"/>
      <c r="D194" s="558">
        <f>SUM(D192:D193)</f>
        <v>0</v>
      </c>
      <c r="E194" s="558">
        <f t="shared" ref="E194:H194" si="123">SUM(E192:E193)</f>
        <v>0</v>
      </c>
      <c r="F194" s="558">
        <f t="shared" si="123"/>
        <v>0</v>
      </c>
      <c r="G194" s="558">
        <f t="shared" si="123"/>
        <v>0</v>
      </c>
      <c r="H194" s="558">
        <f t="shared" si="123"/>
        <v>0</v>
      </c>
      <c r="I194" s="785"/>
      <c r="J194" s="785"/>
      <c r="K194" s="785"/>
      <c r="L194" s="785"/>
      <c r="M194" s="785"/>
      <c r="N194" s="785"/>
      <c r="O194" s="785"/>
      <c r="P194" s="891"/>
      <c r="Q194" s="795"/>
      <c r="R194" s="795"/>
      <c r="S194" s="795"/>
      <c r="T194" s="795"/>
      <c r="U194" s="795"/>
      <c r="V194" s="795"/>
      <c r="AF194" s="254"/>
      <c r="AG194" s="254"/>
      <c r="AH194" s="254"/>
      <c r="AI194" s="254"/>
      <c r="AJ194" s="254"/>
    </row>
    <row r="195" spans="1:36" ht="15" thickBot="1" x14ac:dyDescent="0.35">
      <c r="A195" s="729"/>
      <c r="B195" s="737"/>
      <c r="C195" s="733"/>
      <c r="D195" s="733"/>
      <c r="E195" s="733"/>
      <c r="F195" s="733"/>
      <c r="G195" s="733"/>
      <c r="H195" s="733"/>
      <c r="I195" s="733"/>
      <c r="J195" s="733"/>
      <c r="K195" s="733"/>
      <c r="L195" s="733"/>
      <c r="M195" s="733"/>
      <c r="N195" s="733"/>
      <c r="O195" s="733"/>
      <c r="P195" s="734"/>
    </row>
  </sheetData>
  <sheetProtection algorithmName="SHA-512" hashValue="sOSiG4vpP6qCTuNh3Qm9rU0NjdfxAv7RR4T71+36MHcqnaYW3o3WsqihlO83wc6L0pd59H7Ibu7/YPD6YuSH7Q==" saltValue="Z7IRtpq0Gx2A1NniFXEOOg==" spinCount="100000" sheet="1" objects="1" scenarios="1"/>
  <pageMargins left="0.70866141732283472" right="0.70866141732283472" top="0.74803149606299213" bottom="0.74803149606299213" header="0.31496062992125984" footer="0.31496062992125984"/>
  <pageSetup paperSize="9" scale="24" fitToHeight="0" orientation="portrait" horizontalDpi="4294967293" r:id="rId1"/>
  <ignoredErrors>
    <ignoredError sqref="K33:O33"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I195"/>
  <sheetViews>
    <sheetView showGridLines="0" zoomScale="80" zoomScaleNormal="80" zoomScaleSheetLayoutView="30" workbookViewId="0"/>
  </sheetViews>
  <sheetFormatPr defaultColWidth="8.77734375" defaultRowHeight="14.4" x14ac:dyDescent="0.3"/>
  <cols>
    <col min="1" max="1" width="3.5546875" customWidth="1"/>
    <col min="2" max="2" width="56.5546875" style="1" customWidth="1"/>
    <col min="3" max="3" width="21" customWidth="1"/>
    <col min="4" max="8" width="12.5546875" customWidth="1"/>
    <col min="9" max="9" width="1.77734375" customWidth="1"/>
    <col min="10" max="10" width="12.21875" customWidth="1"/>
    <col min="11" max="16" width="11.5546875" customWidth="1"/>
    <col min="17" max="30" width="0" style="133" hidden="1" customWidth="1"/>
    <col min="31" max="31" width="8.77734375" style="133"/>
  </cols>
  <sheetData>
    <row r="1" spans="2:31" ht="30" customHeight="1" x14ac:dyDescent="0.3">
      <c r="B1" s="345" t="str">
        <f>'Inputs and eligible population'!B1</f>
        <v>AposHealth for osteoarthritis of the knee</v>
      </c>
      <c r="C1" s="127"/>
      <c r="D1" s="127"/>
      <c r="E1" s="127"/>
      <c r="F1" s="127"/>
      <c r="G1" s="127"/>
      <c r="H1" s="127"/>
      <c r="I1" s="127"/>
      <c r="J1" s="127"/>
      <c r="K1" s="127"/>
      <c r="L1" s="127"/>
      <c r="M1" s="127"/>
      <c r="N1" s="127"/>
      <c r="O1" s="127"/>
      <c r="P1" s="127"/>
    </row>
    <row r="2" spans="2:31" ht="42.6" customHeight="1" x14ac:dyDescent="0.3">
      <c r="B2" s="188" t="s">
        <v>911</v>
      </c>
      <c r="C2" s="127" t="s">
        <v>763</v>
      </c>
      <c r="D2" s="127" t="s">
        <v>763</v>
      </c>
      <c r="E2" s="127" t="s">
        <v>763</v>
      </c>
      <c r="F2" s="127" t="s">
        <v>763</v>
      </c>
      <c r="G2" s="127" t="s">
        <v>763</v>
      </c>
      <c r="H2" s="127" t="s">
        <v>763</v>
      </c>
      <c r="I2" s="127" t="s">
        <v>763</v>
      </c>
      <c r="J2" s="127"/>
      <c r="K2" s="127" t="s">
        <v>763</v>
      </c>
      <c r="L2" s="127" t="s">
        <v>763</v>
      </c>
      <c r="M2" s="127" t="s">
        <v>763</v>
      </c>
      <c r="N2" s="127" t="s">
        <v>763</v>
      </c>
      <c r="O2" s="127"/>
      <c r="P2" s="127"/>
    </row>
    <row r="3" spans="2:31" ht="14.85" customHeight="1" x14ac:dyDescent="0.3">
      <c r="B3" s="130" t="s">
        <v>763</v>
      </c>
      <c r="C3" s="133" t="s">
        <v>763</v>
      </c>
      <c r="D3" s="133" t="s">
        <v>763</v>
      </c>
      <c r="E3" s="133" t="s">
        <v>763</v>
      </c>
      <c r="F3" s="133" t="s">
        <v>763</v>
      </c>
      <c r="G3" s="133" t="s">
        <v>763</v>
      </c>
      <c r="H3" s="133" t="s">
        <v>763</v>
      </c>
      <c r="I3" s="133" t="s">
        <v>763</v>
      </c>
      <c r="J3" s="133"/>
      <c r="K3" s="133" t="s">
        <v>763</v>
      </c>
      <c r="L3" s="133" t="s">
        <v>763</v>
      </c>
      <c r="M3" s="133" t="s">
        <v>763</v>
      </c>
      <c r="N3" s="133" t="s">
        <v>763</v>
      </c>
      <c r="O3" s="133"/>
      <c r="P3" s="133"/>
    </row>
    <row r="4" spans="2:31" ht="14.85" customHeight="1" x14ac:dyDescent="0.3">
      <c r="B4" t="s">
        <v>874</v>
      </c>
      <c r="C4" s="133"/>
      <c r="D4" s="133"/>
      <c r="E4" s="133"/>
      <c r="F4" s="133"/>
      <c r="G4" s="133"/>
      <c r="H4" s="133"/>
      <c r="I4" s="133"/>
      <c r="J4" s="133"/>
      <c r="K4" s="133"/>
      <c r="L4" s="133"/>
      <c r="M4" s="133"/>
      <c r="N4" s="133"/>
      <c r="O4" s="133"/>
      <c r="P4" s="133"/>
    </row>
    <row r="5" spans="2:31" ht="14.85" customHeight="1" x14ac:dyDescent="0.3">
      <c r="B5" s="5"/>
      <c r="E5" s="133"/>
      <c r="F5" s="133"/>
      <c r="G5" s="133"/>
      <c r="H5" s="133"/>
      <c r="I5" s="133"/>
      <c r="J5" s="133"/>
      <c r="K5" s="133"/>
      <c r="L5" s="133"/>
      <c r="M5" s="133"/>
      <c r="N5" s="133"/>
      <c r="O5" s="133"/>
      <c r="P5" s="133"/>
    </row>
    <row r="6" spans="2:31" x14ac:dyDescent="0.3">
      <c r="B6" s="213" t="s">
        <v>692</v>
      </c>
      <c r="C6" s="550"/>
      <c r="D6" s="647" t="s">
        <v>623</v>
      </c>
      <c r="E6" s="649"/>
      <c r="F6" s="649"/>
      <c r="G6" s="649"/>
      <c r="H6" s="649"/>
      <c r="K6" s="647" t="s">
        <v>623</v>
      </c>
      <c r="L6" s="648" t="s">
        <v>624</v>
      </c>
      <c r="M6" s="647" t="s">
        <v>625</v>
      </c>
      <c r="N6" s="647" t="s">
        <v>626</v>
      </c>
      <c r="O6" s="648" t="s">
        <v>627</v>
      </c>
      <c r="P6" s="133"/>
      <c r="Y6" s="902"/>
      <c r="Z6" s="902"/>
      <c r="AA6" s="902"/>
      <c r="AB6" s="902"/>
      <c r="AC6" s="902"/>
    </row>
    <row r="7" spans="2:31" ht="14.85" customHeight="1" x14ac:dyDescent="0.3">
      <c r="B7" s="549" t="s">
        <v>692</v>
      </c>
      <c r="C7" s="547"/>
      <c r="D7" s="172">
        <f>'Inputs and eligible population'!F44</f>
        <v>100</v>
      </c>
      <c r="E7" s="254"/>
      <c r="F7" s="254"/>
      <c r="G7" s="254"/>
      <c r="H7" s="254"/>
      <c r="N7" s="133"/>
      <c r="O7" s="133"/>
      <c r="P7" s="133"/>
      <c r="Y7" s="902"/>
      <c r="Z7" s="902"/>
      <c r="AA7" s="902"/>
      <c r="AB7" s="902"/>
      <c r="AC7" s="902"/>
    </row>
    <row r="8" spans="2:31" ht="14.85" customHeight="1" x14ac:dyDescent="0.3">
      <c r="B8"/>
      <c r="N8" s="133"/>
      <c r="O8" s="133"/>
      <c r="P8" s="133"/>
      <c r="Y8" s="902"/>
      <c r="Z8" s="902"/>
      <c r="AA8" s="902"/>
      <c r="AB8" s="902"/>
      <c r="AC8" s="902"/>
    </row>
    <row r="9" spans="2:31" x14ac:dyDescent="0.3">
      <c r="B9" s="763" t="s">
        <v>875</v>
      </c>
      <c r="C9" s="764"/>
      <c r="D9" s="768" t="s">
        <v>623</v>
      </c>
      <c r="E9" s="769" t="s">
        <v>624</v>
      </c>
      <c r="F9" s="768" t="s">
        <v>625</v>
      </c>
      <c r="G9" s="768" t="s">
        <v>626</v>
      </c>
      <c r="H9" s="768" t="s">
        <v>627</v>
      </c>
      <c r="K9" s="765" t="s">
        <v>842</v>
      </c>
      <c r="L9" s="765" t="s">
        <v>842</v>
      </c>
      <c r="M9" s="765" t="s">
        <v>842</v>
      </c>
      <c r="N9" s="765" t="s">
        <v>842</v>
      </c>
      <c r="O9" s="765" t="s">
        <v>842</v>
      </c>
      <c r="P9" s="133"/>
      <c r="AA9" s="902"/>
      <c r="AB9" s="902"/>
      <c r="AC9" s="902"/>
      <c r="AD9" s="902"/>
      <c r="AE9" s="902"/>
    </row>
    <row r="10" spans="2:31" x14ac:dyDescent="0.3">
      <c r="B10" s="262" t="s">
        <v>876</v>
      </c>
      <c r="C10" s="263"/>
      <c r="D10" s="738"/>
      <c r="E10" s="739"/>
      <c r="F10" s="738"/>
      <c r="G10" s="738"/>
      <c r="H10" s="738"/>
      <c r="K10" s="744"/>
      <c r="L10" s="744"/>
      <c r="M10" s="744"/>
      <c r="N10" s="744"/>
      <c r="O10" s="744"/>
      <c r="P10" s="133"/>
      <c r="AA10" s="902"/>
      <c r="AB10" s="902"/>
      <c r="AC10" s="902"/>
      <c r="AD10" s="902"/>
      <c r="AE10" s="902"/>
    </row>
    <row r="11" spans="2:31" x14ac:dyDescent="0.3">
      <c r="B11" s="606" t="s">
        <v>1137</v>
      </c>
      <c r="C11" s="263"/>
      <c r="D11" s="796">
        <f>D26-D40</f>
        <v>-50</v>
      </c>
      <c r="E11" s="796">
        <f t="shared" ref="E11:H11" si="0">E26-E40</f>
        <v>-33.5</v>
      </c>
      <c r="F11" s="796">
        <f t="shared" si="0"/>
        <v>-22.445</v>
      </c>
      <c r="G11" s="796">
        <f t="shared" si="0"/>
        <v>-15.03815</v>
      </c>
      <c r="H11" s="796">
        <f t="shared" si="0"/>
        <v>-10.0755605</v>
      </c>
      <c r="K11" s="325">
        <f>K26-K40</f>
        <v>0</v>
      </c>
      <c r="L11" s="325">
        <f t="shared" ref="L11:O11" si="1">L26-L40</f>
        <v>0</v>
      </c>
      <c r="M11" s="325">
        <f t="shared" si="1"/>
        <v>0</v>
      </c>
      <c r="N11" s="325">
        <f t="shared" si="1"/>
        <v>0</v>
      </c>
      <c r="O11" s="325">
        <f t="shared" si="1"/>
        <v>0</v>
      </c>
      <c r="P11" s="133"/>
      <c r="AA11" s="902"/>
      <c r="AB11" s="902"/>
      <c r="AC11" s="902"/>
      <c r="AD11" s="902"/>
      <c r="AE11" s="902"/>
    </row>
    <row r="12" spans="2:31" x14ac:dyDescent="0.3">
      <c r="B12" s="606" t="s">
        <v>1138</v>
      </c>
      <c r="C12" s="263"/>
      <c r="D12" s="796">
        <f>D27-D41</f>
        <v>0</v>
      </c>
      <c r="E12" s="796">
        <f t="shared" ref="E12:H12" si="2">E27-E41</f>
        <v>0</v>
      </c>
      <c r="F12" s="796">
        <f t="shared" si="2"/>
        <v>0</v>
      </c>
      <c r="G12" s="796">
        <f t="shared" si="2"/>
        <v>0</v>
      </c>
      <c r="H12" s="796">
        <f t="shared" si="2"/>
        <v>0</v>
      </c>
      <c r="K12" s="325">
        <f>K27-K41</f>
        <v>0</v>
      </c>
      <c r="L12" s="325">
        <f t="shared" ref="L12:O12" si="3">L27-L41</f>
        <v>0</v>
      </c>
      <c r="M12" s="325">
        <f t="shared" si="3"/>
        <v>0</v>
      </c>
      <c r="N12" s="325">
        <f t="shared" si="3"/>
        <v>0</v>
      </c>
      <c r="O12" s="325">
        <f t="shared" si="3"/>
        <v>0</v>
      </c>
      <c r="P12" s="133"/>
      <c r="AA12" s="902"/>
      <c r="AB12" s="902"/>
      <c r="AC12" s="902"/>
      <c r="AD12" s="902"/>
      <c r="AE12" s="902"/>
    </row>
    <row r="13" spans="2:31" x14ac:dyDescent="0.3">
      <c r="B13" s="606" t="s">
        <v>877</v>
      </c>
      <c r="C13" s="760"/>
      <c r="D13" s="796">
        <f>D74</f>
        <v>0</v>
      </c>
      <c r="E13" s="796">
        <f t="shared" ref="E13:H13" si="4">E74</f>
        <v>0</v>
      </c>
      <c r="F13" s="796">
        <f t="shared" si="4"/>
        <v>0</v>
      </c>
      <c r="G13" s="796">
        <f t="shared" si="4"/>
        <v>0</v>
      </c>
      <c r="H13" s="796">
        <f t="shared" si="4"/>
        <v>0</v>
      </c>
      <c r="K13" s="639">
        <f>K28-K42</f>
        <v>0</v>
      </c>
      <c r="L13" s="639">
        <f t="shared" ref="L13:O14" si="5">L28-L42</f>
        <v>0</v>
      </c>
      <c r="M13" s="639">
        <f t="shared" si="5"/>
        <v>0</v>
      </c>
      <c r="N13" s="639">
        <f t="shared" si="5"/>
        <v>0</v>
      </c>
      <c r="O13" s="639">
        <f t="shared" si="5"/>
        <v>0</v>
      </c>
      <c r="P13" s="133"/>
      <c r="AA13" s="902"/>
      <c r="AB13" s="902"/>
      <c r="AC13" s="902"/>
      <c r="AD13" s="902"/>
      <c r="AE13" s="902"/>
    </row>
    <row r="14" spans="2:31" x14ac:dyDescent="0.3">
      <c r="B14" s="606" t="s">
        <v>878</v>
      </c>
      <c r="C14" s="760"/>
      <c r="D14" s="796">
        <f>D80</f>
        <v>0</v>
      </c>
      <c r="E14" s="796">
        <f t="shared" ref="E14:H14" si="6">E80</f>
        <v>0</v>
      </c>
      <c r="F14" s="796">
        <f t="shared" si="6"/>
        <v>0</v>
      </c>
      <c r="G14" s="796">
        <f t="shared" si="6"/>
        <v>0</v>
      </c>
      <c r="H14" s="796">
        <f t="shared" si="6"/>
        <v>0</v>
      </c>
      <c r="K14" s="325">
        <f>K29-K43</f>
        <v>0</v>
      </c>
      <c r="L14" s="325">
        <f t="shared" si="5"/>
        <v>0</v>
      </c>
      <c r="M14" s="325">
        <f t="shared" si="5"/>
        <v>0</v>
      </c>
      <c r="N14" s="325">
        <f t="shared" si="5"/>
        <v>0</v>
      </c>
      <c r="O14" s="325">
        <f t="shared" si="5"/>
        <v>0</v>
      </c>
      <c r="P14" s="133"/>
      <c r="AA14" s="902"/>
      <c r="AB14" s="902"/>
      <c r="AC14" s="902"/>
      <c r="AD14" s="902"/>
      <c r="AE14" s="902"/>
    </row>
    <row r="15" spans="2:31" x14ac:dyDescent="0.3">
      <c r="B15" s="606" t="s">
        <v>879</v>
      </c>
      <c r="C15" s="760"/>
      <c r="D15" s="796">
        <f>D30-D44</f>
        <v>0</v>
      </c>
      <c r="E15" s="796">
        <f>E30-E44</f>
        <v>0</v>
      </c>
      <c r="F15" s="796">
        <f>F30-F44</f>
        <v>0</v>
      </c>
      <c r="G15" s="796">
        <f>G30-G44</f>
        <v>0</v>
      </c>
      <c r="H15" s="796">
        <f>H30-H44</f>
        <v>0</v>
      </c>
      <c r="K15" s="893"/>
      <c r="L15" s="893"/>
      <c r="M15" s="893"/>
      <c r="N15" s="893"/>
      <c r="O15" s="893"/>
      <c r="P15" s="133"/>
      <c r="AA15" s="902"/>
      <c r="AB15" s="902"/>
      <c r="AC15" s="902"/>
      <c r="AD15" s="902"/>
      <c r="AE15" s="902"/>
    </row>
    <row r="16" spans="2:31" x14ac:dyDescent="0.3">
      <c r="B16" s="606" t="s">
        <v>1156</v>
      </c>
      <c r="C16" s="760"/>
      <c r="D16" s="796">
        <f t="shared" ref="D16:D22" si="7">D31-D45</f>
        <v>0</v>
      </c>
      <c r="E16" s="796">
        <f t="shared" ref="E16:H16" si="8">E31-E45</f>
        <v>0</v>
      </c>
      <c r="F16" s="796">
        <f t="shared" si="8"/>
        <v>0</v>
      </c>
      <c r="G16" s="796">
        <f t="shared" si="8"/>
        <v>0</v>
      </c>
      <c r="H16" s="796">
        <f t="shared" si="8"/>
        <v>0</v>
      </c>
      <c r="K16" s="893"/>
      <c r="L16" s="893"/>
      <c r="M16" s="893"/>
      <c r="N16" s="893"/>
      <c r="O16" s="893"/>
      <c r="P16" s="133"/>
      <c r="AA16" s="902"/>
      <c r="AB16" s="902"/>
      <c r="AC16" s="902"/>
      <c r="AD16" s="902"/>
      <c r="AE16" s="902"/>
    </row>
    <row r="17" spans="1:31" ht="15" customHeight="1" x14ac:dyDescent="0.3">
      <c r="B17" s="606" t="s">
        <v>880</v>
      </c>
      <c r="C17" s="760"/>
      <c r="D17" s="512">
        <f t="shared" si="7"/>
        <v>-24.604331999999996</v>
      </c>
      <c r="E17" s="512">
        <f t="shared" ref="E17:H21" si="9">E32-E46</f>
        <v>-14.19102439584</v>
      </c>
      <c r="F17" s="512">
        <f t="shared" si="9"/>
        <v>-7.4134004255294226</v>
      </c>
      <c r="G17" s="512">
        <f t="shared" si="9"/>
        <v>-3.0543699901234254</v>
      </c>
      <c r="H17" s="512">
        <f t="shared" si="9"/>
        <v>-0.29998700706938308</v>
      </c>
      <c r="K17" s="639">
        <f t="shared" ref="K17:O20" si="10">K32-K46</f>
        <v>-242.9009953131428</v>
      </c>
      <c r="L17" s="639">
        <f t="shared" si="10"/>
        <v>-140.09784741413125</v>
      </c>
      <c r="M17" s="639">
        <f t="shared" si="10"/>
        <v>-73.187207115233747</v>
      </c>
      <c r="N17" s="639">
        <f t="shared" si="10"/>
        <v>-30.153613219638487</v>
      </c>
      <c r="O17" s="639">
        <f t="shared" si="10"/>
        <v>-2.9615574443623984</v>
      </c>
      <c r="P17" s="133"/>
      <c r="AA17" s="902"/>
      <c r="AB17" s="902"/>
      <c r="AC17" s="902"/>
      <c r="AD17" s="902"/>
      <c r="AE17" s="902"/>
    </row>
    <row r="18" spans="1:31" ht="15" customHeight="1" x14ac:dyDescent="0.3">
      <c r="B18" s="606" t="s">
        <v>881</v>
      </c>
      <c r="C18" s="760"/>
      <c r="D18" s="512">
        <f t="shared" si="7"/>
        <v>-24.604331999999996</v>
      </c>
      <c r="E18" s="512">
        <f t="shared" si="9"/>
        <v>-14.19102439584</v>
      </c>
      <c r="F18" s="512">
        <f t="shared" si="9"/>
        <v>-7.4134004255294226</v>
      </c>
      <c r="G18" s="512">
        <f t="shared" si="9"/>
        <v>-3.0543699901234254</v>
      </c>
      <c r="H18" s="512">
        <f t="shared" si="9"/>
        <v>-0.29998700706938308</v>
      </c>
      <c r="K18" s="639">
        <f>K33-K47</f>
        <v>-4.4533840919999994</v>
      </c>
      <c r="L18" s="639">
        <f t="shared" si="10"/>
        <v>-2.56857541564704</v>
      </c>
      <c r="M18" s="639">
        <f t="shared" si="10"/>
        <v>-1.3418254770208253</v>
      </c>
      <c r="N18" s="639">
        <f t="shared" si="10"/>
        <v>-0.55284096821234008</v>
      </c>
      <c r="O18" s="639">
        <f t="shared" si="10"/>
        <v>-5.4297648279558297E-2</v>
      </c>
      <c r="P18" s="133"/>
      <c r="AA18" s="902"/>
      <c r="AB18" s="902"/>
      <c r="AC18" s="902"/>
      <c r="AD18" s="902"/>
      <c r="AE18" s="902"/>
    </row>
    <row r="19" spans="1:31" ht="15" customHeight="1" x14ac:dyDescent="0.3">
      <c r="B19" s="606" t="s">
        <v>882</v>
      </c>
      <c r="C19" s="760"/>
      <c r="D19" s="512">
        <f t="shared" si="7"/>
        <v>0</v>
      </c>
      <c r="E19" s="512">
        <f t="shared" si="9"/>
        <v>0</v>
      </c>
      <c r="F19" s="512">
        <f t="shared" si="9"/>
        <v>0</v>
      </c>
      <c r="G19" s="512">
        <f t="shared" si="9"/>
        <v>0</v>
      </c>
      <c r="H19" s="512">
        <f t="shared" si="9"/>
        <v>0</v>
      </c>
      <c r="K19" s="639">
        <f t="shared" si="10"/>
        <v>0</v>
      </c>
      <c r="L19" s="639">
        <f t="shared" si="10"/>
        <v>0</v>
      </c>
      <c r="M19" s="639">
        <f t="shared" si="10"/>
        <v>0</v>
      </c>
      <c r="N19" s="639">
        <f t="shared" si="10"/>
        <v>0</v>
      </c>
      <c r="O19" s="639">
        <f t="shared" si="10"/>
        <v>0</v>
      </c>
      <c r="P19" s="133"/>
      <c r="AA19" s="902"/>
      <c r="AB19" s="902"/>
      <c r="AC19" s="902"/>
      <c r="AD19" s="902"/>
      <c r="AE19" s="902"/>
    </row>
    <row r="20" spans="1:31" ht="15" customHeight="1" x14ac:dyDescent="0.3">
      <c r="B20" s="606" t="s">
        <v>883</v>
      </c>
      <c r="C20" s="760"/>
      <c r="D20" s="512">
        <f t="shared" si="7"/>
        <v>0</v>
      </c>
      <c r="E20" s="512">
        <f t="shared" si="9"/>
        <v>0</v>
      </c>
      <c r="F20" s="512">
        <f t="shared" si="9"/>
        <v>0</v>
      </c>
      <c r="G20" s="512">
        <f t="shared" si="9"/>
        <v>0</v>
      </c>
      <c r="H20" s="512">
        <f t="shared" si="9"/>
        <v>0</v>
      </c>
      <c r="K20" s="639">
        <f t="shared" si="10"/>
        <v>0</v>
      </c>
      <c r="L20" s="639">
        <f t="shared" si="10"/>
        <v>0</v>
      </c>
      <c r="M20" s="639">
        <f t="shared" si="10"/>
        <v>0</v>
      </c>
      <c r="N20" s="639">
        <f t="shared" si="10"/>
        <v>0</v>
      </c>
      <c r="O20" s="639">
        <f t="shared" si="10"/>
        <v>0</v>
      </c>
      <c r="P20" s="133"/>
      <c r="AA20" s="902"/>
      <c r="AB20" s="902"/>
      <c r="AC20" s="902"/>
      <c r="AD20" s="902"/>
      <c r="AE20" s="902"/>
    </row>
    <row r="21" spans="1:31" ht="15" customHeight="1" x14ac:dyDescent="0.3">
      <c r="B21" s="606" t="s">
        <v>884</v>
      </c>
      <c r="C21" s="760"/>
      <c r="D21" s="512">
        <f t="shared" si="7"/>
        <v>-86.87672465714283</v>
      </c>
      <c r="E21" s="512">
        <f t="shared" si="9"/>
        <v>-50.107831378644569</v>
      </c>
      <c r="F21" s="512">
        <f t="shared" si="9"/>
        <v>-26.176363883476501</v>
      </c>
      <c r="G21" s="512">
        <f t="shared" si="9"/>
        <v>-10.784834988935806</v>
      </c>
      <c r="H21" s="512">
        <f t="shared" si="9"/>
        <v>-1.0592398368664178</v>
      </c>
      <c r="K21" s="761"/>
      <c r="L21" s="762"/>
      <c r="M21" s="762"/>
      <c r="N21" s="762"/>
      <c r="O21" s="762"/>
      <c r="P21" s="133"/>
      <c r="AA21" s="902"/>
      <c r="AB21" s="902"/>
      <c r="AC21" s="902"/>
      <c r="AD21" s="902"/>
      <c r="AE21" s="902"/>
    </row>
    <row r="22" spans="1:31" ht="15" customHeight="1" x14ac:dyDescent="0.3">
      <c r="B22" s="606" t="s">
        <v>1139</v>
      </c>
      <c r="C22" s="760"/>
      <c r="D22" s="750">
        <f t="shared" si="7"/>
        <v>0</v>
      </c>
      <c r="E22" s="750">
        <f t="shared" ref="E22:H22" si="11">E37-E51</f>
        <v>0</v>
      </c>
      <c r="F22" s="750">
        <f t="shared" si="11"/>
        <v>0</v>
      </c>
      <c r="G22" s="750">
        <f t="shared" si="11"/>
        <v>0</v>
      </c>
      <c r="H22" s="750">
        <f t="shared" si="11"/>
        <v>0</v>
      </c>
      <c r="K22" s="971">
        <f>K37-K51</f>
        <v>0</v>
      </c>
      <c r="L22" s="971">
        <f t="shared" ref="L22:O22" si="12">L37-L51</f>
        <v>0</v>
      </c>
      <c r="M22" s="971">
        <f t="shared" si="12"/>
        <v>0</v>
      </c>
      <c r="N22" s="971">
        <f t="shared" si="12"/>
        <v>0</v>
      </c>
      <c r="O22" s="971">
        <f t="shared" si="12"/>
        <v>0</v>
      </c>
      <c r="P22" s="133"/>
      <c r="AA22" s="902"/>
      <c r="AB22" s="902"/>
      <c r="AC22" s="902"/>
      <c r="AD22" s="902"/>
      <c r="AE22" s="902"/>
    </row>
    <row r="23" spans="1:31" ht="15" customHeight="1" thickBot="1" x14ac:dyDescent="0.35">
      <c r="B23" s="262" t="s">
        <v>885</v>
      </c>
      <c r="C23" s="263"/>
      <c r="D23" s="757"/>
      <c r="E23" s="758"/>
      <c r="F23" s="757"/>
      <c r="G23" s="757"/>
      <c r="H23" s="757"/>
      <c r="I23" s="147"/>
      <c r="J23" s="147"/>
      <c r="K23" s="759">
        <f>SUM(K13:K21)</f>
        <v>-247.35437940514279</v>
      </c>
      <c r="L23" s="759">
        <f t="shared" ref="L23:O23" si="13">SUM(L13:L21)</f>
        <v>-142.6664228297783</v>
      </c>
      <c r="M23" s="759">
        <f t="shared" si="13"/>
        <v>-74.529032592254566</v>
      </c>
      <c r="N23" s="759">
        <f t="shared" si="13"/>
        <v>-30.706454187850827</v>
      </c>
      <c r="O23" s="759">
        <f t="shared" si="13"/>
        <v>-3.0158550926419565</v>
      </c>
      <c r="P23" s="133"/>
      <c r="AA23" s="902"/>
      <c r="AB23" s="902"/>
      <c r="AC23" s="902"/>
      <c r="AD23" s="902"/>
      <c r="AE23" s="902"/>
    </row>
    <row r="24" spans="1:31" ht="15" customHeight="1" x14ac:dyDescent="0.3">
      <c r="B24" s="262"/>
      <c r="C24" s="263"/>
      <c r="D24" s="751"/>
      <c r="E24" s="752"/>
      <c r="F24" s="751"/>
      <c r="G24" s="751"/>
      <c r="H24" s="751"/>
      <c r="K24" s="748"/>
      <c r="L24" s="748"/>
      <c r="M24" s="748"/>
      <c r="N24" s="748"/>
      <c r="O24" s="748"/>
      <c r="P24" s="133"/>
      <c r="AA24" s="902"/>
      <c r="AB24" s="902"/>
      <c r="AC24" s="902"/>
      <c r="AD24" s="902"/>
      <c r="AE24" s="902"/>
    </row>
    <row r="25" spans="1:31" ht="15" customHeight="1" x14ac:dyDescent="0.3">
      <c r="B25" s="262" t="s">
        <v>886</v>
      </c>
      <c r="C25" s="263"/>
      <c r="D25" s="738"/>
      <c r="E25" s="739"/>
      <c r="F25" s="738"/>
      <c r="G25" s="738"/>
      <c r="H25" s="738"/>
      <c r="K25" s="744"/>
      <c r="L25" s="744"/>
      <c r="M25" s="744"/>
      <c r="N25" s="744"/>
      <c r="O25" s="744"/>
      <c r="P25" s="133"/>
      <c r="AA25" s="902"/>
      <c r="AB25" s="902"/>
      <c r="AC25" s="902"/>
      <c r="AD25" s="902"/>
      <c r="AE25" s="902"/>
    </row>
    <row r="26" spans="1:31" ht="15" customHeight="1" x14ac:dyDescent="0.3">
      <c r="A26" s="1005"/>
      <c r="B26" s="1032" t="s">
        <v>1135</v>
      </c>
      <c r="C26" s="994"/>
      <c r="D26" s="796">
        <f>D61</f>
        <v>0</v>
      </c>
      <c r="E26" s="796">
        <f t="shared" ref="E26:H26" si="14">E61</f>
        <v>0</v>
      </c>
      <c r="F26" s="796">
        <f t="shared" si="14"/>
        <v>0</v>
      </c>
      <c r="G26" s="796">
        <f t="shared" si="14"/>
        <v>0</v>
      </c>
      <c r="H26" s="796">
        <f t="shared" si="14"/>
        <v>0</v>
      </c>
      <c r="K26" s="325">
        <f>K61</f>
        <v>0</v>
      </c>
      <c r="L26" s="325">
        <f t="shared" ref="L26:O26" si="15">L61</f>
        <v>0</v>
      </c>
      <c r="M26" s="325">
        <f t="shared" si="15"/>
        <v>0</v>
      </c>
      <c r="N26" s="325">
        <f t="shared" si="15"/>
        <v>0</v>
      </c>
      <c r="O26" s="325">
        <f t="shared" si="15"/>
        <v>0</v>
      </c>
      <c r="P26" s="133"/>
      <c r="AA26" s="902"/>
      <c r="AB26" s="902"/>
      <c r="AC26" s="902"/>
      <c r="AD26" s="902"/>
      <c r="AE26" s="902"/>
    </row>
    <row r="27" spans="1:31" ht="15" customHeight="1" x14ac:dyDescent="0.3">
      <c r="A27" s="1005"/>
      <c r="B27" s="1032" t="s">
        <v>1136</v>
      </c>
      <c r="C27" s="994"/>
      <c r="D27" s="796">
        <f>D67</f>
        <v>0</v>
      </c>
      <c r="E27" s="796">
        <f t="shared" ref="E27:H27" si="16">E67</f>
        <v>0</v>
      </c>
      <c r="F27" s="796">
        <f t="shared" si="16"/>
        <v>0</v>
      </c>
      <c r="G27" s="796">
        <f t="shared" si="16"/>
        <v>0</v>
      </c>
      <c r="H27" s="796">
        <f t="shared" si="16"/>
        <v>0</v>
      </c>
      <c r="K27" s="325">
        <f>K67</f>
        <v>0</v>
      </c>
      <c r="L27" s="325">
        <f t="shared" ref="L27:O27" si="17">L67</f>
        <v>0</v>
      </c>
      <c r="M27" s="325">
        <f t="shared" si="17"/>
        <v>0</v>
      </c>
      <c r="N27" s="325">
        <f t="shared" si="17"/>
        <v>0</v>
      </c>
      <c r="O27" s="325">
        <f t="shared" si="17"/>
        <v>0</v>
      </c>
      <c r="P27" s="133"/>
      <c r="AA27" s="902"/>
      <c r="AB27" s="902"/>
      <c r="AC27" s="902"/>
      <c r="AD27" s="902"/>
      <c r="AE27" s="902"/>
    </row>
    <row r="28" spans="1:31" ht="15" customHeight="1" x14ac:dyDescent="0.3">
      <c r="A28" s="797"/>
      <c r="B28" s="798" t="s">
        <v>887</v>
      </c>
      <c r="C28" s="799"/>
      <c r="D28" s="796">
        <f>D74</f>
        <v>0</v>
      </c>
      <c r="E28" s="796">
        <f t="shared" ref="E28:H28" si="18">E74</f>
        <v>0</v>
      </c>
      <c r="F28" s="796">
        <f t="shared" si="18"/>
        <v>0</v>
      </c>
      <c r="G28" s="796">
        <f t="shared" si="18"/>
        <v>0</v>
      </c>
      <c r="H28" s="796">
        <f t="shared" si="18"/>
        <v>0</v>
      </c>
      <c r="K28" s="325">
        <f>K74</f>
        <v>0</v>
      </c>
      <c r="L28" s="325">
        <f t="shared" ref="L28:O28" si="19">L74</f>
        <v>0</v>
      </c>
      <c r="M28" s="325">
        <f t="shared" si="19"/>
        <v>0</v>
      </c>
      <c r="N28" s="325">
        <f t="shared" si="19"/>
        <v>0</v>
      </c>
      <c r="O28" s="325">
        <f t="shared" si="19"/>
        <v>0</v>
      </c>
      <c r="P28" s="133"/>
      <c r="AA28" s="902"/>
      <c r="AB28" s="902"/>
      <c r="AC28" s="902"/>
      <c r="AD28" s="902"/>
      <c r="AE28" s="902"/>
    </row>
    <row r="29" spans="1:31" ht="15" customHeight="1" x14ac:dyDescent="0.3">
      <c r="A29" s="797"/>
      <c r="B29" s="798" t="s">
        <v>888</v>
      </c>
      <c r="C29" s="799"/>
      <c r="D29" s="796">
        <f>D80</f>
        <v>0</v>
      </c>
      <c r="E29" s="796">
        <f t="shared" ref="E29:H29" si="20">E80</f>
        <v>0</v>
      </c>
      <c r="F29" s="796">
        <f t="shared" si="20"/>
        <v>0</v>
      </c>
      <c r="G29" s="796">
        <f t="shared" si="20"/>
        <v>0</v>
      </c>
      <c r="H29" s="796">
        <f t="shared" si="20"/>
        <v>0</v>
      </c>
      <c r="K29" s="325">
        <f>K80</f>
        <v>0</v>
      </c>
      <c r="L29" s="325">
        <f t="shared" ref="L29:O29" si="21">L80</f>
        <v>0</v>
      </c>
      <c r="M29" s="325">
        <f t="shared" si="21"/>
        <v>0</v>
      </c>
      <c r="N29" s="325">
        <f t="shared" si="21"/>
        <v>0</v>
      </c>
      <c r="O29" s="325">
        <f t="shared" si="21"/>
        <v>0</v>
      </c>
      <c r="P29" s="133"/>
      <c r="AA29" s="902"/>
      <c r="AB29" s="902"/>
      <c r="AC29" s="902"/>
      <c r="AD29" s="902"/>
      <c r="AE29" s="902"/>
    </row>
    <row r="30" spans="1:31" ht="15" customHeight="1" x14ac:dyDescent="0.3">
      <c r="A30" s="797"/>
      <c r="B30" s="798" t="s">
        <v>889</v>
      </c>
      <c r="C30" s="799"/>
      <c r="D30" s="796">
        <f>D125</f>
        <v>0</v>
      </c>
      <c r="E30" s="796">
        <f t="shared" ref="E30:H30" si="22">E125</f>
        <v>0</v>
      </c>
      <c r="F30" s="796">
        <f t="shared" si="22"/>
        <v>0</v>
      </c>
      <c r="G30" s="796">
        <f t="shared" si="22"/>
        <v>0</v>
      </c>
      <c r="H30" s="796">
        <f t="shared" si="22"/>
        <v>0</v>
      </c>
      <c r="K30" s="893"/>
      <c r="L30" s="893"/>
      <c r="M30" s="893"/>
      <c r="N30" s="893"/>
      <c r="O30" s="893"/>
      <c r="P30" s="133"/>
      <c r="AA30" s="902"/>
      <c r="AB30" s="902"/>
      <c r="AC30" s="902"/>
      <c r="AD30" s="902"/>
      <c r="AE30" s="902"/>
    </row>
    <row r="31" spans="1:31" ht="15" customHeight="1" x14ac:dyDescent="0.3">
      <c r="A31" s="797"/>
      <c r="B31" s="798" t="s">
        <v>1155</v>
      </c>
      <c r="C31" s="799"/>
      <c r="D31" s="796">
        <f>D131</f>
        <v>0</v>
      </c>
      <c r="E31" s="796">
        <f t="shared" ref="E31:H31" si="23">E131</f>
        <v>0</v>
      </c>
      <c r="F31" s="796">
        <f t="shared" si="23"/>
        <v>0</v>
      </c>
      <c r="G31" s="796">
        <f t="shared" si="23"/>
        <v>0</v>
      </c>
      <c r="H31" s="796">
        <f t="shared" si="23"/>
        <v>0</v>
      </c>
      <c r="K31" s="893"/>
      <c r="L31" s="893"/>
      <c r="M31" s="893"/>
      <c r="N31" s="893"/>
      <c r="O31" s="893"/>
      <c r="P31" s="133"/>
      <c r="AA31" s="902"/>
      <c r="AB31" s="902"/>
      <c r="AC31" s="902"/>
      <c r="AD31" s="902"/>
      <c r="AE31" s="902"/>
    </row>
    <row r="32" spans="1:31" ht="15" customHeight="1" x14ac:dyDescent="0.3">
      <c r="B32" s="159" t="str">
        <f>B82</f>
        <v>Number of people receiving knee  surgery</v>
      </c>
      <c r="C32" s="548"/>
      <c r="D32" s="128">
        <f>D86</f>
        <v>9.4351680000000009</v>
      </c>
      <c r="E32" s="128">
        <f>E86</f>
        <v>8.6154406041599998</v>
      </c>
      <c r="F32" s="128">
        <f>F86</f>
        <v>7.8669311244705789</v>
      </c>
      <c r="G32" s="128">
        <f>G86</f>
        <v>7.183452148376575</v>
      </c>
      <c r="H32" s="128">
        <f>H86</f>
        <v>6.5593538257256174</v>
      </c>
      <c r="K32" s="639">
        <f>K86</f>
        <v>93.146674258285714</v>
      </c>
      <c r="L32" s="639">
        <f>L86</f>
        <v>85.054091198725843</v>
      </c>
      <c r="M32" s="639">
        <f>M86</f>
        <v>77.664591755380542</v>
      </c>
      <c r="N32" s="639">
        <f>N86</f>
        <v>70.917092023673078</v>
      </c>
      <c r="O32" s="639">
        <f>O86</f>
        <v>64.755815068656347</v>
      </c>
      <c r="P32" s="133"/>
      <c r="AA32" s="902"/>
      <c r="AB32" s="902"/>
      <c r="AC32" s="902"/>
      <c r="AD32" s="902"/>
      <c r="AE32" s="902"/>
    </row>
    <row r="33" spans="1:31" ht="15" customHeight="1" x14ac:dyDescent="0.3">
      <c r="A33" s="566"/>
      <c r="B33" s="567" t="str">
        <f>B88 &amp; " (orthopaedic first attendances)"</f>
        <v>Number of appointments (orthopaedic first attendances)</v>
      </c>
      <c r="C33" s="568"/>
      <c r="D33" s="128">
        <f t="shared" ref="D33" si="24">D93</f>
        <v>9.4351680000000009</v>
      </c>
      <c r="E33" s="128">
        <f>E93</f>
        <v>8.6154406041599998</v>
      </c>
      <c r="F33" s="128">
        <f>F93</f>
        <v>7.8669311244705789</v>
      </c>
      <c r="G33" s="128">
        <f>G93</f>
        <v>7.183452148376575</v>
      </c>
      <c r="H33" s="128">
        <f>H93</f>
        <v>6.5593538257256174</v>
      </c>
      <c r="K33" s="234">
        <f t="shared" ref="K33:O33" si="25">K93</f>
        <v>1.7077654080000002</v>
      </c>
      <c r="L33" s="234">
        <f t="shared" si="25"/>
        <v>1.5593947493529599</v>
      </c>
      <c r="M33" s="234">
        <f t="shared" si="25"/>
        <v>1.4239145335291747</v>
      </c>
      <c r="N33" s="234">
        <f t="shared" si="25"/>
        <v>1.30020483885616</v>
      </c>
      <c r="O33" s="234">
        <f t="shared" si="25"/>
        <v>1.1872430424563367</v>
      </c>
      <c r="P33" s="133"/>
      <c r="AA33" s="902"/>
      <c r="AB33" s="902"/>
      <c r="AC33" s="902"/>
      <c r="AD33" s="902"/>
      <c r="AE33" s="902"/>
    </row>
    <row r="34" spans="1:31" ht="15" customHeight="1" x14ac:dyDescent="0.3">
      <c r="A34" s="569"/>
      <c r="B34" s="570" t="str">
        <f>B88 &amp; " (orthopaedic follow-up attendances)"</f>
        <v>Number of appointments (orthopaedic follow-up attendances)</v>
      </c>
      <c r="C34" s="571"/>
      <c r="D34" s="548">
        <f>D100</f>
        <v>0</v>
      </c>
      <c r="E34" s="548">
        <f>E100</f>
        <v>0</v>
      </c>
      <c r="F34" s="548">
        <f>F100</f>
        <v>0</v>
      </c>
      <c r="G34" s="548">
        <f>G100</f>
        <v>0</v>
      </c>
      <c r="H34" s="128">
        <f>H100</f>
        <v>0</v>
      </c>
      <c r="K34" s="234">
        <f>K100</f>
        <v>0</v>
      </c>
      <c r="L34" s="234">
        <f t="shared" ref="L34:O34" si="26">L100</f>
        <v>0</v>
      </c>
      <c r="M34" s="234">
        <f t="shared" si="26"/>
        <v>0</v>
      </c>
      <c r="N34" s="234">
        <f t="shared" si="26"/>
        <v>0</v>
      </c>
      <c r="O34" s="234">
        <f t="shared" si="26"/>
        <v>0</v>
      </c>
      <c r="P34" s="133"/>
      <c r="AA34" s="902"/>
      <c r="AB34" s="902"/>
      <c r="AC34" s="902"/>
      <c r="AD34" s="902"/>
      <c r="AE34" s="902"/>
    </row>
    <row r="35" spans="1:31" ht="15" customHeight="1" x14ac:dyDescent="0.3">
      <c r="A35" s="588"/>
      <c r="B35" s="590" t="str">
        <f>B102</f>
        <v>GP visits</v>
      </c>
      <c r="C35" s="591"/>
      <c r="D35" s="548">
        <f>D106</f>
        <v>0</v>
      </c>
      <c r="E35" s="548">
        <f>E106</f>
        <v>0</v>
      </c>
      <c r="F35" s="548">
        <f>F106</f>
        <v>0</v>
      </c>
      <c r="G35" s="548">
        <f>G106</f>
        <v>0</v>
      </c>
      <c r="H35" s="128">
        <f>H106</f>
        <v>0</v>
      </c>
      <c r="K35" s="234">
        <f t="shared" ref="K35:O35" si="27">K106</f>
        <v>0</v>
      </c>
      <c r="L35" s="234">
        <f t="shared" si="27"/>
        <v>0</v>
      </c>
      <c r="M35" s="234">
        <f t="shared" si="27"/>
        <v>0</v>
      </c>
      <c r="N35" s="234">
        <f t="shared" si="27"/>
        <v>0</v>
      </c>
      <c r="O35" s="234">
        <f t="shared" si="27"/>
        <v>0</v>
      </c>
      <c r="P35" s="133"/>
      <c r="AA35" s="902"/>
      <c r="AB35" s="902"/>
      <c r="AC35" s="902"/>
      <c r="AD35" s="902"/>
      <c r="AE35" s="902"/>
    </row>
    <row r="36" spans="1:31" ht="15" customHeight="1" x14ac:dyDescent="0.3">
      <c r="A36" s="692"/>
      <c r="B36" s="693" t="s">
        <v>890</v>
      </c>
      <c r="C36" s="694"/>
      <c r="D36" s="548">
        <f>D119</f>
        <v>33.315128914285715</v>
      </c>
      <c r="E36" s="548">
        <f>E119</f>
        <v>30.420710514212566</v>
      </c>
      <c r="F36" s="548">
        <f>F119</f>
        <v>27.777759184737778</v>
      </c>
      <c r="G36" s="548">
        <f>G119</f>
        <v>25.364427466767758</v>
      </c>
      <c r="H36" s="128">
        <f>H119</f>
        <v>23.160766008454974</v>
      </c>
      <c r="K36" s="703"/>
      <c r="L36" s="703"/>
      <c r="M36" s="703"/>
      <c r="N36" s="703"/>
      <c r="O36" s="703"/>
      <c r="P36" s="133"/>
      <c r="AA36" s="902"/>
      <c r="AB36" s="902"/>
      <c r="AC36" s="902"/>
      <c r="AD36" s="902"/>
      <c r="AE36" s="902"/>
    </row>
    <row r="37" spans="1:31" ht="15" customHeight="1" x14ac:dyDescent="0.3">
      <c r="B37" s="159" t="s">
        <v>1129</v>
      </c>
      <c r="C37" s="548"/>
      <c r="D37" s="548">
        <f>D113</f>
        <v>0</v>
      </c>
      <c r="E37" s="548">
        <f t="shared" ref="E37:H37" si="28">E113</f>
        <v>0</v>
      </c>
      <c r="F37" s="548">
        <f t="shared" si="28"/>
        <v>0</v>
      </c>
      <c r="G37" s="548">
        <f t="shared" si="28"/>
        <v>0</v>
      </c>
      <c r="H37" s="548">
        <f t="shared" si="28"/>
        <v>0</v>
      </c>
      <c r="K37" s="234">
        <f>K113</f>
        <v>0</v>
      </c>
      <c r="L37" s="234">
        <f t="shared" ref="L37:O37" si="29">L113</f>
        <v>0</v>
      </c>
      <c r="M37" s="234">
        <f t="shared" si="29"/>
        <v>0</v>
      </c>
      <c r="N37" s="234">
        <f t="shared" si="29"/>
        <v>0</v>
      </c>
      <c r="O37" s="234">
        <f t="shared" si="29"/>
        <v>0</v>
      </c>
      <c r="P37" s="133"/>
      <c r="AA37" s="902"/>
      <c r="AB37" s="902"/>
      <c r="AC37" s="902"/>
      <c r="AD37" s="902"/>
      <c r="AE37" s="902"/>
    </row>
    <row r="38" spans="1:31" ht="15" customHeight="1" x14ac:dyDescent="0.3">
      <c r="B38" s="159"/>
      <c r="C38" s="749"/>
      <c r="D38" s="548"/>
      <c r="E38" s="548"/>
      <c r="F38" s="548"/>
      <c r="G38" s="548"/>
      <c r="H38" s="128"/>
      <c r="K38" s="234"/>
      <c r="L38" s="234"/>
      <c r="M38" s="234"/>
      <c r="N38" s="234"/>
      <c r="O38" s="234"/>
      <c r="P38" s="133"/>
      <c r="AA38" s="902"/>
      <c r="AB38" s="902"/>
      <c r="AC38" s="902"/>
      <c r="AD38" s="902"/>
      <c r="AE38" s="902"/>
    </row>
    <row r="39" spans="1:31" ht="15" customHeight="1" x14ac:dyDescent="0.3">
      <c r="B39" s="262" t="s">
        <v>891</v>
      </c>
      <c r="C39" s="263"/>
      <c r="D39" s="796"/>
      <c r="E39" s="796"/>
      <c r="F39" s="796"/>
      <c r="G39" s="796"/>
      <c r="H39" s="796"/>
      <c r="K39" s="744"/>
      <c r="L39" s="744"/>
      <c r="M39" s="744"/>
      <c r="N39" s="744"/>
      <c r="O39" s="744"/>
      <c r="P39" s="133"/>
      <c r="AA39" s="902"/>
      <c r="AB39" s="902"/>
      <c r="AC39" s="902"/>
      <c r="AD39" s="902"/>
      <c r="AE39" s="902"/>
    </row>
    <row r="40" spans="1:31" ht="15" customHeight="1" x14ac:dyDescent="0.3">
      <c r="A40" s="1005"/>
      <c r="B40" s="1032" t="s">
        <v>1135</v>
      </c>
      <c r="C40" s="994"/>
      <c r="D40" s="796">
        <f>D150</f>
        <v>50</v>
      </c>
      <c r="E40" s="796">
        <f t="shared" ref="E40:H40" si="30">E150</f>
        <v>33.5</v>
      </c>
      <c r="F40" s="796">
        <f t="shared" si="30"/>
        <v>22.445</v>
      </c>
      <c r="G40" s="796">
        <f t="shared" si="30"/>
        <v>15.03815</v>
      </c>
      <c r="H40" s="796">
        <f t="shared" si="30"/>
        <v>10.0755605</v>
      </c>
      <c r="K40" s="325">
        <f>K140</f>
        <v>0</v>
      </c>
      <c r="L40" s="325">
        <f t="shared" ref="L40:O40" si="31">L140</f>
        <v>0</v>
      </c>
      <c r="M40" s="325">
        <f t="shared" si="31"/>
        <v>0</v>
      </c>
      <c r="N40" s="325">
        <f t="shared" si="31"/>
        <v>0</v>
      </c>
      <c r="O40" s="325">
        <f t="shared" si="31"/>
        <v>0</v>
      </c>
      <c r="P40" s="133"/>
      <c r="AA40" s="902"/>
      <c r="AB40" s="902"/>
      <c r="AC40" s="902"/>
      <c r="AD40" s="902"/>
      <c r="AE40" s="902"/>
    </row>
    <row r="41" spans="1:31" ht="15" customHeight="1" x14ac:dyDescent="0.3">
      <c r="A41" s="1005"/>
      <c r="B41" s="1032" t="s">
        <v>1136</v>
      </c>
      <c r="C41" s="994"/>
      <c r="D41" s="796">
        <f>D145</f>
        <v>0</v>
      </c>
      <c r="E41" s="796">
        <f t="shared" ref="E41:H41" si="32">E145</f>
        <v>0</v>
      </c>
      <c r="F41" s="796">
        <f t="shared" si="32"/>
        <v>0</v>
      </c>
      <c r="G41" s="796">
        <f t="shared" si="32"/>
        <v>0</v>
      </c>
      <c r="H41" s="796">
        <f t="shared" si="32"/>
        <v>0</v>
      </c>
      <c r="K41" s="325">
        <f>K145</f>
        <v>0</v>
      </c>
      <c r="L41" s="325">
        <f t="shared" ref="L41:O41" si="33">L145</f>
        <v>0</v>
      </c>
      <c r="M41" s="325">
        <f t="shared" si="33"/>
        <v>0</v>
      </c>
      <c r="N41" s="325">
        <f t="shared" si="33"/>
        <v>0</v>
      </c>
      <c r="O41" s="325">
        <f t="shared" si="33"/>
        <v>0</v>
      </c>
      <c r="P41" s="133"/>
      <c r="AA41" s="902"/>
      <c r="AB41" s="902"/>
      <c r="AC41" s="902"/>
      <c r="AD41" s="902"/>
      <c r="AE41" s="902"/>
    </row>
    <row r="42" spans="1:31" ht="15" customHeight="1" x14ac:dyDescent="0.3">
      <c r="A42" s="797"/>
      <c r="B42" s="798" t="s">
        <v>887</v>
      </c>
      <c r="C42" s="799"/>
      <c r="D42" s="796">
        <f>D150</f>
        <v>50</v>
      </c>
      <c r="E42" s="796">
        <f t="shared" ref="E42:H42" si="34">E150</f>
        <v>33.5</v>
      </c>
      <c r="F42" s="796">
        <f t="shared" si="34"/>
        <v>22.445</v>
      </c>
      <c r="G42" s="796">
        <f t="shared" si="34"/>
        <v>15.03815</v>
      </c>
      <c r="H42" s="796">
        <f t="shared" si="34"/>
        <v>10.0755605</v>
      </c>
      <c r="K42" s="325">
        <f>K150</f>
        <v>0</v>
      </c>
      <c r="L42" s="325">
        <f t="shared" ref="L42:O42" si="35">L150</f>
        <v>0</v>
      </c>
      <c r="M42" s="325">
        <f t="shared" si="35"/>
        <v>0</v>
      </c>
      <c r="N42" s="325">
        <f t="shared" si="35"/>
        <v>0</v>
      </c>
      <c r="O42" s="325">
        <f t="shared" si="35"/>
        <v>0</v>
      </c>
      <c r="P42" s="133"/>
      <c r="AA42" s="902"/>
      <c r="AB42" s="902"/>
      <c r="AC42" s="902"/>
      <c r="AD42" s="902"/>
      <c r="AE42" s="902"/>
    </row>
    <row r="43" spans="1:31" ht="15" customHeight="1" x14ac:dyDescent="0.3">
      <c r="A43" s="797"/>
      <c r="B43" s="798" t="s">
        <v>888</v>
      </c>
      <c r="C43" s="799"/>
      <c r="D43" s="796">
        <f>D155</f>
        <v>50</v>
      </c>
      <c r="E43" s="796">
        <f t="shared" ref="E43:H43" si="36">E155</f>
        <v>33.5</v>
      </c>
      <c r="F43" s="796">
        <f t="shared" si="36"/>
        <v>22.445</v>
      </c>
      <c r="G43" s="796">
        <f t="shared" si="36"/>
        <v>15.03815</v>
      </c>
      <c r="H43" s="796">
        <f t="shared" si="36"/>
        <v>10.0755605</v>
      </c>
      <c r="K43" s="325">
        <f>K155</f>
        <v>0</v>
      </c>
      <c r="L43" s="325">
        <f t="shared" ref="L43:O43" si="37">L155</f>
        <v>0</v>
      </c>
      <c r="M43" s="325">
        <f t="shared" si="37"/>
        <v>0</v>
      </c>
      <c r="N43" s="325">
        <f t="shared" si="37"/>
        <v>0</v>
      </c>
      <c r="O43" s="325">
        <f t="shared" si="37"/>
        <v>0</v>
      </c>
      <c r="P43" s="133"/>
      <c r="AA43" s="902"/>
      <c r="AB43" s="902"/>
      <c r="AC43" s="902"/>
      <c r="AD43" s="902"/>
      <c r="AE43" s="902"/>
    </row>
    <row r="44" spans="1:31" ht="15" customHeight="1" x14ac:dyDescent="0.3">
      <c r="A44" s="797"/>
      <c r="B44" s="798" t="s">
        <v>889</v>
      </c>
      <c r="C44" s="799"/>
      <c r="D44" s="796">
        <f>D188</f>
        <v>0</v>
      </c>
      <c r="E44" s="796">
        <f t="shared" ref="E44:H44" si="38">E188</f>
        <v>0</v>
      </c>
      <c r="F44" s="796">
        <f t="shared" si="38"/>
        <v>0</v>
      </c>
      <c r="G44" s="796">
        <f t="shared" si="38"/>
        <v>0</v>
      </c>
      <c r="H44" s="796">
        <f t="shared" si="38"/>
        <v>0</v>
      </c>
      <c r="K44" s="893"/>
      <c r="L44" s="893"/>
      <c r="M44" s="893"/>
      <c r="N44" s="893"/>
      <c r="O44" s="893"/>
      <c r="P44" s="133"/>
      <c r="AA44" s="902"/>
      <c r="AB44" s="902"/>
      <c r="AC44" s="902"/>
      <c r="AD44" s="902"/>
      <c r="AE44" s="902"/>
    </row>
    <row r="45" spans="1:31" ht="15" customHeight="1" x14ac:dyDescent="0.3">
      <c r="A45" s="797"/>
      <c r="B45" s="798" t="s">
        <v>1155</v>
      </c>
      <c r="C45" s="799"/>
      <c r="D45" s="796">
        <f>D195</f>
        <v>0</v>
      </c>
      <c r="E45" s="796">
        <f t="shared" ref="E45:H45" si="39">E195</f>
        <v>0</v>
      </c>
      <c r="F45" s="796">
        <f t="shared" si="39"/>
        <v>0</v>
      </c>
      <c r="G45" s="796">
        <f t="shared" si="39"/>
        <v>0</v>
      </c>
      <c r="H45" s="796">
        <f t="shared" si="39"/>
        <v>0</v>
      </c>
      <c r="K45" s="893"/>
      <c r="L45" s="893"/>
      <c r="M45" s="893"/>
      <c r="N45" s="893"/>
      <c r="O45" s="893"/>
      <c r="P45" s="133"/>
      <c r="AA45" s="902"/>
      <c r="AB45" s="902"/>
      <c r="AC45" s="902"/>
      <c r="AD45" s="902"/>
      <c r="AE45" s="902"/>
    </row>
    <row r="46" spans="1:31" ht="15" customHeight="1" x14ac:dyDescent="0.3">
      <c r="B46" s="159" t="str">
        <f>B157</f>
        <v>Number of people receiving knee  surgery</v>
      </c>
      <c r="C46" s="548"/>
      <c r="D46" s="128">
        <f>D159</f>
        <v>34.039499999999997</v>
      </c>
      <c r="E46" s="128">
        <f>E159</f>
        <v>22.806464999999999</v>
      </c>
      <c r="F46" s="128">
        <f>F159</f>
        <v>15.280331550000001</v>
      </c>
      <c r="G46" s="128">
        <f>G159</f>
        <v>10.2378221385</v>
      </c>
      <c r="H46" s="128">
        <f>H159</f>
        <v>6.8593408327950005</v>
      </c>
      <c r="K46" s="639">
        <f>K159</f>
        <v>336.04766957142851</v>
      </c>
      <c r="L46" s="639">
        <f>L159</f>
        <v>225.15193861285709</v>
      </c>
      <c r="M46" s="639">
        <f>M159</f>
        <v>150.85179887061429</v>
      </c>
      <c r="N46" s="639">
        <f>N159</f>
        <v>101.07070524331156</v>
      </c>
      <c r="O46" s="639">
        <f>O159</f>
        <v>67.717372513018745</v>
      </c>
      <c r="P46" s="133"/>
      <c r="AA46" s="902"/>
      <c r="AB46" s="902"/>
      <c r="AC46" s="902"/>
      <c r="AD46" s="902"/>
      <c r="AE46" s="902"/>
    </row>
    <row r="47" spans="1:31" ht="15" customHeight="1" x14ac:dyDescent="0.3">
      <c r="A47" s="566"/>
      <c r="B47" s="567" t="str">
        <f>B161 &amp; " (orthopaedic first attendances)"</f>
        <v>Number of appointments (orthopaedic first attendances)</v>
      </c>
      <c r="C47" s="568"/>
      <c r="D47" s="128">
        <f>D164</f>
        <v>34.039499999999997</v>
      </c>
      <c r="E47" s="128">
        <f>E164</f>
        <v>22.806464999999999</v>
      </c>
      <c r="F47" s="128">
        <f>F164</f>
        <v>15.280331550000001</v>
      </c>
      <c r="G47" s="128">
        <f>G164</f>
        <v>10.2378221385</v>
      </c>
      <c r="H47" s="128">
        <f>H164</f>
        <v>6.8593408327950005</v>
      </c>
      <c r="K47" s="234">
        <f>K164</f>
        <v>6.1611494999999996</v>
      </c>
      <c r="L47" s="234">
        <f>L164</f>
        <v>4.1279701649999998</v>
      </c>
      <c r="M47" s="234">
        <f>M164</f>
        <v>2.7657400105500001</v>
      </c>
      <c r="N47" s="234">
        <f>N164</f>
        <v>1.8530458070685001</v>
      </c>
      <c r="O47" s="234">
        <f>O164</f>
        <v>1.241540690735895</v>
      </c>
      <c r="P47" s="133"/>
      <c r="AA47" s="902"/>
      <c r="AB47" s="902"/>
      <c r="AC47" s="902"/>
      <c r="AD47" s="902"/>
      <c r="AE47" s="902"/>
    </row>
    <row r="48" spans="1:31" ht="15" customHeight="1" x14ac:dyDescent="0.3">
      <c r="A48" s="569"/>
      <c r="B48" s="570" t="str">
        <f>B161 &amp; " (orthopaedic follow-up attendances)"</f>
        <v>Number of appointments (orthopaedic follow-up attendances)</v>
      </c>
      <c r="C48" s="571"/>
      <c r="D48" s="548">
        <f>D168</f>
        <v>0</v>
      </c>
      <c r="E48" s="548">
        <f>E168</f>
        <v>0</v>
      </c>
      <c r="F48" s="548">
        <f>F168</f>
        <v>0</v>
      </c>
      <c r="G48" s="548">
        <f>G168</f>
        <v>0</v>
      </c>
      <c r="H48" s="128">
        <f>H168</f>
        <v>0</v>
      </c>
      <c r="K48" s="234">
        <f>K168</f>
        <v>0</v>
      </c>
      <c r="L48" s="234">
        <f>L168</f>
        <v>0</v>
      </c>
      <c r="M48" s="234">
        <f>M168</f>
        <v>0</v>
      </c>
      <c r="N48" s="234">
        <f>N168</f>
        <v>0</v>
      </c>
      <c r="O48" s="234">
        <f>O168</f>
        <v>0</v>
      </c>
      <c r="P48" s="133"/>
      <c r="AA48" s="902"/>
      <c r="AB48" s="902"/>
      <c r="AC48" s="902"/>
      <c r="AD48" s="902"/>
      <c r="AE48" s="902"/>
    </row>
    <row r="49" spans="1:31" ht="15" customHeight="1" x14ac:dyDescent="0.3">
      <c r="A49" s="588"/>
      <c r="B49" s="590" t="str">
        <f>B170</f>
        <v>GP visits</v>
      </c>
      <c r="C49" s="591"/>
      <c r="D49" s="548">
        <f>D172</f>
        <v>0</v>
      </c>
      <c r="E49" s="548">
        <f>E172</f>
        <v>0</v>
      </c>
      <c r="F49" s="548">
        <f>F172</f>
        <v>0</v>
      </c>
      <c r="G49" s="548">
        <f>G172</f>
        <v>0</v>
      </c>
      <c r="H49" s="128">
        <f>H172</f>
        <v>0</v>
      </c>
      <c r="K49" s="234">
        <f>K172</f>
        <v>0</v>
      </c>
      <c r="L49" s="234">
        <f>L172</f>
        <v>0</v>
      </c>
      <c r="M49" s="234">
        <f>M172</f>
        <v>0</v>
      </c>
      <c r="N49" s="234">
        <f>N172</f>
        <v>0</v>
      </c>
      <c r="O49" s="234">
        <f>O172</f>
        <v>0</v>
      </c>
      <c r="P49" s="133"/>
      <c r="AA49" s="902"/>
      <c r="AB49" s="902"/>
      <c r="AC49" s="902"/>
      <c r="AD49" s="902"/>
      <c r="AE49" s="902"/>
    </row>
    <row r="50" spans="1:31" ht="15" customHeight="1" x14ac:dyDescent="0.3">
      <c r="A50" s="692"/>
      <c r="B50" s="693" t="s">
        <v>890</v>
      </c>
      <c r="C50" s="694"/>
      <c r="D50" s="548">
        <f>D182</f>
        <v>120.19185357142854</v>
      </c>
      <c r="E50" s="548">
        <f>E182</f>
        <v>80.528541892857135</v>
      </c>
      <c r="F50" s="548">
        <f>F182</f>
        <v>53.95412306821428</v>
      </c>
      <c r="G50" s="548">
        <f>G182</f>
        <v>36.149262455703564</v>
      </c>
      <c r="H50" s="128">
        <f>H182</f>
        <v>24.220005845321392</v>
      </c>
      <c r="K50" s="703"/>
      <c r="L50" s="703"/>
      <c r="M50" s="703"/>
      <c r="N50" s="703"/>
      <c r="O50" s="703"/>
      <c r="P50" s="133"/>
      <c r="AA50" s="902"/>
      <c r="AB50" s="902"/>
      <c r="AC50" s="902"/>
      <c r="AD50" s="902"/>
      <c r="AE50" s="902"/>
    </row>
    <row r="51" spans="1:31" ht="15" customHeight="1" x14ac:dyDescent="0.3">
      <c r="B51" s="159" t="s">
        <v>1129</v>
      </c>
      <c r="C51" s="548"/>
      <c r="D51" s="548">
        <f>D178</f>
        <v>0</v>
      </c>
      <c r="E51" s="548">
        <f t="shared" ref="E51:H51" si="40">E178</f>
        <v>0</v>
      </c>
      <c r="F51" s="548">
        <f t="shared" si="40"/>
        <v>0</v>
      </c>
      <c r="G51" s="548">
        <f t="shared" si="40"/>
        <v>0</v>
      </c>
      <c r="H51" s="548">
        <f t="shared" si="40"/>
        <v>0</v>
      </c>
      <c r="K51" s="234">
        <f>K178</f>
        <v>0</v>
      </c>
      <c r="L51" s="234">
        <f t="shared" ref="L51:O51" si="41">L178</f>
        <v>0</v>
      </c>
      <c r="M51" s="234">
        <f t="shared" si="41"/>
        <v>0</v>
      </c>
      <c r="N51" s="234">
        <f t="shared" si="41"/>
        <v>0</v>
      </c>
      <c r="O51" s="234">
        <f t="shared" si="41"/>
        <v>0</v>
      </c>
      <c r="P51" s="133"/>
      <c r="AA51" s="902"/>
      <c r="AB51" s="902"/>
      <c r="AC51" s="902"/>
      <c r="AD51" s="902"/>
      <c r="AE51" s="902"/>
    </row>
    <row r="52" spans="1:31" ht="15" thickBot="1" x14ac:dyDescent="0.35">
      <c r="B52" s="237"/>
      <c r="C52" s="237"/>
      <c r="D52" s="237"/>
      <c r="E52" s="237"/>
      <c r="F52" s="237"/>
      <c r="G52" s="237"/>
      <c r="H52" s="237"/>
      <c r="I52" s="237"/>
      <c r="J52" s="237"/>
      <c r="N52" s="133"/>
      <c r="O52" s="133"/>
      <c r="P52" s="133"/>
      <c r="AA52" s="902"/>
      <c r="AB52" s="902"/>
      <c r="AC52" s="902"/>
      <c r="AD52" s="902"/>
      <c r="AE52" s="902"/>
    </row>
    <row r="53" spans="1:31" x14ac:dyDescent="0.3">
      <c r="A53" s="719"/>
      <c r="B53" s="839"/>
      <c r="C53" s="839"/>
      <c r="D53" s="839"/>
      <c r="E53" s="839"/>
      <c r="F53" s="839"/>
      <c r="G53" s="839"/>
      <c r="H53" s="839"/>
      <c r="I53" s="839"/>
      <c r="J53" s="839"/>
      <c r="K53" s="724"/>
      <c r="L53" s="724"/>
      <c r="M53" s="724"/>
      <c r="N53" s="840"/>
      <c r="O53" s="840"/>
      <c r="P53" s="841"/>
      <c r="AA53" s="902"/>
      <c r="AB53" s="902"/>
      <c r="AC53" s="902"/>
      <c r="AD53" s="902"/>
      <c r="AE53" s="902"/>
    </row>
    <row r="54" spans="1:31" x14ac:dyDescent="0.3">
      <c r="A54" s="728"/>
      <c r="B54" s="262" t="s">
        <v>892</v>
      </c>
      <c r="C54" s="263"/>
      <c r="D54" s="745"/>
      <c r="E54" s="263"/>
      <c r="F54" s="746"/>
      <c r="G54" s="747"/>
      <c r="H54" s="747"/>
      <c r="I54" s="747"/>
      <c r="J54" s="747"/>
      <c r="K54" s="747"/>
      <c r="L54" s="747"/>
      <c r="M54" s="747"/>
      <c r="N54" s="747"/>
      <c r="O54" s="770"/>
      <c r="P54" s="842"/>
      <c r="AA54" s="902"/>
      <c r="AB54" s="902"/>
      <c r="AC54" s="902"/>
      <c r="AD54" s="902"/>
      <c r="AE54" s="902"/>
    </row>
    <row r="55" spans="1:31" x14ac:dyDescent="0.3">
      <c r="A55" s="728"/>
      <c r="B55" s="775" t="s">
        <v>697</v>
      </c>
      <c r="C55" s="753"/>
      <c r="D55" s="754"/>
      <c r="E55" s="753"/>
      <c r="F55" s="755"/>
      <c r="G55" s="756"/>
      <c r="H55" s="756"/>
      <c r="I55" s="756"/>
      <c r="J55" s="756"/>
      <c r="K55" s="756"/>
      <c r="L55" s="756"/>
      <c r="M55" s="756"/>
      <c r="N55" s="756"/>
      <c r="O55" s="776"/>
      <c r="P55" s="842"/>
      <c r="AA55" s="902"/>
      <c r="AB55" s="902"/>
      <c r="AC55" s="902"/>
      <c r="AD55" s="902"/>
      <c r="AE55" s="902"/>
    </row>
    <row r="56" spans="1:31" x14ac:dyDescent="0.3">
      <c r="A56" s="999"/>
      <c r="B56" s="981" t="s">
        <v>899</v>
      </c>
      <c r="C56" s="982"/>
      <c r="D56" s="983"/>
      <c r="E56" s="982"/>
      <c r="F56" s="984"/>
      <c r="G56" s="985"/>
      <c r="H56" s="985"/>
      <c r="I56" s="1001"/>
      <c r="J56" s="985"/>
      <c r="K56" s="985"/>
      <c r="L56" s="985"/>
      <c r="M56" s="985"/>
      <c r="N56" s="985"/>
      <c r="O56" s="986"/>
      <c r="P56" s="842"/>
      <c r="AA56" s="902"/>
      <c r="AB56" s="902"/>
      <c r="AC56" s="902"/>
      <c r="AD56" s="902"/>
      <c r="AE56" s="902"/>
    </row>
    <row r="57" spans="1:31" x14ac:dyDescent="0.3">
      <c r="A57" s="999"/>
      <c r="B57" s="987" t="s">
        <v>906</v>
      </c>
      <c r="C57" s="988"/>
      <c r="D57" s="989"/>
      <c r="E57" s="990"/>
      <c r="F57" s="990"/>
      <c r="G57" s="991"/>
      <c r="H57" s="991"/>
      <c r="I57" s="992"/>
      <c r="J57" s="991"/>
      <c r="K57" s="991"/>
      <c r="L57" s="991"/>
      <c r="M57" s="991"/>
      <c r="N57" s="991"/>
      <c r="O57" s="993"/>
      <c r="P57" s="842"/>
      <c r="AA57" s="902"/>
      <c r="AB57" s="902"/>
      <c r="AC57" s="902"/>
      <c r="AD57" s="902"/>
      <c r="AE57" s="902"/>
    </row>
    <row r="58" spans="1:31" x14ac:dyDescent="0.3">
      <c r="A58" s="999"/>
      <c r="B58" s="274"/>
      <c r="C58" s="552"/>
      <c r="D58" s="647" t="s">
        <v>623</v>
      </c>
      <c r="E58" s="648" t="s">
        <v>624</v>
      </c>
      <c r="F58" s="647" t="s">
        <v>625</v>
      </c>
      <c r="G58" s="647" t="s">
        <v>626</v>
      </c>
      <c r="H58" s="647" t="s">
        <v>627</v>
      </c>
      <c r="I58" s="992"/>
      <c r="J58" s="1028" t="s">
        <v>893</v>
      </c>
      <c r="K58" s="647" t="s">
        <v>623</v>
      </c>
      <c r="L58" s="648" t="s">
        <v>624</v>
      </c>
      <c r="M58" s="647" t="s">
        <v>625</v>
      </c>
      <c r="N58" s="647" t="s">
        <v>626</v>
      </c>
      <c r="O58" s="648" t="s">
        <v>627</v>
      </c>
      <c r="P58" s="842"/>
      <c r="AA58" s="902"/>
      <c r="AB58" s="902"/>
      <c r="AC58" s="902"/>
      <c r="AD58" s="902"/>
      <c r="AE58" s="902"/>
    </row>
    <row r="59" spans="1:31" x14ac:dyDescent="0.3">
      <c r="A59" s="999"/>
      <c r="B59" s="247" t="s">
        <v>721</v>
      </c>
      <c r="C59" s="548"/>
      <c r="D59" s="548">
        <f>'Inputs and eligible population'!G62</f>
        <v>0</v>
      </c>
      <c r="E59" s="548">
        <f>'Inputs and eligible population'!H62</f>
        <v>0</v>
      </c>
      <c r="F59" s="548">
        <f>'Inputs and eligible population'!I62</f>
        <v>0</v>
      </c>
      <c r="G59" s="548">
        <f>'Inputs and eligible population'!J62</f>
        <v>0</v>
      </c>
      <c r="H59" s="548">
        <f>'Inputs and eligible population'!K62</f>
        <v>0</v>
      </c>
      <c r="I59" s="1001"/>
      <c r="J59" s="351">
        <f>'Inputs and eligible population'!J97</f>
        <v>0</v>
      </c>
      <c r="K59" s="351">
        <f t="shared" ref="K59:K60" si="42">$J59/1000*D59</f>
        <v>0</v>
      </c>
      <c r="L59" s="351">
        <f t="shared" ref="L59:L60" si="43">$J59/1000*E59</f>
        <v>0</v>
      </c>
      <c r="M59" s="351">
        <f t="shared" ref="M59:M60" si="44">$J59/1000*F59</f>
        <v>0</v>
      </c>
      <c r="N59" s="351">
        <f t="shared" ref="N59:N60" si="45">$J59/1000*G59</f>
        <v>0</v>
      </c>
      <c r="O59" s="351">
        <f t="shared" ref="O59:O60" si="46">$J59/1000*H59</f>
        <v>0</v>
      </c>
      <c r="P59" s="842"/>
      <c r="AA59" s="902"/>
      <c r="AB59" s="902"/>
      <c r="AC59" s="902"/>
      <c r="AD59" s="902"/>
      <c r="AE59" s="902"/>
    </row>
    <row r="60" spans="1:31" x14ac:dyDescent="0.3">
      <c r="A60" s="999"/>
      <c r="B60" s="771" t="s">
        <v>720</v>
      </c>
      <c r="C60" s="554"/>
      <c r="D60" s="548">
        <f>'Inputs and eligible population'!G52</f>
        <v>0</v>
      </c>
      <c r="E60" s="548">
        <f>'Inputs and eligible population'!H52</f>
        <v>0</v>
      </c>
      <c r="F60" s="548">
        <f>'Inputs and eligible population'!I52</f>
        <v>0</v>
      </c>
      <c r="G60" s="548">
        <f>'Inputs and eligible population'!J52</f>
        <v>0</v>
      </c>
      <c r="H60" s="548">
        <f>'Inputs and eligible population'!K52</f>
        <v>0</v>
      </c>
      <c r="I60" s="1000">
        <f>'Inputs and eligible population'!L35*'Inputs and eligible population'!$G$104</f>
        <v>0</v>
      </c>
      <c r="J60" s="351">
        <f>'Inputs and eligible population'!J101</f>
        <v>0</v>
      </c>
      <c r="K60" s="351">
        <f t="shared" si="42"/>
        <v>0</v>
      </c>
      <c r="L60" s="351">
        <f t="shared" si="43"/>
        <v>0</v>
      </c>
      <c r="M60" s="351">
        <f t="shared" si="44"/>
        <v>0</v>
      </c>
      <c r="N60" s="351">
        <f t="shared" si="45"/>
        <v>0</v>
      </c>
      <c r="O60" s="351">
        <f t="shared" si="46"/>
        <v>0</v>
      </c>
      <c r="P60" s="842"/>
      <c r="AA60" s="902"/>
      <c r="AB60" s="902"/>
      <c r="AC60" s="902"/>
      <c r="AD60" s="902"/>
      <c r="AE60" s="902"/>
    </row>
    <row r="61" spans="1:31" x14ac:dyDescent="0.3">
      <c r="A61" s="999"/>
      <c r="B61" s="229" t="s">
        <v>894</v>
      </c>
      <c r="C61" s="551"/>
      <c r="D61" s="551">
        <f>SUM(D59:D60)</f>
        <v>0</v>
      </c>
      <c r="E61" s="551">
        <f t="shared" ref="E61:H61" si="47">SUM(E59:E60)</f>
        <v>0</v>
      </c>
      <c r="F61" s="551">
        <f t="shared" si="47"/>
        <v>0</v>
      </c>
      <c r="G61" s="551">
        <f t="shared" si="47"/>
        <v>0</v>
      </c>
      <c r="H61" s="551">
        <f t="shared" si="47"/>
        <v>0</v>
      </c>
      <c r="I61" s="1001"/>
      <c r="J61" s="848"/>
      <c r="K61" s="235">
        <f>SUM(K59:K60)</f>
        <v>0</v>
      </c>
      <c r="L61" s="235">
        <f t="shared" ref="L61:O61" si="48">SUM(L59:L60)</f>
        <v>0</v>
      </c>
      <c r="M61" s="235">
        <f t="shared" si="48"/>
        <v>0</v>
      </c>
      <c r="N61" s="235">
        <f t="shared" si="48"/>
        <v>0</v>
      </c>
      <c r="O61" s="235">
        <f t="shared" si="48"/>
        <v>0</v>
      </c>
      <c r="P61" s="842"/>
      <c r="AA61" s="902"/>
      <c r="AB61" s="902"/>
      <c r="AC61" s="902"/>
      <c r="AD61" s="902"/>
      <c r="AE61" s="902"/>
    </row>
    <row r="62" spans="1:31" x14ac:dyDescent="0.3">
      <c r="A62" s="999"/>
      <c r="B62" s="237"/>
      <c r="C62" s="350"/>
      <c r="D62" s="847"/>
      <c r="I62" s="992"/>
      <c r="J62" s="133"/>
      <c r="K62" s="133"/>
      <c r="L62" s="133"/>
      <c r="M62" s="133"/>
      <c r="N62" s="133"/>
      <c r="O62" s="133"/>
      <c r="P62" s="842"/>
      <c r="AA62" s="902"/>
      <c r="AB62" s="902"/>
      <c r="AC62" s="902"/>
      <c r="AD62" s="902"/>
      <c r="AE62" s="902"/>
    </row>
    <row r="63" spans="1:31" x14ac:dyDescent="0.3">
      <c r="A63" s="999"/>
      <c r="B63" s="1035" t="s">
        <v>907</v>
      </c>
      <c r="C63" s="960"/>
      <c r="D63" s="960"/>
      <c r="E63" s="960"/>
      <c r="F63" s="960"/>
      <c r="G63" s="960"/>
      <c r="H63" s="160"/>
      <c r="I63" s="1001"/>
      <c r="J63" s="199"/>
      <c r="K63" s="960"/>
      <c r="L63" s="960"/>
      <c r="M63" s="960"/>
      <c r="N63" s="960"/>
      <c r="O63" s="961"/>
      <c r="P63" s="842"/>
      <c r="AA63" s="902"/>
      <c r="AB63" s="902"/>
      <c r="AC63" s="902"/>
      <c r="AD63" s="902"/>
      <c r="AE63" s="902"/>
    </row>
    <row r="64" spans="1:31" x14ac:dyDescent="0.3">
      <c r="A64" s="999"/>
      <c r="B64" s="274" t="s">
        <v>895</v>
      </c>
      <c r="C64" s="552"/>
      <c r="D64" s="647" t="s">
        <v>623</v>
      </c>
      <c r="E64" s="648" t="s">
        <v>624</v>
      </c>
      <c r="F64" s="647" t="s">
        <v>625</v>
      </c>
      <c r="G64" s="647" t="s">
        <v>626</v>
      </c>
      <c r="H64" s="648" t="s">
        <v>627</v>
      </c>
      <c r="I64" s="1001"/>
      <c r="J64" s="489" t="s">
        <v>893</v>
      </c>
      <c r="K64" s="647" t="s">
        <v>623</v>
      </c>
      <c r="L64" s="648" t="s">
        <v>624</v>
      </c>
      <c r="M64" s="647" t="s">
        <v>625</v>
      </c>
      <c r="N64" s="647" t="s">
        <v>626</v>
      </c>
      <c r="O64" s="647" t="s">
        <v>627</v>
      </c>
      <c r="P64" s="842"/>
      <c r="AA64" s="902"/>
      <c r="AB64" s="902"/>
      <c r="AC64" s="902"/>
      <c r="AD64" s="902"/>
      <c r="AE64" s="902"/>
    </row>
    <row r="65" spans="1:31" x14ac:dyDescent="0.3">
      <c r="A65" s="999"/>
      <c r="B65" s="247" t="s">
        <v>721</v>
      </c>
      <c r="C65" s="548"/>
      <c r="D65" s="548">
        <f>D59</f>
        <v>0</v>
      </c>
      <c r="E65" s="548">
        <f t="shared" ref="E65:H65" si="49">E59</f>
        <v>0</v>
      </c>
      <c r="F65" s="548">
        <f t="shared" si="49"/>
        <v>0</v>
      </c>
      <c r="G65" s="548">
        <f t="shared" si="49"/>
        <v>0</v>
      </c>
      <c r="H65" s="548">
        <f t="shared" si="49"/>
        <v>0</v>
      </c>
      <c r="I65" s="1001"/>
      <c r="J65" s="351">
        <f>'Inputs and eligible population'!J99</f>
        <v>0</v>
      </c>
      <c r="K65" s="351">
        <f t="shared" ref="K65:K66" si="50">$J65/1000*D65</f>
        <v>0</v>
      </c>
      <c r="L65" s="351">
        <f t="shared" ref="L65:L66" si="51">$J65/1000*E65</f>
        <v>0</v>
      </c>
      <c r="M65" s="351">
        <f t="shared" ref="M65:M66" si="52">$J65/1000*F65</f>
        <v>0</v>
      </c>
      <c r="N65" s="351">
        <f t="shared" ref="N65:N66" si="53">$J65/1000*G65</f>
        <v>0</v>
      </c>
      <c r="O65" s="351">
        <f t="shared" ref="O65:O66" si="54">$J65/1000*H65</f>
        <v>0</v>
      </c>
      <c r="P65" s="842"/>
      <c r="AA65" s="902"/>
      <c r="AB65" s="902"/>
      <c r="AC65" s="902"/>
      <c r="AD65" s="902"/>
      <c r="AE65" s="902"/>
    </row>
    <row r="66" spans="1:31" x14ac:dyDescent="0.3">
      <c r="A66" s="999"/>
      <c r="B66" s="771" t="s">
        <v>720</v>
      </c>
      <c r="C66" s="641"/>
      <c r="D66" s="548">
        <f>D60</f>
        <v>0</v>
      </c>
      <c r="E66" s="548">
        <f t="shared" ref="E66:H66" si="55">E60</f>
        <v>0</v>
      </c>
      <c r="F66" s="548">
        <f t="shared" si="55"/>
        <v>0</v>
      </c>
      <c r="G66" s="548">
        <f t="shared" si="55"/>
        <v>0</v>
      </c>
      <c r="H66" s="548">
        <f t="shared" si="55"/>
        <v>0</v>
      </c>
      <c r="I66" s="1001"/>
      <c r="J66" s="351">
        <f>'Inputs and eligible population'!J103</f>
        <v>0</v>
      </c>
      <c r="K66" s="351">
        <f t="shared" si="50"/>
        <v>0</v>
      </c>
      <c r="L66" s="351">
        <f t="shared" si="51"/>
        <v>0</v>
      </c>
      <c r="M66" s="351">
        <f t="shared" si="52"/>
        <v>0</v>
      </c>
      <c r="N66" s="351">
        <f t="shared" si="53"/>
        <v>0</v>
      </c>
      <c r="O66" s="351">
        <f t="shared" si="54"/>
        <v>0</v>
      </c>
      <c r="P66" s="842"/>
      <c r="AA66" s="902"/>
      <c r="AB66" s="902"/>
      <c r="AC66" s="902"/>
      <c r="AD66" s="902"/>
      <c r="AE66" s="902"/>
    </row>
    <row r="67" spans="1:31" x14ac:dyDescent="0.3">
      <c r="A67" s="999"/>
      <c r="B67" s="229" t="s">
        <v>896</v>
      </c>
      <c r="C67" s="551"/>
      <c r="D67" s="551">
        <f>SUM(D65:D66)</f>
        <v>0</v>
      </c>
      <c r="E67" s="551">
        <f t="shared" ref="E67:H67" si="56">SUM(E65:E66)</f>
        <v>0</v>
      </c>
      <c r="F67" s="551">
        <f t="shared" si="56"/>
        <v>0</v>
      </c>
      <c r="G67" s="551">
        <f t="shared" si="56"/>
        <v>0</v>
      </c>
      <c r="H67" s="174">
        <f t="shared" si="56"/>
        <v>0</v>
      </c>
      <c r="I67" s="1001"/>
      <c r="J67" s="1009"/>
      <c r="K67" s="235">
        <f>SUM(K65:K66)</f>
        <v>0</v>
      </c>
      <c r="L67" s="235">
        <f>SUM(L65:L66)</f>
        <v>0</v>
      </c>
      <c r="M67" s="235">
        <f>SUM(M65:M66)</f>
        <v>0</v>
      </c>
      <c r="N67" s="235">
        <f>SUM(N65:N66)</f>
        <v>0</v>
      </c>
      <c r="O67" s="235">
        <f>SUM(O65:O66)</f>
        <v>0</v>
      </c>
      <c r="P67" s="842"/>
      <c r="AA67" s="902"/>
      <c r="AB67" s="902"/>
      <c r="AC67" s="902"/>
      <c r="AD67" s="902"/>
      <c r="AE67" s="902"/>
    </row>
    <row r="68" spans="1:31" x14ac:dyDescent="0.3">
      <c r="A68" s="999"/>
      <c r="B68" s="981"/>
      <c r="C68" s="982"/>
      <c r="D68" s="983"/>
      <c r="E68" s="982"/>
      <c r="F68" s="984"/>
      <c r="G68" s="985"/>
      <c r="H68" s="985"/>
      <c r="I68" s="985"/>
      <c r="J68" s="985"/>
      <c r="K68" s="985"/>
      <c r="L68" s="985"/>
      <c r="M68" s="985"/>
      <c r="N68" s="985"/>
      <c r="O68" s="986"/>
      <c r="P68" s="842"/>
      <c r="AA68" s="902"/>
      <c r="AB68" s="902"/>
      <c r="AC68" s="902"/>
      <c r="AD68" s="902"/>
      <c r="AE68" s="902"/>
    </row>
    <row r="69" spans="1:31" x14ac:dyDescent="0.3">
      <c r="A69" s="867"/>
      <c r="B69" s="801" t="s">
        <v>899</v>
      </c>
      <c r="C69" s="802"/>
      <c r="D69" s="803"/>
      <c r="E69" s="802"/>
      <c r="F69" s="804"/>
      <c r="G69" s="805"/>
      <c r="H69" s="805"/>
      <c r="I69" s="814"/>
      <c r="J69" s="805"/>
      <c r="K69" s="805"/>
      <c r="L69" s="805"/>
      <c r="M69" s="805"/>
      <c r="N69" s="805"/>
      <c r="O69" s="806"/>
      <c r="P69" s="842"/>
      <c r="AA69" s="902"/>
      <c r="AB69" s="902"/>
      <c r="AC69" s="902"/>
      <c r="AD69" s="902"/>
      <c r="AE69" s="902"/>
    </row>
    <row r="70" spans="1:31" x14ac:dyDescent="0.3">
      <c r="A70" s="867"/>
      <c r="B70" s="807" t="s">
        <v>1150</v>
      </c>
      <c r="C70" s="808"/>
      <c r="D70" s="809"/>
      <c r="E70" s="810"/>
      <c r="F70" s="810"/>
      <c r="G70" s="811"/>
      <c r="H70" s="811"/>
      <c r="I70" s="814"/>
      <c r="J70" s="811"/>
      <c r="K70" s="811"/>
      <c r="L70" s="811"/>
      <c r="M70" s="811"/>
      <c r="N70" s="811"/>
      <c r="O70" s="813"/>
      <c r="P70" s="842"/>
      <c r="AA70" s="902"/>
      <c r="AB70" s="902"/>
      <c r="AC70" s="902"/>
      <c r="AD70" s="902"/>
      <c r="AE70" s="902"/>
    </row>
    <row r="71" spans="1:31" x14ac:dyDescent="0.3">
      <c r="A71" s="867"/>
      <c r="B71" s="274"/>
      <c r="C71" s="552"/>
      <c r="D71" s="647" t="s">
        <v>623</v>
      </c>
      <c r="E71" s="648" t="s">
        <v>624</v>
      </c>
      <c r="F71" s="647" t="s">
        <v>625</v>
      </c>
      <c r="G71" s="647" t="s">
        <v>626</v>
      </c>
      <c r="H71" s="647" t="s">
        <v>627</v>
      </c>
      <c r="I71" s="812"/>
      <c r="J71" s="348" t="s">
        <v>893</v>
      </c>
      <c r="K71" s="647" t="s">
        <v>623</v>
      </c>
      <c r="L71" s="648" t="s">
        <v>624</v>
      </c>
      <c r="M71" s="647" t="s">
        <v>625</v>
      </c>
      <c r="N71" s="647" t="s">
        <v>626</v>
      </c>
      <c r="O71" s="648" t="s">
        <v>627</v>
      </c>
      <c r="P71" s="842"/>
      <c r="AA71" s="902"/>
      <c r="AB71" s="902"/>
      <c r="AC71" s="902"/>
      <c r="AD71" s="902"/>
      <c r="AE71" s="902"/>
    </row>
    <row r="72" spans="1:31" x14ac:dyDescent="0.3">
      <c r="A72" s="867"/>
      <c r="B72" s="247" t="s">
        <v>721</v>
      </c>
      <c r="C72" s="548"/>
      <c r="D72" s="548">
        <f>'Inputs and eligible population'!G63</f>
        <v>0</v>
      </c>
      <c r="E72" s="548">
        <f>'Inputs and eligible population'!H63</f>
        <v>0</v>
      </c>
      <c r="F72" s="548">
        <f>'Inputs and eligible population'!I63</f>
        <v>0</v>
      </c>
      <c r="G72" s="548">
        <f>'Inputs and eligible population'!J63</f>
        <v>0</v>
      </c>
      <c r="H72" s="548">
        <f>'Inputs and eligible population'!K63</f>
        <v>0</v>
      </c>
      <c r="I72" s="814"/>
      <c r="J72" s="351">
        <f>'Inputs and eligible population'!J105</f>
        <v>0</v>
      </c>
      <c r="K72" s="351">
        <f t="shared" ref="K72:O73" si="57">$J72/1000*D72</f>
        <v>0</v>
      </c>
      <c r="L72" s="351">
        <f t="shared" si="57"/>
        <v>0</v>
      </c>
      <c r="M72" s="351">
        <f t="shared" si="57"/>
        <v>0</v>
      </c>
      <c r="N72" s="351">
        <f t="shared" si="57"/>
        <v>0</v>
      </c>
      <c r="O72" s="351">
        <f t="shared" si="57"/>
        <v>0</v>
      </c>
      <c r="P72" s="842"/>
      <c r="AA72" s="902"/>
      <c r="AB72" s="902"/>
      <c r="AC72" s="902"/>
      <c r="AD72" s="902"/>
      <c r="AE72" s="902"/>
    </row>
    <row r="73" spans="1:31" x14ac:dyDescent="0.3">
      <c r="A73" s="867"/>
      <c r="B73" s="771" t="s">
        <v>720</v>
      </c>
      <c r="C73" s="554"/>
      <c r="D73" s="548">
        <f>'Inputs and eligible population'!G53</f>
        <v>0</v>
      </c>
      <c r="E73" s="548">
        <f>'Inputs and eligible population'!H53</f>
        <v>0</v>
      </c>
      <c r="F73" s="548">
        <f>'Inputs and eligible population'!I53</f>
        <v>0</v>
      </c>
      <c r="G73" s="548">
        <f>'Inputs and eligible population'!J53</f>
        <v>0</v>
      </c>
      <c r="H73" s="548">
        <f>'Inputs and eligible population'!K53</f>
        <v>0</v>
      </c>
      <c r="I73" s="814"/>
      <c r="J73" s="351">
        <f>'Inputs and eligible population'!J109</f>
        <v>0</v>
      </c>
      <c r="K73" s="351">
        <f t="shared" si="57"/>
        <v>0</v>
      </c>
      <c r="L73" s="351">
        <f t="shared" si="57"/>
        <v>0</v>
      </c>
      <c r="M73" s="351">
        <f t="shared" si="57"/>
        <v>0</v>
      </c>
      <c r="N73" s="351">
        <f t="shared" si="57"/>
        <v>0</v>
      </c>
      <c r="O73" s="351">
        <f t="shared" si="57"/>
        <v>0</v>
      </c>
      <c r="P73" s="842"/>
      <c r="AA73" s="902"/>
      <c r="AB73" s="902"/>
      <c r="AC73" s="902"/>
      <c r="AD73" s="902"/>
      <c r="AE73" s="902"/>
    </row>
    <row r="74" spans="1:31" x14ac:dyDescent="0.3">
      <c r="A74" s="867"/>
      <c r="B74" s="229" t="s">
        <v>894</v>
      </c>
      <c r="C74" s="551"/>
      <c r="D74" s="551">
        <f>SUM(D72:D73)</f>
        <v>0</v>
      </c>
      <c r="E74" s="551">
        <f t="shared" ref="E74:H74" si="58">SUM(E72:E73)</f>
        <v>0</v>
      </c>
      <c r="F74" s="551">
        <f t="shared" si="58"/>
        <v>0</v>
      </c>
      <c r="G74" s="551">
        <f t="shared" si="58"/>
        <v>0</v>
      </c>
      <c r="H74" s="551">
        <f t="shared" si="58"/>
        <v>0</v>
      </c>
      <c r="I74" s="814"/>
      <c r="J74" s="843"/>
      <c r="K74" s="235">
        <f>SUM(K72:K73)</f>
        <v>0</v>
      </c>
      <c r="L74" s="235">
        <f t="shared" ref="L74:O74" si="59">SUM(L72:L73)</f>
        <v>0</v>
      </c>
      <c r="M74" s="235">
        <f t="shared" si="59"/>
        <v>0</v>
      </c>
      <c r="N74" s="235">
        <f t="shared" si="59"/>
        <v>0</v>
      </c>
      <c r="O74" s="235">
        <f t="shared" si="59"/>
        <v>0</v>
      </c>
      <c r="P74" s="842"/>
      <c r="AA74" s="902"/>
      <c r="AB74" s="902"/>
      <c r="AC74" s="902"/>
      <c r="AD74" s="902"/>
      <c r="AE74" s="902"/>
    </row>
    <row r="75" spans="1:31" x14ac:dyDescent="0.3">
      <c r="A75" s="867"/>
      <c r="B75" s="1034"/>
      <c r="C75" s="844"/>
      <c r="D75" s="845"/>
      <c r="E75" s="797"/>
      <c r="F75" s="797"/>
      <c r="G75" s="797"/>
      <c r="H75" s="797"/>
      <c r="I75" s="812"/>
      <c r="J75" s="812"/>
      <c r="K75" s="812"/>
      <c r="L75" s="812"/>
      <c r="M75" s="812"/>
      <c r="N75" s="812"/>
      <c r="O75" s="812"/>
      <c r="P75" s="842"/>
      <c r="AA75" s="902"/>
      <c r="AB75" s="902"/>
      <c r="AC75" s="902"/>
      <c r="AD75" s="902"/>
      <c r="AE75" s="902"/>
    </row>
    <row r="76" spans="1:31" x14ac:dyDescent="0.3">
      <c r="A76" s="867"/>
      <c r="B76" s="1034" t="s">
        <v>1151</v>
      </c>
      <c r="C76" s="816"/>
      <c r="D76" s="816"/>
      <c r="E76" s="816"/>
      <c r="F76" s="816"/>
      <c r="G76" s="816"/>
      <c r="H76" s="817"/>
      <c r="I76" s="814"/>
      <c r="J76" s="818"/>
      <c r="K76" s="816"/>
      <c r="L76" s="816"/>
      <c r="M76" s="816"/>
      <c r="N76" s="816"/>
      <c r="O76" s="819"/>
      <c r="P76" s="842"/>
      <c r="AA76" s="902"/>
      <c r="AB76" s="902"/>
      <c r="AC76" s="902"/>
      <c r="AD76" s="902"/>
      <c r="AE76" s="902"/>
    </row>
    <row r="77" spans="1:31" x14ac:dyDescent="0.3">
      <c r="A77" s="867"/>
      <c r="B77" s="274" t="s">
        <v>895</v>
      </c>
      <c r="C77" s="552"/>
      <c r="D77" s="647" t="s">
        <v>623</v>
      </c>
      <c r="E77" s="648" t="s">
        <v>624</v>
      </c>
      <c r="F77" s="647" t="s">
        <v>625</v>
      </c>
      <c r="G77" s="647" t="s">
        <v>626</v>
      </c>
      <c r="H77" s="648" t="s">
        <v>627</v>
      </c>
      <c r="I77" s="814"/>
      <c r="J77" s="489" t="s">
        <v>893</v>
      </c>
      <c r="K77" s="647" t="s">
        <v>623</v>
      </c>
      <c r="L77" s="648" t="s">
        <v>624</v>
      </c>
      <c r="M77" s="647" t="s">
        <v>625</v>
      </c>
      <c r="N77" s="647" t="s">
        <v>626</v>
      </c>
      <c r="O77" s="647" t="s">
        <v>627</v>
      </c>
      <c r="P77" s="842"/>
      <c r="AA77" s="902"/>
      <c r="AB77" s="902"/>
      <c r="AC77" s="902"/>
      <c r="AD77" s="902"/>
      <c r="AE77" s="902"/>
    </row>
    <row r="78" spans="1:31" x14ac:dyDescent="0.3">
      <c r="A78" s="867"/>
      <c r="B78" s="247" t="s">
        <v>721</v>
      </c>
      <c r="C78" s="548"/>
      <c r="D78" s="548">
        <f>D72</f>
        <v>0</v>
      </c>
      <c r="E78" s="548">
        <f t="shared" ref="E78:H78" si="60">E72</f>
        <v>0</v>
      </c>
      <c r="F78" s="548">
        <f t="shared" si="60"/>
        <v>0</v>
      </c>
      <c r="G78" s="548">
        <f t="shared" si="60"/>
        <v>0</v>
      </c>
      <c r="H78" s="548">
        <f t="shared" si="60"/>
        <v>0</v>
      </c>
      <c r="I78" s="814"/>
      <c r="J78" s="351">
        <f>'Inputs and eligible population'!J107</f>
        <v>0</v>
      </c>
      <c r="K78" s="351">
        <f t="shared" ref="K78:O79" si="61">$J78/1000*D78</f>
        <v>0</v>
      </c>
      <c r="L78" s="351">
        <f t="shared" si="61"/>
        <v>0</v>
      </c>
      <c r="M78" s="351">
        <f t="shared" si="61"/>
        <v>0</v>
      </c>
      <c r="N78" s="351">
        <f t="shared" si="61"/>
        <v>0</v>
      </c>
      <c r="O78" s="351">
        <f t="shared" si="61"/>
        <v>0</v>
      </c>
      <c r="P78" s="842"/>
      <c r="AA78" s="902"/>
      <c r="AB78" s="902"/>
      <c r="AC78" s="902"/>
      <c r="AD78" s="902"/>
      <c r="AE78" s="902"/>
    </row>
    <row r="79" spans="1:31" x14ac:dyDescent="0.3">
      <c r="A79" s="867"/>
      <c r="B79" s="771" t="s">
        <v>720</v>
      </c>
      <c r="C79" s="641"/>
      <c r="D79" s="548">
        <f>D73</f>
        <v>0</v>
      </c>
      <c r="E79" s="548">
        <f t="shared" ref="E79:H79" si="62">E73</f>
        <v>0</v>
      </c>
      <c r="F79" s="548">
        <f t="shared" si="62"/>
        <v>0</v>
      </c>
      <c r="G79" s="548">
        <f t="shared" si="62"/>
        <v>0</v>
      </c>
      <c r="H79" s="548">
        <f t="shared" si="62"/>
        <v>0</v>
      </c>
      <c r="I79" s="814"/>
      <c r="J79" s="351">
        <f>'Inputs and eligible population'!J111</f>
        <v>0</v>
      </c>
      <c r="K79" s="351">
        <f t="shared" si="61"/>
        <v>0</v>
      </c>
      <c r="L79" s="351">
        <f t="shared" si="61"/>
        <v>0</v>
      </c>
      <c r="M79" s="351">
        <f t="shared" si="61"/>
        <v>0</v>
      </c>
      <c r="N79" s="351">
        <f t="shared" si="61"/>
        <v>0</v>
      </c>
      <c r="O79" s="351">
        <f t="shared" si="61"/>
        <v>0</v>
      </c>
      <c r="P79" s="842"/>
      <c r="AA79" s="902"/>
      <c r="AB79" s="902"/>
      <c r="AC79" s="902"/>
      <c r="AD79" s="902"/>
      <c r="AE79" s="902"/>
    </row>
    <row r="80" spans="1:31" x14ac:dyDescent="0.3">
      <c r="A80" s="867"/>
      <c r="B80" s="229" t="s">
        <v>896</v>
      </c>
      <c r="C80" s="551"/>
      <c r="D80" s="551">
        <f>SUM(D78:D79)</f>
        <v>0</v>
      </c>
      <c r="E80" s="551">
        <f t="shared" ref="E80:H80" si="63">SUM(E78:E79)</f>
        <v>0</v>
      </c>
      <c r="F80" s="551">
        <f t="shared" si="63"/>
        <v>0</v>
      </c>
      <c r="G80" s="551">
        <f t="shared" si="63"/>
        <v>0</v>
      </c>
      <c r="H80" s="551">
        <f t="shared" si="63"/>
        <v>0</v>
      </c>
      <c r="I80" s="814"/>
      <c r="J80" s="843"/>
      <c r="K80" s="235">
        <f>SUM(K78:K79)</f>
        <v>0</v>
      </c>
      <c r="L80" s="235">
        <f>SUM(L78:L79)</f>
        <v>0</v>
      </c>
      <c r="M80" s="235">
        <f>SUM(M78:M79)</f>
        <v>0</v>
      </c>
      <c r="N80" s="235">
        <f>SUM(N78:N79)</f>
        <v>0</v>
      </c>
      <c r="O80" s="235">
        <f>SUM(O78:O79)</f>
        <v>0</v>
      </c>
      <c r="P80" s="842"/>
      <c r="AA80" s="902"/>
      <c r="AB80" s="902"/>
      <c r="AC80" s="902"/>
      <c r="AD80" s="902"/>
      <c r="AE80" s="902"/>
    </row>
    <row r="81" spans="1:32" x14ac:dyDescent="0.3">
      <c r="A81" s="867"/>
      <c r="B81" s="868"/>
      <c r="C81" s="846"/>
      <c r="D81" s="844"/>
      <c r="E81" s="845"/>
      <c r="F81" s="797"/>
      <c r="G81" s="797"/>
      <c r="H81" s="797"/>
      <c r="I81" s="812"/>
      <c r="J81" s="812"/>
      <c r="K81" s="812"/>
      <c r="L81" s="812"/>
      <c r="M81" s="812"/>
      <c r="N81" s="812"/>
      <c r="O81" s="812"/>
      <c r="P81" s="842"/>
      <c r="AA81" s="902"/>
      <c r="AB81" s="902"/>
      <c r="AC81" s="902"/>
      <c r="AD81" s="902"/>
      <c r="AE81" s="902"/>
    </row>
    <row r="82" spans="1:32" x14ac:dyDescent="0.3">
      <c r="A82" s="728"/>
      <c r="B82" s="869" t="s">
        <v>897</v>
      </c>
      <c r="C82" s="350"/>
      <c r="D82" s="847"/>
      <c r="G82" s="133"/>
      <c r="H82" s="133"/>
      <c r="I82" s="133"/>
      <c r="J82" s="133"/>
      <c r="K82" s="133"/>
      <c r="L82" s="133"/>
      <c r="M82" s="133"/>
      <c r="N82" s="133"/>
      <c r="O82" s="133"/>
      <c r="P82" s="842"/>
      <c r="AA82" s="902"/>
      <c r="AB82" s="902"/>
      <c r="AC82" s="902"/>
      <c r="AD82" s="902"/>
      <c r="AE82" s="902"/>
    </row>
    <row r="83" spans="1:32" x14ac:dyDescent="0.3">
      <c r="A83" s="728"/>
      <c r="B83" s="213"/>
      <c r="C83" s="550"/>
      <c r="D83" s="647" t="s">
        <v>623</v>
      </c>
      <c r="E83" s="648" t="s">
        <v>624</v>
      </c>
      <c r="F83" s="647" t="s">
        <v>625</v>
      </c>
      <c r="G83" s="647" t="s">
        <v>626</v>
      </c>
      <c r="H83" s="648" t="s">
        <v>627</v>
      </c>
      <c r="I83" s="490"/>
      <c r="J83" s="348" t="s">
        <v>893</v>
      </c>
      <c r="K83" s="647" t="s">
        <v>623</v>
      </c>
      <c r="L83" s="648" t="s">
        <v>624</v>
      </c>
      <c r="M83" s="647" t="s">
        <v>625</v>
      </c>
      <c r="N83" s="647" t="s">
        <v>626</v>
      </c>
      <c r="O83" s="647" t="s">
        <v>627</v>
      </c>
      <c r="P83" s="842"/>
      <c r="AA83" s="902"/>
      <c r="AB83" s="902"/>
      <c r="AC83" s="902"/>
      <c r="AD83" s="902"/>
      <c r="AE83" s="902"/>
    </row>
    <row r="84" spans="1:32" x14ac:dyDescent="0.3">
      <c r="A84" s="728"/>
      <c r="B84" s="247" t="s">
        <v>720</v>
      </c>
      <c r="C84" s="548"/>
      <c r="D84" s="548">
        <f>'Inputs and eligible population'!G57</f>
        <v>9.4351680000000009</v>
      </c>
      <c r="E84" s="548">
        <f>'Inputs and eligible population'!H57</f>
        <v>8.6154406041599998</v>
      </c>
      <c r="F84" s="548">
        <f>'Inputs and eligible population'!I57</f>
        <v>7.8669311244705789</v>
      </c>
      <c r="G84" s="548">
        <f>'Inputs and eligible population'!J57</f>
        <v>7.183452148376575</v>
      </c>
      <c r="H84" s="548">
        <f>'Inputs and eligible population'!K57</f>
        <v>6.5593538257256174</v>
      </c>
      <c r="I84" s="490"/>
      <c r="J84" s="351">
        <f>'Unit costs'!N39</f>
        <v>9872.2857142857138</v>
      </c>
      <c r="K84" s="351">
        <f t="shared" ref="K84:O85" si="64">$J84/1000*D84</f>
        <v>93.146674258285714</v>
      </c>
      <c r="L84" s="351">
        <f t="shared" si="64"/>
        <v>85.054091198725843</v>
      </c>
      <c r="M84" s="351">
        <f t="shared" si="64"/>
        <v>77.664591755380542</v>
      </c>
      <c r="N84" s="351">
        <f t="shared" si="64"/>
        <v>70.917092023673078</v>
      </c>
      <c r="O84" s="351">
        <f t="shared" si="64"/>
        <v>64.755815068656347</v>
      </c>
      <c r="P84" s="842"/>
      <c r="Q84" s="848"/>
      <c r="R84" s="848"/>
      <c r="S84" s="848"/>
      <c r="T84" s="848"/>
      <c r="U84" s="848"/>
      <c r="V84" s="848"/>
      <c r="W84" s="848"/>
      <c r="X84" s="848"/>
      <c r="Y84" s="848"/>
      <c r="Z84" s="848"/>
      <c r="AA84" s="848"/>
      <c r="AB84" s="848"/>
      <c r="AC84" s="848"/>
      <c r="AD84" s="848"/>
      <c r="AE84" s="902"/>
    </row>
    <row r="85" spans="1:32" x14ac:dyDescent="0.3">
      <c r="A85" s="728"/>
      <c r="B85" s="771" t="s">
        <v>898</v>
      </c>
      <c r="C85" s="554"/>
      <c r="D85" s="548">
        <f>'Inputs and eligible population'!G67</f>
        <v>0</v>
      </c>
      <c r="E85" s="548">
        <f>'Inputs and eligible population'!H67</f>
        <v>0</v>
      </c>
      <c r="F85" s="548">
        <f>'Inputs and eligible population'!I67</f>
        <v>0</v>
      </c>
      <c r="G85" s="548">
        <f>'Inputs and eligible population'!J67</f>
        <v>0</v>
      </c>
      <c r="H85" s="548">
        <f>'Inputs and eligible population'!K67</f>
        <v>0</v>
      </c>
      <c r="I85" s="490"/>
      <c r="J85" s="351">
        <f>'Unit costs'!N39</f>
        <v>9872.2857142857138</v>
      </c>
      <c r="K85" s="351">
        <f t="shared" si="64"/>
        <v>0</v>
      </c>
      <c r="L85" s="351">
        <f t="shared" si="64"/>
        <v>0</v>
      </c>
      <c r="M85" s="351">
        <f t="shared" si="64"/>
        <v>0</v>
      </c>
      <c r="N85" s="351">
        <f t="shared" si="64"/>
        <v>0</v>
      </c>
      <c r="O85" s="351">
        <f t="shared" si="64"/>
        <v>0</v>
      </c>
      <c r="P85" s="842"/>
      <c r="AA85" s="902"/>
      <c r="AB85" s="902"/>
      <c r="AC85" s="902"/>
      <c r="AD85" s="902"/>
      <c r="AE85" s="902"/>
    </row>
    <row r="86" spans="1:32" x14ac:dyDescent="0.3">
      <c r="A86" s="728"/>
      <c r="B86" s="229" t="s">
        <v>894</v>
      </c>
      <c r="C86" s="551"/>
      <c r="D86" s="551">
        <f>SUM(D84:D85)</f>
        <v>9.4351680000000009</v>
      </c>
      <c r="E86" s="551">
        <f t="shared" ref="E86:H86" si="65">SUM(E84:E85)</f>
        <v>8.6154406041599998</v>
      </c>
      <c r="F86" s="551">
        <f t="shared" si="65"/>
        <v>7.8669311244705789</v>
      </c>
      <c r="G86" s="551">
        <f t="shared" si="65"/>
        <v>7.183452148376575</v>
      </c>
      <c r="H86" s="551">
        <f t="shared" si="65"/>
        <v>6.5593538257256174</v>
      </c>
      <c r="I86" s="490"/>
      <c r="J86" s="848"/>
      <c r="K86" s="235">
        <f>SUM(K84:K85)</f>
        <v>93.146674258285714</v>
      </c>
      <c r="L86" s="235">
        <f t="shared" ref="L86:O86" si="66">SUM(L84:L85)</f>
        <v>85.054091198725843</v>
      </c>
      <c r="M86" s="235">
        <f t="shared" si="66"/>
        <v>77.664591755380542</v>
      </c>
      <c r="N86" s="235">
        <f t="shared" si="66"/>
        <v>70.917092023673078</v>
      </c>
      <c r="O86" s="235">
        <f t="shared" si="66"/>
        <v>64.755815068656347</v>
      </c>
      <c r="P86" s="842"/>
      <c r="AA86" s="902"/>
      <c r="AB86" s="902"/>
      <c r="AC86" s="902"/>
      <c r="AD86" s="902"/>
      <c r="AE86" s="902"/>
    </row>
    <row r="87" spans="1:32" x14ac:dyDescent="0.3">
      <c r="A87" s="728"/>
      <c r="B87" s="237"/>
      <c r="C87" s="350"/>
      <c r="D87" s="847"/>
      <c r="I87" s="133"/>
      <c r="J87" s="133"/>
      <c r="K87" s="133"/>
      <c r="L87" s="133"/>
      <c r="M87" s="133"/>
      <c r="N87" s="133"/>
      <c r="O87" s="133"/>
      <c r="P87" s="842"/>
      <c r="AA87" s="902"/>
      <c r="AB87" s="902"/>
      <c r="AC87" s="902"/>
      <c r="AD87" s="902"/>
      <c r="AE87" s="902"/>
    </row>
    <row r="88" spans="1:32" x14ac:dyDescent="0.3">
      <c r="A88" s="871"/>
      <c r="B88" s="575" t="s">
        <v>899</v>
      </c>
      <c r="C88" s="576"/>
      <c r="D88" s="577"/>
      <c r="E88" s="578"/>
      <c r="F88" s="579"/>
      <c r="G88" s="579"/>
      <c r="H88" s="580"/>
      <c r="I88" s="786"/>
      <c r="J88" s="657"/>
      <c r="K88" s="579"/>
      <c r="L88" s="579"/>
      <c r="M88" s="579"/>
      <c r="N88" s="579"/>
      <c r="O88" s="658"/>
      <c r="P88" s="842"/>
      <c r="Q88" s="902"/>
      <c r="R88" s="902"/>
      <c r="S88" s="902"/>
      <c r="T88" s="902"/>
      <c r="U88" s="902"/>
      <c r="V88" s="902"/>
      <c r="W88" s="902"/>
      <c r="X88" s="902"/>
      <c r="Y88" s="902"/>
      <c r="Z88" s="902"/>
      <c r="AA88" s="902"/>
      <c r="AB88" s="902"/>
      <c r="AC88" s="902"/>
      <c r="AD88" s="902"/>
      <c r="AE88" s="902"/>
    </row>
    <row r="89" spans="1:32" x14ac:dyDescent="0.3">
      <c r="A89" s="871"/>
      <c r="B89" s="790" t="s">
        <v>900</v>
      </c>
      <c r="C89" s="655"/>
      <c r="D89" s="655"/>
      <c r="E89" s="655"/>
      <c r="F89" s="655"/>
      <c r="G89" s="655"/>
      <c r="H89" s="655"/>
      <c r="I89" s="584"/>
      <c r="J89" s="654"/>
      <c r="K89" s="655"/>
      <c r="L89" s="655"/>
      <c r="M89" s="655"/>
      <c r="N89" s="655"/>
      <c r="O89" s="656"/>
      <c r="P89" s="842"/>
      <c r="AA89" s="902"/>
      <c r="AB89" s="902"/>
      <c r="AC89" s="902"/>
      <c r="AD89" s="902"/>
      <c r="AE89" s="902"/>
    </row>
    <row r="90" spans="1:32" x14ac:dyDescent="0.3">
      <c r="A90" s="871"/>
      <c r="B90" s="274" t="s">
        <v>895</v>
      </c>
      <c r="C90" s="552"/>
      <c r="D90" s="647" t="s">
        <v>623</v>
      </c>
      <c r="E90" s="648" t="s">
        <v>624</v>
      </c>
      <c r="F90" s="647" t="s">
        <v>625</v>
      </c>
      <c r="G90" s="647" t="s">
        <v>626</v>
      </c>
      <c r="H90" s="648" t="s">
        <v>627</v>
      </c>
      <c r="I90" s="584"/>
      <c r="J90" s="489" t="s">
        <v>893</v>
      </c>
      <c r="K90" s="647" t="s">
        <v>623</v>
      </c>
      <c r="L90" s="648" t="s">
        <v>624</v>
      </c>
      <c r="M90" s="647" t="s">
        <v>625</v>
      </c>
      <c r="N90" s="647" t="s">
        <v>626</v>
      </c>
      <c r="O90" s="648" t="s">
        <v>627</v>
      </c>
      <c r="P90" s="842"/>
      <c r="AA90" s="902"/>
      <c r="AB90" s="902"/>
      <c r="AC90" s="902"/>
      <c r="AD90" s="902"/>
      <c r="AE90" s="902"/>
    </row>
    <row r="91" spans="1:32" x14ac:dyDescent="0.3">
      <c r="A91" s="871"/>
      <c r="B91" s="247" t="s">
        <v>720</v>
      </c>
      <c r="C91" s="548"/>
      <c r="D91" s="128">
        <f>D84</f>
        <v>9.4351680000000009</v>
      </c>
      <c r="E91" s="128">
        <f t="shared" ref="E91:H91" si="67">E84</f>
        <v>8.6154406041599998</v>
      </c>
      <c r="F91" s="128">
        <f t="shared" si="67"/>
        <v>7.8669311244705789</v>
      </c>
      <c r="G91" s="128">
        <f t="shared" si="67"/>
        <v>7.183452148376575</v>
      </c>
      <c r="H91" s="128">
        <f t="shared" si="67"/>
        <v>6.5593538257256174</v>
      </c>
      <c r="I91" s="584"/>
      <c r="J91" s="351">
        <f>'Unit costs'!K64</f>
        <v>181</v>
      </c>
      <c r="K91" s="351">
        <f t="shared" ref="K91:O92" si="68">$J91/1000*D91</f>
        <v>1.7077654080000002</v>
      </c>
      <c r="L91" s="351">
        <f t="shared" si="68"/>
        <v>1.5593947493529599</v>
      </c>
      <c r="M91" s="351">
        <f t="shared" si="68"/>
        <v>1.4239145335291747</v>
      </c>
      <c r="N91" s="351">
        <f t="shared" si="68"/>
        <v>1.30020483885616</v>
      </c>
      <c r="O91" s="351">
        <f t="shared" si="68"/>
        <v>1.1872430424563367</v>
      </c>
      <c r="P91" s="842"/>
      <c r="AA91" s="902"/>
      <c r="AB91" s="902"/>
      <c r="AC91" s="902"/>
      <c r="AD91" s="902"/>
      <c r="AE91" s="902"/>
    </row>
    <row r="92" spans="1:32" x14ac:dyDescent="0.3">
      <c r="A92" s="871"/>
      <c r="B92" s="640" t="s">
        <v>721</v>
      </c>
      <c r="C92" s="641"/>
      <c r="D92" s="548">
        <f>D85</f>
        <v>0</v>
      </c>
      <c r="E92" s="548">
        <f t="shared" ref="E92:H92" si="69">E85</f>
        <v>0</v>
      </c>
      <c r="F92" s="548">
        <f t="shared" si="69"/>
        <v>0</v>
      </c>
      <c r="G92" s="548">
        <f t="shared" si="69"/>
        <v>0</v>
      </c>
      <c r="H92" s="548">
        <f t="shared" si="69"/>
        <v>0</v>
      </c>
      <c r="I92" s="584"/>
      <c r="J92" s="351">
        <f>'Unit costs'!K64</f>
        <v>181</v>
      </c>
      <c r="K92" s="351">
        <f t="shared" si="68"/>
        <v>0</v>
      </c>
      <c r="L92" s="351">
        <f t="shared" si="68"/>
        <v>0</v>
      </c>
      <c r="M92" s="351">
        <f t="shared" si="68"/>
        <v>0</v>
      </c>
      <c r="N92" s="351">
        <f t="shared" si="68"/>
        <v>0</v>
      </c>
      <c r="O92" s="351">
        <f t="shared" si="68"/>
        <v>0</v>
      </c>
      <c r="P92" s="842"/>
      <c r="AA92" s="902"/>
      <c r="AB92" s="902"/>
      <c r="AC92" s="902"/>
      <c r="AD92" s="902"/>
      <c r="AE92" s="902"/>
    </row>
    <row r="93" spans="1:32" x14ac:dyDescent="0.3">
      <c r="A93" s="871"/>
      <c r="B93" s="229" t="s">
        <v>896</v>
      </c>
      <c r="C93" s="551"/>
      <c r="D93" s="551">
        <f>SUM(D91:D92)</f>
        <v>9.4351680000000009</v>
      </c>
      <c r="E93" s="551">
        <f t="shared" ref="E93:H93" si="70">SUM(E91:E92)</f>
        <v>8.6154406041599998</v>
      </c>
      <c r="F93" s="551">
        <f t="shared" si="70"/>
        <v>7.8669311244705789</v>
      </c>
      <c r="G93" s="551">
        <f t="shared" si="70"/>
        <v>7.183452148376575</v>
      </c>
      <c r="H93" s="551">
        <f t="shared" si="70"/>
        <v>6.5593538257256174</v>
      </c>
      <c r="I93" s="645"/>
      <c r="J93" s="849"/>
      <c r="K93" s="235">
        <f>SUM(K91:K92)</f>
        <v>1.7077654080000002</v>
      </c>
      <c r="L93" s="235">
        <f>SUM(L91:L92)</f>
        <v>1.5593947493529599</v>
      </c>
      <c r="M93" s="235">
        <f>SUM(M91:M92)</f>
        <v>1.4239145335291747</v>
      </c>
      <c r="N93" s="235">
        <f>SUM(N91:N92)</f>
        <v>1.30020483885616</v>
      </c>
      <c r="O93" s="235">
        <f>SUM(O91:O92)</f>
        <v>1.1872430424563367</v>
      </c>
      <c r="P93" s="842"/>
      <c r="AA93" s="902"/>
      <c r="AB93" s="902"/>
      <c r="AC93" s="902"/>
      <c r="AD93" s="902"/>
      <c r="AE93" s="902"/>
      <c r="AF93" s="556"/>
    </row>
    <row r="94" spans="1:32" x14ac:dyDescent="0.3">
      <c r="A94" s="871"/>
      <c r="B94" s="873"/>
      <c r="C94" s="787"/>
      <c r="D94" s="788"/>
      <c r="E94" s="789"/>
      <c r="F94" s="786"/>
      <c r="G94" s="786"/>
      <c r="H94" s="786"/>
      <c r="I94" s="791"/>
      <c r="J94" s="791"/>
      <c r="K94" s="791"/>
      <c r="L94" s="791"/>
      <c r="M94" s="791"/>
      <c r="N94" s="791"/>
      <c r="O94" s="791"/>
      <c r="P94" s="842"/>
      <c r="AA94" s="902"/>
      <c r="AB94" s="902"/>
      <c r="AC94" s="902"/>
      <c r="AD94" s="902"/>
      <c r="AE94" s="902"/>
      <c r="AF94" s="556"/>
    </row>
    <row r="95" spans="1:32" x14ac:dyDescent="0.3">
      <c r="A95" s="875"/>
      <c r="B95" s="781" t="s">
        <v>899</v>
      </c>
      <c r="C95" s="573"/>
      <c r="D95" s="573"/>
      <c r="E95" s="573"/>
      <c r="F95" s="573"/>
      <c r="G95" s="573"/>
      <c r="H95" s="653"/>
      <c r="I95" s="574"/>
      <c r="J95" s="652"/>
      <c r="K95" s="573"/>
      <c r="L95" s="573"/>
      <c r="M95" s="573"/>
      <c r="N95" s="573"/>
      <c r="O95" s="653"/>
      <c r="P95" s="842"/>
      <c r="Q95" s="904"/>
      <c r="R95" s="904"/>
      <c r="S95" s="904"/>
      <c r="T95" s="904"/>
      <c r="U95" s="904"/>
      <c r="V95" s="904"/>
      <c r="W95" s="904"/>
      <c r="X95" s="904"/>
      <c r="Y95" s="904"/>
      <c r="Z95" s="904"/>
      <c r="AA95" s="904"/>
      <c r="AB95" s="904"/>
      <c r="AC95" s="904"/>
      <c r="AD95" s="904"/>
      <c r="AE95" s="902"/>
      <c r="AF95" s="556"/>
    </row>
    <row r="96" spans="1:32" x14ac:dyDescent="0.3">
      <c r="A96" s="875"/>
      <c r="B96" s="778" t="s">
        <v>901</v>
      </c>
      <c r="C96" s="779"/>
      <c r="D96" s="779"/>
      <c r="E96" s="779"/>
      <c r="F96" s="779"/>
      <c r="G96" s="779"/>
      <c r="H96" s="779"/>
      <c r="I96" s="574"/>
      <c r="J96" s="780"/>
      <c r="K96" s="779"/>
      <c r="L96" s="779"/>
      <c r="M96" s="779"/>
      <c r="N96" s="779"/>
      <c r="O96" s="777"/>
      <c r="P96" s="842"/>
      <c r="AA96" s="902"/>
      <c r="AB96" s="902"/>
      <c r="AC96" s="902"/>
      <c r="AD96" s="902"/>
      <c r="AE96" s="902"/>
      <c r="AF96" s="556"/>
    </row>
    <row r="97" spans="1:32" x14ac:dyDescent="0.3">
      <c r="A97" s="875"/>
      <c r="B97" s="274" t="s">
        <v>895</v>
      </c>
      <c r="C97" s="552"/>
      <c r="D97" s="647" t="s">
        <v>623</v>
      </c>
      <c r="E97" s="648" t="s">
        <v>624</v>
      </c>
      <c r="F97" s="647" t="s">
        <v>625</v>
      </c>
      <c r="G97" s="647" t="s">
        <v>626</v>
      </c>
      <c r="H97" s="648" t="s">
        <v>627</v>
      </c>
      <c r="I97" s="574"/>
      <c r="J97" s="489" t="s">
        <v>893</v>
      </c>
      <c r="K97" s="647" t="s">
        <v>623</v>
      </c>
      <c r="L97" s="648" t="s">
        <v>624</v>
      </c>
      <c r="M97" s="647" t="s">
        <v>625</v>
      </c>
      <c r="N97" s="647" t="s">
        <v>626</v>
      </c>
      <c r="O97" s="648" t="s">
        <v>627</v>
      </c>
      <c r="P97" s="842"/>
      <c r="AA97" s="902"/>
      <c r="AB97" s="902"/>
      <c r="AC97" s="902"/>
      <c r="AD97" s="902"/>
      <c r="AE97" s="902"/>
      <c r="AF97" s="556"/>
    </row>
    <row r="98" spans="1:32" x14ac:dyDescent="0.3">
      <c r="A98" s="875"/>
      <c r="B98" s="247" t="s">
        <v>720</v>
      </c>
      <c r="C98" s="548"/>
      <c r="D98" s="128">
        <f>D91*'Inputs and eligible population'!$F$112</f>
        <v>0</v>
      </c>
      <c r="E98" s="128">
        <f>E91*'Inputs and eligible population'!$F$112</f>
        <v>0</v>
      </c>
      <c r="F98" s="128">
        <f>F91*'Inputs and eligible population'!$F$112</f>
        <v>0</v>
      </c>
      <c r="G98" s="128">
        <f>G91*'Inputs and eligible population'!$F$112</f>
        <v>0</v>
      </c>
      <c r="H98" s="128">
        <f>H91*'Inputs and eligible population'!$F$112</f>
        <v>0</v>
      </c>
      <c r="I98" s="574"/>
      <c r="J98" s="351">
        <f>'Unit costs'!K65</f>
        <v>72</v>
      </c>
      <c r="K98" s="351">
        <f t="shared" ref="K98:O99" si="71">$J98/1000*D98</f>
        <v>0</v>
      </c>
      <c r="L98" s="351">
        <f t="shared" si="71"/>
        <v>0</v>
      </c>
      <c r="M98" s="351">
        <f t="shared" si="71"/>
        <v>0</v>
      </c>
      <c r="N98" s="351">
        <f t="shared" si="71"/>
        <v>0</v>
      </c>
      <c r="O98" s="351">
        <f t="shared" si="71"/>
        <v>0</v>
      </c>
      <c r="P98" s="842"/>
      <c r="AA98" s="902"/>
      <c r="AB98" s="902"/>
      <c r="AC98" s="902"/>
      <c r="AD98" s="902"/>
      <c r="AE98" s="902"/>
      <c r="AF98" s="556"/>
    </row>
    <row r="99" spans="1:32" x14ac:dyDescent="0.3">
      <c r="A99" s="875"/>
      <c r="B99" s="772" t="s">
        <v>721</v>
      </c>
      <c r="C99" s="553"/>
      <c r="D99" s="128">
        <f>D92*'Inputs and eligible population'!$F$112</f>
        <v>0</v>
      </c>
      <c r="E99" s="128">
        <f>E92*'Inputs and eligible population'!$F$112</f>
        <v>0</v>
      </c>
      <c r="F99" s="128">
        <f>F92*'Inputs and eligible population'!$F$112</f>
        <v>0</v>
      </c>
      <c r="G99" s="128">
        <f>G92*'Inputs and eligible population'!$F$112</f>
        <v>0</v>
      </c>
      <c r="H99" s="128">
        <f>H92*'Inputs and eligible population'!$F$112</f>
        <v>0</v>
      </c>
      <c r="I99" s="574"/>
      <c r="J99" s="351">
        <f>'Unit costs'!K65</f>
        <v>72</v>
      </c>
      <c r="K99" s="351">
        <f t="shared" si="71"/>
        <v>0</v>
      </c>
      <c r="L99" s="351">
        <f t="shared" si="71"/>
        <v>0</v>
      </c>
      <c r="M99" s="351">
        <f t="shared" si="71"/>
        <v>0</v>
      </c>
      <c r="N99" s="351">
        <f t="shared" si="71"/>
        <v>0</v>
      </c>
      <c r="O99" s="351">
        <f t="shared" si="71"/>
        <v>0</v>
      </c>
      <c r="P99" s="842"/>
      <c r="AA99" s="902"/>
      <c r="AB99" s="902"/>
      <c r="AC99" s="902"/>
      <c r="AD99" s="902"/>
      <c r="AE99" s="902"/>
      <c r="AF99" s="556"/>
    </row>
    <row r="100" spans="1:32" x14ac:dyDescent="0.3">
      <c r="A100" s="875"/>
      <c r="B100" s="229" t="s">
        <v>902</v>
      </c>
      <c r="C100" s="551"/>
      <c r="D100" s="551">
        <f>SUM(D98:D99)</f>
        <v>0</v>
      </c>
      <c r="E100" s="551">
        <f t="shared" ref="E100:H100" si="72">SUM(E98:E99)</f>
        <v>0</v>
      </c>
      <c r="F100" s="551">
        <f t="shared" si="72"/>
        <v>0</v>
      </c>
      <c r="G100" s="551">
        <f t="shared" si="72"/>
        <v>0</v>
      </c>
      <c r="H100" s="551">
        <f t="shared" si="72"/>
        <v>0</v>
      </c>
      <c r="I100" s="574"/>
      <c r="J100" s="850"/>
      <c r="K100" s="235">
        <f>SUM(K98:K99)</f>
        <v>0</v>
      </c>
      <c r="L100" s="235">
        <f>SUM(L98:L99)</f>
        <v>0</v>
      </c>
      <c r="M100" s="235">
        <f>SUM(M98:M99)</f>
        <v>0</v>
      </c>
      <c r="N100" s="235">
        <f>SUM(N98:N99)</f>
        <v>0</v>
      </c>
      <c r="O100" s="235">
        <f>SUM(O98:O99)</f>
        <v>0</v>
      </c>
      <c r="P100" s="842"/>
      <c r="AA100" s="902"/>
      <c r="AB100" s="902"/>
      <c r="AC100" s="902"/>
      <c r="AD100" s="902"/>
      <c r="AE100" s="902"/>
      <c r="AF100" s="556"/>
    </row>
    <row r="101" spans="1:32" x14ac:dyDescent="0.3">
      <c r="A101" s="875"/>
      <c r="B101" s="876"/>
      <c r="C101" s="851"/>
      <c r="D101" s="852"/>
      <c r="E101" s="853"/>
      <c r="F101" s="569"/>
      <c r="G101" s="569"/>
      <c r="H101" s="569"/>
      <c r="I101" s="854"/>
      <c r="J101" s="854"/>
      <c r="K101" s="854"/>
      <c r="L101" s="854"/>
      <c r="M101" s="854"/>
      <c r="N101" s="854"/>
      <c r="O101" s="854"/>
      <c r="P101" s="842"/>
      <c r="AA101" s="902"/>
      <c r="AB101" s="902"/>
      <c r="AC101" s="902"/>
      <c r="AD101" s="902"/>
      <c r="AE101" s="902"/>
      <c r="AF101" s="556"/>
    </row>
    <row r="102" spans="1:32" x14ac:dyDescent="0.3">
      <c r="A102" s="878"/>
      <c r="B102" s="773" t="s">
        <v>736</v>
      </c>
      <c r="C102" s="586"/>
      <c r="D102" s="586"/>
      <c r="E102" s="586"/>
      <c r="F102" s="586"/>
      <c r="G102" s="586"/>
      <c r="H102" s="651"/>
      <c r="I102" s="587"/>
      <c r="J102" s="650"/>
      <c r="K102" s="586"/>
      <c r="L102" s="586"/>
      <c r="M102" s="586"/>
      <c r="N102" s="586"/>
      <c r="O102" s="651"/>
      <c r="P102" s="842"/>
      <c r="AA102" s="902"/>
      <c r="AB102" s="902"/>
      <c r="AC102" s="902"/>
      <c r="AD102" s="902"/>
      <c r="AE102" s="902"/>
      <c r="AF102" s="556"/>
    </row>
    <row r="103" spans="1:32" ht="28.8" x14ac:dyDescent="0.3">
      <c r="A103" s="878"/>
      <c r="B103" s="274" t="s">
        <v>895</v>
      </c>
      <c r="C103" s="552"/>
      <c r="D103" s="647" t="s">
        <v>623</v>
      </c>
      <c r="E103" s="648" t="s">
        <v>624</v>
      </c>
      <c r="F103" s="647" t="s">
        <v>625</v>
      </c>
      <c r="G103" s="647" t="s">
        <v>626</v>
      </c>
      <c r="H103" s="648" t="s">
        <v>627</v>
      </c>
      <c r="I103" s="587"/>
      <c r="J103" s="489" t="s">
        <v>903</v>
      </c>
      <c r="K103" s="647" t="s">
        <v>623</v>
      </c>
      <c r="L103" s="648" t="s">
        <v>624</v>
      </c>
      <c r="M103" s="647" t="s">
        <v>625</v>
      </c>
      <c r="N103" s="647" t="s">
        <v>626</v>
      </c>
      <c r="O103" s="648" t="s">
        <v>627</v>
      </c>
      <c r="P103" s="842"/>
      <c r="AA103" s="902"/>
      <c r="AB103" s="902"/>
      <c r="AC103" s="902"/>
      <c r="AD103" s="902"/>
      <c r="AE103" s="902"/>
      <c r="AF103" s="556"/>
    </row>
    <row r="104" spans="1:32" x14ac:dyDescent="0.3">
      <c r="A104" s="878"/>
      <c r="B104" s="247" t="s">
        <v>720</v>
      </c>
      <c r="C104" s="548"/>
      <c r="D104" s="128">
        <f>'Inputs and eligible population'!G55*'Inputs and eligible population'!$F$116</f>
        <v>0</v>
      </c>
      <c r="E104" s="128">
        <f>'Inputs and eligible population'!H55*'Inputs and eligible population'!$F$116</f>
        <v>0</v>
      </c>
      <c r="F104" s="128">
        <f>'Inputs and eligible population'!I55*'Inputs and eligible population'!$F$116</f>
        <v>0</v>
      </c>
      <c r="G104" s="128">
        <f>'Inputs and eligible population'!J55*'Inputs and eligible population'!$F$116</f>
        <v>0</v>
      </c>
      <c r="H104" s="128">
        <f>'Inputs and eligible population'!K55*'Inputs and eligible population'!$F$116</f>
        <v>0</v>
      </c>
      <c r="I104" s="587"/>
      <c r="J104" s="351">
        <f>'Inputs and eligible population'!J117</f>
        <v>0</v>
      </c>
      <c r="K104" s="351">
        <f t="shared" ref="K104:O105" si="73">$J104/1000*D104</f>
        <v>0</v>
      </c>
      <c r="L104" s="351">
        <f t="shared" si="73"/>
        <v>0</v>
      </c>
      <c r="M104" s="351">
        <f t="shared" si="73"/>
        <v>0</v>
      </c>
      <c r="N104" s="351">
        <f t="shared" si="73"/>
        <v>0</v>
      </c>
      <c r="O104" s="351">
        <f t="shared" si="73"/>
        <v>0</v>
      </c>
      <c r="P104" s="842"/>
      <c r="AA104" s="902"/>
      <c r="AB104" s="902"/>
      <c r="AC104" s="902"/>
      <c r="AD104" s="902"/>
      <c r="AE104" s="902"/>
      <c r="AF104" s="556"/>
    </row>
    <row r="105" spans="1:32" x14ac:dyDescent="0.3">
      <c r="A105" s="878"/>
      <c r="B105" s="772" t="s">
        <v>721</v>
      </c>
      <c r="C105" s="553"/>
      <c r="D105" s="128">
        <f>'Inputs and eligible population'!G67*'Inputs and eligible population'!$G$116</f>
        <v>0</v>
      </c>
      <c r="E105" s="128">
        <f>'Inputs and eligible population'!H67*'Inputs and eligible population'!$G$116</f>
        <v>0</v>
      </c>
      <c r="F105" s="128">
        <f>'Inputs and eligible population'!I67*'Inputs and eligible population'!$G$116</f>
        <v>0</v>
      </c>
      <c r="G105" s="128">
        <f>'Inputs and eligible population'!J67*'Inputs and eligible population'!$G$116</f>
        <v>0</v>
      </c>
      <c r="H105" s="128">
        <f>'Inputs and eligible population'!K67*'Inputs and eligible population'!$G$116</f>
        <v>0</v>
      </c>
      <c r="I105" s="587"/>
      <c r="J105" s="351">
        <f>'Inputs and eligible population'!J117</f>
        <v>0</v>
      </c>
      <c r="K105" s="351">
        <f t="shared" si="73"/>
        <v>0</v>
      </c>
      <c r="L105" s="351">
        <f t="shared" si="73"/>
        <v>0</v>
      </c>
      <c r="M105" s="351">
        <f t="shared" si="73"/>
        <v>0</v>
      </c>
      <c r="N105" s="351">
        <f t="shared" si="73"/>
        <v>0</v>
      </c>
      <c r="O105" s="351">
        <f t="shared" si="73"/>
        <v>0</v>
      </c>
      <c r="P105" s="842"/>
      <c r="AA105" s="902"/>
      <c r="AB105" s="902"/>
      <c r="AC105" s="902"/>
      <c r="AD105" s="902"/>
      <c r="AE105" s="902"/>
      <c r="AF105" s="556"/>
    </row>
    <row r="106" spans="1:32" x14ac:dyDescent="0.3">
      <c r="A106" s="878"/>
      <c r="B106" s="229" t="s">
        <v>896</v>
      </c>
      <c r="C106" s="551"/>
      <c r="D106" s="551">
        <f>SUM(D104:D105)</f>
        <v>0</v>
      </c>
      <c r="E106" s="551">
        <f t="shared" ref="E106:H106" si="74">SUM(E104:E105)</f>
        <v>0</v>
      </c>
      <c r="F106" s="551">
        <f t="shared" si="74"/>
        <v>0</v>
      </c>
      <c r="G106" s="551">
        <f t="shared" si="74"/>
        <v>0</v>
      </c>
      <c r="H106" s="551">
        <f t="shared" si="74"/>
        <v>0</v>
      </c>
      <c r="I106" s="587"/>
      <c r="J106" s="855"/>
      <c r="K106" s="235">
        <f>SUM(K104:K105)</f>
        <v>0</v>
      </c>
      <c r="L106" s="235">
        <f>SUM(L104:L105)</f>
        <v>0</v>
      </c>
      <c r="M106" s="235">
        <f>SUM(M104:M105)</f>
        <v>0</v>
      </c>
      <c r="N106" s="235">
        <f>SUM(N104:N105)</f>
        <v>0</v>
      </c>
      <c r="O106" s="235">
        <f>SUM(O104:O105)</f>
        <v>0</v>
      </c>
      <c r="P106" s="842"/>
      <c r="AA106" s="902"/>
      <c r="AB106" s="902"/>
      <c r="AC106" s="902"/>
      <c r="AD106" s="902"/>
      <c r="AE106" s="902"/>
      <c r="AF106" s="556"/>
    </row>
    <row r="107" spans="1:32" x14ac:dyDescent="0.3">
      <c r="A107" s="878"/>
      <c r="B107" s="879"/>
      <c r="C107" s="856"/>
      <c r="D107" s="857"/>
      <c r="E107" s="858"/>
      <c r="F107" s="588"/>
      <c r="G107" s="588"/>
      <c r="H107" s="588"/>
      <c r="I107" s="859"/>
      <c r="J107" s="859"/>
      <c r="K107" s="859"/>
      <c r="L107" s="859"/>
      <c r="M107" s="859"/>
      <c r="N107" s="859"/>
      <c r="O107" s="859"/>
      <c r="P107" s="842"/>
      <c r="AA107" s="902"/>
      <c r="AB107" s="902"/>
      <c r="AC107" s="902"/>
      <c r="AD107" s="902"/>
      <c r="AE107" s="902"/>
      <c r="AF107" s="556"/>
    </row>
    <row r="108" spans="1:32" x14ac:dyDescent="0.3">
      <c r="A108" s="728"/>
      <c r="B108" s="959"/>
      <c r="P108" s="727"/>
      <c r="AF108" s="556"/>
    </row>
    <row r="109" spans="1:32" x14ac:dyDescent="0.3">
      <c r="A109" s="728"/>
      <c r="B109" s="262" t="s">
        <v>1129</v>
      </c>
      <c r="C109" s="960"/>
      <c r="D109" s="960"/>
      <c r="E109" s="960"/>
      <c r="F109" s="960"/>
      <c r="G109" s="960"/>
      <c r="H109" s="961"/>
      <c r="I109" s="490"/>
      <c r="J109" s="962"/>
      <c r="K109" s="960"/>
      <c r="L109" s="960"/>
      <c r="M109" s="960"/>
      <c r="N109" s="960"/>
      <c r="O109" s="961"/>
      <c r="P109" s="842"/>
      <c r="AA109" s="902"/>
      <c r="AB109" s="902"/>
      <c r="AC109" s="902"/>
      <c r="AD109" s="902"/>
      <c r="AE109" s="902"/>
      <c r="AF109" s="556"/>
    </row>
    <row r="110" spans="1:32" ht="28.8" x14ac:dyDescent="0.3">
      <c r="A110" s="728"/>
      <c r="B110" s="274" t="s">
        <v>895</v>
      </c>
      <c r="C110" s="552"/>
      <c r="D110" s="647" t="s">
        <v>623</v>
      </c>
      <c r="E110" s="648" t="s">
        <v>624</v>
      </c>
      <c r="F110" s="647" t="s">
        <v>625</v>
      </c>
      <c r="G110" s="647" t="s">
        <v>626</v>
      </c>
      <c r="H110" s="648" t="s">
        <v>627</v>
      </c>
      <c r="I110" s="490"/>
      <c r="J110" s="489" t="s">
        <v>903</v>
      </c>
      <c r="K110" s="647" t="s">
        <v>623</v>
      </c>
      <c r="L110" s="648" t="s">
        <v>624</v>
      </c>
      <c r="M110" s="647" t="s">
        <v>625</v>
      </c>
      <c r="N110" s="647" t="s">
        <v>626</v>
      </c>
      <c r="O110" s="648" t="s">
        <v>627</v>
      </c>
      <c r="P110" s="842"/>
      <c r="AA110" s="902"/>
      <c r="AB110" s="902"/>
      <c r="AC110" s="902"/>
      <c r="AD110" s="902"/>
      <c r="AE110" s="902"/>
      <c r="AF110" s="556"/>
    </row>
    <row r="111" spans="1:32" x14ac:dyDescent="0.3">
      <c r="A111" s="728"/>
      <c r="B111" s="247" t="s">
        <v>720</v>
      </c>
      <c r="C111" s="548"/>
      <c r="D111" s="128">
        <f>'Inputs and eligible population'!G59</f>
        <v>0</v>
      </c>
      <c r="E111" s="128">
        <f>'Inputs and eligible population'!H59</f>
        <v>0</v>
      </c>
      <c r="F111" s="128">
        <f>'Inputs and eligible population'!I59</f>
        <v>0</v>
      </c>
      <c r="G111" s="128">
        <f>'Inputs and eligible population'!J59</f>
        <v>0</v>
      </c>
      <c r="H111" s="128">
        <f>'Inputs and eligible population'!K59</f>
        <v>0</v>
      </c>
      <c r="I111" s="490"/>
      <c r="J111" s="351">
        <f>'Unit costs'!N32</f>
        <v>0</v>
      </c>
      <c r="K111" s="351">
        <f t="shared" ref="K111:K112" si="75">$J111/1000*D111</f>
        <v>0</v>
      </c>
      <c r="L111" s="351">
        <f t="shared" ref="L111:L112" si="76">$J111/1000*E111</f>
        <v>0</v>
      </c>
      <c r="M111" s="351">
        <f t="shared" ref="M111:M112" si="77">$J111/1000*F111</f>
        <v>0</v>
      </c>
      <c r="N111" s="351">
        <f t="shared" ref="N111:N112" si="78">$J111/1000*G111</f>
        <v>0</v>
      </c>
      <c r="O111" s="351">
        <f t="shared" ref="O111:O112" si="79">$J111/1000*H111</f>
        <v>0</v>
      </c>
      <c r="P111" s="842"/>
      <c r="AA111" s="902"/>
      <c r="AB111" s="902"/>
      <c r="AC111" s="902"/>
      <c r="AD111" s="902"/>
      <c r="AE111" s="902"/>
      <c r="AF111" s="556"/>
    </row>
    <row r="112" spans="1:32" x14ac:dyDescent="0.3">
      <c r="A112" s="728"/>
      <c r="B112" s="772" t="s">
        <v>721</v>
      </c>
      <c r="C112" s="553"/>
      <c r="D112" s="128">
        <f>'Inputs and eligible population'!G69</f>
        <v>0</v>
      </c>
      <c r="E112" s="128">
        <f>'Inputs and eligible population'!H69</f>
        <v>0</v>
      </c>
      <c r="F112" s="128">
        <f>'Inputs and eligible population'!I69</f>
        <v>0</v>
      </c>
      <c r="G112" s="128">
        <f>'Inputs and eligible population'!J69</f>
        <v>0</v>
      </c>
      <c r="H112" s="128">
        <f>'Inputs and eligible population'!K69</f>
        <v>0</v>
      </c>
      <c r="I112" s="490"/>
      <c r="J112" s="351">
        <f>'Unit costs'!J32</f>
        <v>0</v>
      </c>
      <c r="K112" s="351">
        <f t="shared" si="75"/>
        <v>0</v>
      </c>
      <c r="L112" s="351">
        <f t="shared" si="76"/>
        <v>0</v>
      </c>
      <c r="M112" s="351">
        <f t="shared" si="77"/>
        <v>0</v>
      </c>
      <c r="N112" s="351">
        <f t="shared" si="78"/>
        <v>0</v>
      </c>
      <c r="O112" s="351">
        <f t="shared" si="79"/>
        <v>0</v>
      </c>
      <c r="P112" s="842"/>
      <c r="AA112" s="902"/>
      <c r="AB112" s="902"/>
      <c r="AC112" s="902"/>
      <c r="AD112" s="902"/>
      <c r="AE112" s="902"/>
      <c r="AF112" s="556"/>
    </row>
    <row r="113" spans="1:35" x14ac:dyDescent="0.3">
      <c r="A113" s="728"/>
      <c r="B113" s="229" t="s">
        <v>896</v>
      </c>
      <c r="C113" s="551"/>
      <c r="D113" s="551">
        <f>SUM(D111:D112)</f>
        <v>0</v>
      </c>
      <c r="E113" s="551">
        <f t="shared" ref="E113:H113" si="80">SUM(E111:E112)</f>
        <v>0</v>
      </c>
      <c r="F113" s="551">
        <f t="shared" si="80"/>
        <v>0</v>
      </c>
      <c r="G113" s="551">
        <f t="shared" si="80"/>
        <v>0</v>
      </c>
      <c r="H113" s="551">
        <f t="shared" si="80"/>
        <v>0</v>
      </c>
      <c r="I113" s="490"/>
      <c r="J113" s="848"/>
      <c r="K113" s="235">
        <f>SUM(K111:K112)</f>
        <v>0</v>
      </c>
      <c r="L113" s="235">
        <f>SUM(L111:L112)</f>
        <v>0</v>
      </c>
      <c r="M113" s="235">
        <f>SUM(M111:M112)</f>
        <v>0</v>
      </c>
      <c r="N113" s="235">
        <f>SUM(N111:N112)</f>
        <v>0</v>
      </c>
      <c r="O113" s="235">
        <f>SUM(O111:O112)</f>
        <v>0</v>
      </c>
      <c r="P113" s="842"/>
      <c r="AA113" s="902"/>
      <c r="AB113" s="902"/>
      <c r="AC113" s="902"/>
      <c r="AD113" s="902"/>
      <c r="AE113" s="902"/>
      <c r="AF113" s="556"/>
    </row>
    <row r="114" spans="1:35" x14ac:dyDescent="0.3">
      <c r="A114" s="728"/>
      <c r="B114" s="237"/>
      <c r="C114" s="890"/>
      <c r="D114" s="350"/>
      <c r="E114" s="847"/>
      <c r="I114" s="133"/>
      <c r="J114" s="133"/>
      <c r="K114" s="133"/>
      <c r="L114" s="133"/>
      <c r="M114" s="133"/>
      <c r="N114" s="133"/>
      <c r="O114" s="133"/>
      <c r="P114" s="842"/>
      <c r="AA114" s="902"/>
      <c r="AB114" s="902"/>
      <c r="AC114" s="902"/>
      <c r="AD114" s="902"/>
      <c r="AE114" s="902"/>
      <c r="AF114" s="556"/>
    </row>
    <row r="115" spans="1:35" x14ac:dyDescent="0.3">
      <c r="A115" s="880"/>
      <c r="B115" s="774" t="s">
        <v>890</v>
      </c>
      <c r="C115" s="696"/>
      <c r="D115" s="696"/>
      <c r="E115" s="696"/>
      <c r="F115" s="696"/>
      <c r="G115" s="696"/>
      <c r="H115" s="696"/>
      <c r="I115" s="697"/>
      <c r="J115" s="133"/>
      <c r="K115" s="133"/>
      <c r="L115" s="133"/>
      <c r="M115" s="133"/>
      <c r="N115" s="133"/>
      <c r="O115" s="133"/>
      <c r="P115" s="842"/>
      <c r="Y115" s="902"/>
      <c r="Z115" s="902"/>
      <c r="AA115" s="902"/>
      <c r="AB115" s="902"/>
      <c r="AC115" s="902"/>
      <c r="AF115" s="556"/>
    </row>
    <row r="116" spans="1:35" x14ac:dyDescent="0.3">
      <c r="A116" s="880"/>
      <c r="B116" s="274" t="s">
        <v>895</v>
      </c>
      <c r="C116" s="552"/>
      <c r="D116" s="647" t="s">
        <v>623</v>
      </c>
      <c r="E116" s="648" t="s">
        <v>624</v>
      </c>
      <c r="F116" s="647" t="s">
        <v>625</v>
      </c>
      <c r="G116" s="647" t="s">
        <v>626</v>
      </c>
      <c r="H116" s="648" t="s">
        <v>627</v>
      </c>
      <c r="I116" s="697"/>
      <c r="J116" s="860"/>
      <c r="K116" s="649"/>
      <c r="L116" s="649"/>
      <c r="M116" s="649"/>
      <c r="N116" s="649"/>
      <c r="O116" s="649"/>
      <c r="P116" s="842"/>
      <c r="Y116" s="902"/>
      <c r="Z116" s="902"/>
      <c r="AA116" s="902"/>
      <c r="AB116" s="902"/>
      <c r="AC116" s="902"/>
    </row>
    <row r="117" spans="1:35" x14ac:dyDescent="0.3">
      <c r="A117" s="880"/>
      <c r="B117" s="247" t="s">
        <v>904</v>
      </c>
      <c r="C117" s="548"/>
      <c r="D117" s="128">
        <f>D84*'Inputs and eligible population'!$F$118</f>
        <v>33.315128914285715</v>
      </c>
      <c r="E117" s="128">
        <f>E84*'Inputs and eligible population'!$F$118</f>
        <v>30.420710514212566</v>
      </c>
      <c r="F117" s="128">
        <f>F84*'Inputs and eligible population'!$F$118</f>
        <v>27.777759184737778</v>
      </c>
      <c r="G117" s="128">
        <f>G84*'Inputs and eligible population'!$F$118</f>
        <v>25.364427466767758</v>
      </c>
      <c r="H117" s="128">
        <f>H84*'Inputs and eligible population'!$F$118</f>
        <v>23.160766008454974</v>
      </c>
      <c r="I117" s="697"/>
      <c r="J117" s="644"/>
      <c r="K117" s="644"/>
      <c r="L117" s="644"/>
      <c r="M117" s="644"/>
      <c r="N117" s="644"/>
      <c r="O117" s="644"/>
      <c r="P117" s="842"/>
      <c r="Y117" s="902"/>
      <c r="Z117" s="902"/>
      <c r="AA117" s="902"/>
      <c r="AB117" s="902"/>
      <c r="AC117" s="902"/>
    </row>
    <row r="118" spans="1:35" x14ac:dyDescent="0.3">
      <c r="A118" s="880"/>
      <c r="B118" s="772" t="s">
        <v>721</v>
      </c>
      <c r="C118" s="553"/>
      <c r="D118" s="128">
        <f>D85*'Inputs and eligible population'!$G$118</f>
        <v>0</v>
      </c>
      <c r="E118" s="128">
        <f>E85*'Inputs and eligible population'!$G$118</f>
        <v>0</v>
      </c>
      <c r="F118" s="128">
        <f>F85*'Inputs and eligible population'!$G$118</f>
        <v>0</v>
      </c>
      <c r="G118" s="128">
        <f>G85*'Inputs and eligible population'!$G$118</f>
        <v>0</v>
      </c>
      <c r="H118" s="128">
        <f>H85*'Inputs and eligible population'!$G$118</f>
        <v>0</v>
      </c>
      <c r="I118" s="697"/>
      <c r="J118" s="644"/>
      <c r="K118" s="644"/>
      <c r="L118" s="644"/>
      <c r="M118" s="644"/>
      <c r="N118" s="644"/>
      <c r="O118" s="644"/>
      <c r="P118" s="842"/>
      <c r="Y118" s="902"/>
      <c r="Z118" s="902"/>
      <c r="AA118" s="902"/>
      <c r="AB118" s="902"/>
      <c r="AC118" s="902"/>
    </row>
    <row r="119" spans="1:35" x14ac:dyDescent="0.3">
      <c r="A119" s="880"/>
      <c r="B119" s="229" t="s">
        <v>896</v>
      </c>
      <c r="C119" s="551"/>
      <c r="D119" s="551">
        <f>SUM(D117:D118)</f>
        <v>33.315128914285715</v>
      </c>
      <c r="E119" s="551">
        <f>SUM(E117:E118)</f>
        <v>30.420710514212566</v>
      </c>
      <c r="F119" s="551">
        <f>SUM(F117:F118)</f>
        <v>27.777759184737778</v>
      </c>
      <c r="G119" s="551">
        <f>SUM(G117:G118)</f>
        <v>25.364427466767758</v>
      </c>
      <c r="H119" s="551">
        <f>SUM(H117:H118)</f>
        <v>23.160766008454974</v>
      </c>
      <c r="I119" s="697"/>
      <c r="J119" s="848"/>
      <c r="K119" s="861"/>
      <c r="L119" s="861"/>
      <c r="M119" s="861"/>
      <c r="N119" s="861"/>
      <c r="O119" s="861"/>
      <c r="P119" s="842"/>
      <c r="AE119" s="902"/>
      <c r="AF119" s="233"/>
      <c r="AG119" s="233"/>
      <c r="AH119" s="233"/>
      <c r="AI119" s="233"/>
    </row>
    <row r="120" spans="1:35" x14ac:dyDescent="0.3">
      <c r="A120" s="880"/>
      <c r="B120" s="892"/>
      <c r="C120" s="862"/>
      <c r="D120" s="863"/>
      <c r="E120" s="864"/>
      <c r="F120" s="692"/>
      <c r="G120" s="692"/>
      <c r="H120" s="698"/>
      <c r="I120" s="865"/>
      <c r="J120" s="133"/>
      <c r="K120" s="133"/>
      <c r="L120" s="133"/>
      <c r="M120" s="133"/>
      <c r="N120" s="133"/>
      <c r="O120" s="133"/>
      <c r="P120" s="842"/>
      <c r="Y120" s="902"/>
      <c r="Z120" s="902"/>
      <c r="AA120" s="902"/>
      <c r="AB120" s="902"/>
      <c r="AC120" s="902"/>
    </row>
    <row r="121" spans="1:35" x14ac:dyDescent="0.3">
      <c r="A121" s="728"/>
      <c r="B121" s="869" t="s">
        <v>905</v>
      </c>
      <c r="C121" s="890"/>
      <c r="D121" s="350"/>
      <c r="E121" s="847"/>
      <c r="I121" s="133"/>
      <c r="J121" s="133"/>
      <c r="K121" s="133"/>
      <c r="L121" s="133"/>
      <c r="M121" s="133"/>
      <c r="N121" s="133"/>
      <c r="O121" s="133"/>
      <c r="P121" s="842"/>
      <c r="Y121" s="902"/>
      <c r="Z121" s="902"/>
      <c r="AA121" s="902"/>
      <c r="AB121" s="902"/>
      <c r="AC121" s="902"/>
    </row>
    <row r="122" spans="1:35" x14ac:dyDescent="0.3">
      <c r="A122" s="728"/>
      <c r="B122" s="274" t="s">
        <v>895</v>
      </c>
      <c r="C122" s="552"/>
      <c r="D122" s="647" t="s">
        <v>623</v>
      </c>
      <c r="E122" s="648" t="s">
        <v>624</v>
      </c>
      <c r="F122" s="647" t="s">
        <v>625</v>
      </c>
      <c r="G122" s="647" t="s">
        <v>626</v>
      </c>
      <c r="H122" s="648" t="s">
        <v>627</v>
      </c>
      <c r="I122" s="133"/>
      <c r="J122" s="133"/>
      <c r="K122" s="133"/>
      <c r="L122" s="133"/>
      <c r="M122" s="133"/>
      <c r="N122" s="133"/>
      <c r="O122" s="133"/>
      <c r="P122" s="842"/>
      <c r="Y122" s="902"/>
      <c r="Z122" s="902"/>
      <c r="AA122" s="902"/>
      <c r="AB122" s="902"/>
      <c r="AC122" s="902"/>
    </row>
    <row r="123" spans="1:35" x14ac:dyDescent="0.3">
      <c r="A123" s="728"/>
      <c r="B123" s="247" t="s">
        <v>906</v>
      </c>
      <c r="C123" s="548"/>
      <c r="D123" s="128">
        <f>('Inputs and eligible population'!G53*'Inputs and eligible population'!$F$108*'Inputs and eligible population'!$F$109+'Inputs and eligible population'!G63*'Inputs and eligible population'!$G$104*'Inputs and eligible population'!$G$105)/60</f>
        <v>0</v>
      </c>
      <c r="E123" s="128">
        <f>('Inputs and eligible population'!H53*'Inputs and eligible population'!$F$108*'Inputs and eligible population'!$F$109+'Inputs and eligible population'!H63*'Inputs and eligible population'!$G$104*'Inputs and eligible population'!$G$105)/60</f>
        <v>0</v>
      </c>
      <c r="F123" s="128">
        <f>('Inputs and eligible population'!I53*'Inputs and eligible population'!$F$108*'Inputs and eligible population'!$F$109+'Inputs and eligible population'!I63*'Inputs and eligible population'!$G$104*'Inputs and eligible population'!$G$105)/60</f>
        <v>0</v>
      </c>
      <c r="G123" s="128">
        <f>('Inputs and eligible population'!J53*'Inputs and eligible population'!$F$108*'Inputs and eligible population'!$F$109+'Inputs and eligible population'!J63*'Inputs and eligible population'!$G$104*'Inputs and eligible population'!$G$105)/60</f>
        <v>0</v>
      </c>
      <c r="H123" s="128">
        <f>('Inputs and eligible population'!K53*'Inputs and eligible population'!$F$108*'Inputs and eligible population'!$F$109+'Inputs and eligible population'!K63*'Inputs and eligible population'!$G$104*'Inputs and eligible population'!$G$105)/60</f>
        <v>0</v>
      </c>
      <c r="I123" s="133"/>
      <c r="J123" s="133"/>
      <c r="K123" s="133"/>
      <c r="L123" s="133"/>
      <c r="M123" s="133"/>
      <c r="N123" s="133"/>
      <c r="O123" s="133"/>
      <c r="P123" s="842"/>
      <c r="Y123" s="902"/>
      <c r="Z123" s="902"/>
      <c r="AA123" s="902"/>
      <c r="AB123" s="902"/>
      <c r="AC123" s="902"/>
    </row>
    <row r="124" spans="1:35" x14ac:dyDescent="0.3">
      <c r="A124" s="728"/>
      <c r="B124" s="247" t="s">
        <v>907</v>
      </c>
      <c r="C124" s="548"/>
      <c r="D124" s="128">
        <f>('Inputs and eligible population'!G51*'Inputs and eligible population'!$F$110*'Inputs and eligible population'!$F$111+'Inputs and eligible population'!G61*'Inputs and eligible population'!$G$106*'Inputs and eligible population'!$G$107)/60</f>
        <v>0</v>
      </c>
      <c r="E124" s="128">
        <f>('Inputs and eligible population'!H51*'Inputs and eligible population'!$F$110*'Inputs and eligible population'!$F$111+'Inputs and eligible population'!H61*'Inputs and eligible population'!$G$106*'Inputs and eligible population'!$G$107)/60</f>
        <v>0</v>
      </c>
      <c r="F124" s="128">
        <f>('Inputs and eligible population'!I51*'Inputs and eligible population'!$F$110*'Inputs and eligible population'!$F$111+'Inputs and eligible population'!I61*'Inputs and eligible population'!$G$106*'Inputs and eligible population'!$G$107)/60</f>
        <v>0</v>
      </c>
      <c r="G124" s="128">
        <f>('Inputs and eligible population'!J51*'Inputs and eligible population'!$F$110*'Inputs and eligible population'!$F$111+'Inputs and eligible population'!J61*'Inputs and eligible population'!$G$106*'Inputs and eligible population'!$G$107)/60</f>
        <v>0</v>
      </c>
      <c r="H124" s="128">
        <f>('Inputs and eligible population'!K51*'Inputs and eligible population'!$F$110*'Inputs and eligible population'!$F$111+'Inputs and eligible population'!K61*'Inputs and eligible population'!$G$106*'Inputs and eligible population'!$G$107)/60</f>
        <v>0</v>
      </c>
      <c r="I124" s="133"/>
      <c r="J124" s="133"/>
      <c r="K124" s="133"/>
      <c r="L124" s="133"/>
      <c r="M124" s="133"/>
      <c r="N124" s="133"/>
      <c r="O124" s="133"/>
      <c r="P124" s="842"/>
      <c r="Y124" s="902"/>
      <c r="Z124" s="902"/>
      <c r="AA124" s="902"/>
      <c r="AB124" s="902"/>
      <c r="AC124" s="902"/>
    </row>
    <row r="125" spans="1:35" s="147" customFormat="1" x14ac:dyDescent="0.3">
      <c r="A125" s="726"/>
      <c r="B125" s="793" t="s">
        <v>908</v>
      </c>
      <c r="C125" s="794"/>
      <c r="D125" s="558">
        <f>SUM(D123:D124)</f>
        <v>0</v>
      </c>
      <c r="E125" s="558">
        <f t="shared" ref="E125:H125" si="81">SUM(E123:E124)</f>
        <v>0</v>
      </c>
      <c r="F125" s="558">
        <f t="shared" si="81"/>
        <v>0</v>
      </c>
      <c r="G125" s="558">
        <f t="shared" si="81"/>
        <v>0</v>
      </c>
      <c r="H125" s="558">
        <f t="shared" si="81"/>
        <v>0</v>
      </c>
      <c r="I125" s="785"/>
      <c r="J125" s="785"/>
      <c r="K125" s="785"/>
      <c r="L125" s="785"/>
      <c r="M125" s="785"/>
      <c r="N125" s="785"/>
      <c r="O125" s="785"/>
      <c r="P125" s="891"/>
      <c r="Q125" s="785"/>
      <c r="R125" s="785"/>
      <c r="S125" s="785"/>
      <c r="T125" s="785"/>
      <c r="U125" s="785"/>
      <c r="V125" s="785"/>
      <c r="W125" s="785"/>
      <c r="X125" s="785"/>
      <c r="Y125" s="905"/>
      <c r="Z125" s="905"/>
      <c r="AA125" s="905"/>
      <c r="AB125" s="905"/>
      <c r="AC125" s="905"/>
      <c r="AD125" s="785"/>
      <c r="AE125" s="785"/>
    </row>
    <row r="126" spans="1:35" s="147" customFormat="1" x14ac:dyDescent="0.3">
      <c r="A126" s="726"/>
      <c r="B126" s="869"/>
      <c r="C126" s="1036"/>
      <c r="D126" s="634"/>
      <c r="E126" s="634"/>
      <c r="F126" s="634"/>
      <c r="G126" s="634"/>
      <c r="H126" s="634"/>
      <c r="I126" s="785"/>
      <c r="J126" s="785"/>
      <c r="K126" s="785"/>
      <c r="L126" s="785"/>
      <c r="M126" s="785"/>
      <c r="N126" s="785"/>
      <c r="O126" s="785"/>
      <c r="P126" s="891"/>
      <c r="Q126" s="785"/>
      <c r="R126" s="785"/>
      <c r="S126" s="785"/>
      <c r="T126" s="785"/>
      <c r="U126" s="785"/>
      <c r="V126" s="785"/>
      <c r="W126" s="785"/>
      <c r="X126" s="785"/>
      <c r="Y126" s="905"/>
      <c r="Z126" s="905"/>
      <c r="AA126" s="905"/>
      <c r="AB126" s="905"/>
      <c r="AC126" s="905"/>
      <c r="AD126" s="785"/>
      <c r="AE126" s="785"/>
    </row>
    <row r="127" spans="1:35" x14ac:dyDescent="0.3">
      <c r="A127" s="728"/>
      <c r="B127" s="869" t="s">
        <v>1154</v>
      </c>
      <c r="C127" s="890"/>
      <c r="D127" s="350"/>
      <c r="E127" s="847"/>
      <c r="I127" s="133"/>
      <c r="J127" s="133"/>
      <c r="K127" s="133"/>
      <c r="L127" s="133"/>
      <c r="M127" s="133"/>
      <c r="N127" s="133"/>
      <c r="O127" s="133"/>
      <c r="P127" s="842"/>
      <c r="Q127"/>
      <c r="R127"/>
      <c r="S127"/>
      <c r="T127"/>
      <c r="U127"/>
      <c r="V127"/>
      <c r="W127"/>
      <c r="X127"/>
      <c r="Y127" s="233"/>
      <c r="Z127" s="233"/>
      <c r="AA127" s="233"/>
      <c r="AB127" s="233"/>
      <c r="AC127" s="233"/>
      <c r="AD127"/>
      <c r="AE127"/>
    </row>
    <row r="128" spans="1:35" x14ac:dyDescent="0.3">
      <c r="A128" s="728"/>
      <c r="B128" s="274" t="s">
        <v>895</v>
      </c>
      <c r="C128" s="552"/>
      <c r="D128" s="647" t="s">
        <v>623</v>
      </c>
      <c r="E128" s="648" t="s">
        <v>624</v>
      </c>
      <c r="F128" s="647" t="s">
        <v>625</v>
      </c>
      <c r="G128" s="647" t="s">
        <v>626</v>
      </c>
      <c r="H128" s="648" t="s">
        <v>627</v>
      </c>
      <c r="I128" s="133"/>
      <c r="J128" s="133"/>
      <c r="K128" s="133"/>
      <c r="L128" s="133"/>
      <c r="M128" s="133"/>
      <c r="N128" s="133"/>
      <c r="O128" s="133"/>
      <c r="P128" s="842"/>
      <c r="Q128"/>
      <c r="R128"/>
      <c r="S128"/>
      <c r="T128"/>
      <c r="U128"/>
      <c r="V128"/>
      <c r="W128"/>
      <c r="X128"/>
      <c r="Y128" s="233"/>
      <c r="Z128" s="233"/>
      <c r="AA128" s="233"/>
      <c r="AB128" s="233"/>
      <c r="AC128" s="233"/>
      <c r="AD128"/>
      <c r="AE128"/>
    </row>
    <row r="129" spans="1:31" x14ac:dyDescent="0.3">
      <c r="A129" s="728"/>
      <c r="B129" s="247" t="s">
        <v>906</v>
      </c>
      <c r="C129" s="548"/>
      <c r="D129" s="128">
        <f>'Inputs and eligible population'!G52*'Inputs and eligible population'!$F$100*'Inputs and eligible population'!$F$101/60+'Inputs and eligible population'!G62*'Inputs and eligible population'!$G$96*'Inputs and eligible population'!$G$97/60</f>
        <v>0</v>
      </c>
      <c r="E129" s="128">
        <f>'Inputs and eligible population'!H52*'Inputs and eligible population'!$F$100*'Inputs and eligible population'!$F$101/60+'Inputs and eligible population'!H62*'Inputs and eligible population'!$G$96*'Inputs and eligible population'!$G$97/60</f>
        <v>0</v>
      </c>
      <c r="F129" s="128">
        <f>'Inputs and eligible population'!I52*'Inputs and eligible population'!$F$100*'Inputs and eligible population'!$F$101/60+'Inputs and eligible population'!I62*'Inputs and eligible population'!$G$96*'Inputs and eligible population'!$G$97/60</f>
        <v>0</v>
      </c>
      <c r="G129" s="128">
        <f>'Inputs and eligible population'!J52*'Inputs and eligible population'!$F$100*'Inputs and eligible population'!$F$101/60+'Inputs and eligible population'!J62*'Inputs and eligible population'!$G$96*'Inputs and eligible population'!$G$97/60</f>
        <v>0</v>
      </c>
      <c r="H129" s="128">
        <f>'Inputs and eligible population'!K52*'Inputs and eligible population'!$F$100*'Inputs and eligible population'!$F$101/60+'Inputs and eligible population'!K62*'Inputs and eligible population'!$G$96*'Inputs and eligible population'!$G$97/60</f>
        <v>0</v>
      </c>
      <c r="I129" s="133"/>
      <c r="J129" s="133"/>
      <c r="K129" s="133"/>
      <c r="L129" s="133"/>
      <c r="M129" s="133"/>
      <c r="N129" s="133"/>
      <c r="O129" s="133"/>
      <c r="P129" s="842"/>
      <c r="Q129"/>
      <c r="R129"/>
      <c r="S129"/>
      <c r="T129"/>
      <c r="U129"/>
      <c r="V129"/>
      <c r="W129"/>
      <c r="X129"/>
      <c r="Y129" s="233"/>
      <c r="Z129" s="233"/>
      <c r="AA129" s="233"/>
      <c r="AB129" s="233"/>
      <c r="AC129" s="233"/>
      <c r="AD129"/>
      <c r="AE129"/>
    </row>
    <row r="130" spans="1:31" x14ac:dyDescent="0.3">
      <c r="A130" s="728"/>
      <c r="B130" s="247" t="s">
        <v>907</v>
      </c>
      <c r="C130" s="548"/>
      <c r="D130" s="128">
        <f>'Inputs and eligible population'!G52*'Inputs and eligible population'!$F$102*'Inputs and eligible population'!$F$103/60+'Inputs and eligible population'!G62*'Inputs and eligible population'!$G$98*'Inputs and eligible population'!$G$99/60</f>
        <v>0</v>
      </c>
      <c r="E130" s="128">
        <f>'Inputs and eligible population'!H52*'Inputs and eligible population'!$F$102*'Inputs and eligible population'!$F$103/60+'Inputs and eligible population'!H62*'Inputs and eligible population'!$G$98*'Inputs and eligible population'!$G$99/60</f>
        <v>0</v>
      </c>
      <c r="F130" s="128">
        <f>'Inputs and eligible population'!I52*'Inputs and eligible population'!$F$102*'Inputs and eligible population'!$F$103/60+'Inputs and eligible population'!I62*'Inputs and eligible population'!$G$98*'Inputs and eligible population'!$G$99/60</f>
        <v>0</v>
      </c>
      <c r="G130" s="128">
        <f>'Inputs and eligible population'!J52*'Inputs and eligible population'!$F$102*'Inputs and eligible population'!$F$103/60+'Inputs and eligible population'!J62*'Inputs and eligible population'!$G$98*'Inputs and eligible population'!$G$99/60</f>
        <v>0</v>
      </c>
      <c r="H130" s="128">
        <f>'Inputs and eligible population'!K52*'Inputs and eligible population'!$F$102*'Inputs and eligible population'!$F$103/60+'Inputs and eligible population'!K62*'Inputs and eligible population'!$G$98*'Inputs and eligible population'!$G$99/60</f>
        <v>0</v>
      </c>
      <c r="I130" s="133"/>
      <c r="J130" s="133"/>
      <c r="K130" s="133"/>
      <c r="L130" s="133"/>
      <c r="M130" s="133"/>
      <c r="N130" s="133"/>
      <c r="O130" s="133"/>
      <c r="P130" s="842"/>
      <c r="Q130"/>
      <c r="R130"/>
      <c r="S130"/>
      <c r="T130"/>
      <c r="U130"/>
      <c r="V130"/>
      <c r="W130"/>
      <c r="X130"/>
      <c r="Y130" s="233"/>
      <c r="Z130" s="233"/>
      <c r="AA130" s="233"/>
      <c r="AB130" s="233"/>
      <c r="AC130" s="233"/>
      <c r="AD130"/>
      <c r="AE130"/>
    </row>
    <row r="131" spans="1:31" s="147" customFormat="1" x14ac:dyDescent="0.3">
      <c r="A131" s="726"/>
      <c r="B131" s="793" t="s">
        <v>908</v>
      </c>
      <c r="C131" s="794"/>
      <c r="D131" s="558">
        <f>SUM(D129:D130)</f>
        <v>0</v>
      </c>
      <c r="E131" s="558">
        <f t="shared" ref="E131:H131" si="82">SUM(E129:E130)</f>
        <v>0</v>
      </c>
      <c r="F131" s="558">
        <f t="shared" si="82"/>
        <v>0</v>
      </c>
      <c r="G131" s="558">
        <f t="shared" si="82"/>
        <v>0</v>
      </c>
      <c r="H131" s="558">
        <f t="shared" si="82"/>
        <v>0</v>
      </c>
      <c r="I131" s="785"/>
      <c r="J131" s="785"/>
      <c r="K131" s="785"/>
      <c r="L131" s="785"/>
      <c r="M131" s="785"/>
      <c r="N131" s="785"/>
      <c r="O131" s="785"/>
      <c r="P131" s="891"/>
      <c r="Y131" s="254"/>
      <c r="Z131" s="254"/>
      <c r="AA131" s="254"/>
      <c r="AB131" s="254"/>
      <c r="AC131" s="254"/>
    </row>
    <row r="132" spans="1:31" ht="9.6" customHeight="1" thickBot="1" x14ac:dyDescent="0.35">
      <c r="A132" s="729"/>
      <c r="B132" s="737"/>
      <c r="C132" s="733"/>
      <c r="D132" s="733"/>
      <c r="E132" s="733"/>
      <c r="F132" s="733"/>
      <c r="G132" s="733"/>
      <c r="H132" s="733"/>
      <c r="I132" s="733"/>
      <c r="J132" s="733"/>
      <c r="K132" s="733"/>
      <c r="L132" s="733"/>
      <c r="M132" s="733"/>
      <c r="N132" s="733"/>
      <c r="O132" s="733"/>
      <c r="P132" s="734"/>
    </row>
    <row r="133" spans="1:31" ht="9.6" customHeight="1" x14ac:dyDescent="0.3"/>
    <row r="134" spans="1:31" ht="9.6" customHeight="1" thickBot="1" x14ac:dyDescent="0.35"/>
    <row r="135" spans="1:31" ht="9.6" customHeight="1" x14ac:dyDescent="0.3">
      <c r="A135" s="719"/>
      <c r="B135" s="866"/>
      <c r="C135" s="724"/>
      <c r="D135" s="724">
        <f>'Inputs and eligible population'!G52*'Inputs and eligible population'!$F$100*'Inputs and eligible population'!$F$101/60+'Inputs and eligible population'!G62*'Inputs and eligible population'!$G$96*'Inputs and eligible population'!$G$97/60</f>
        <v>0</v>
      </c>
      <c r="E135" s="724">
        <f>'Inputs and eligible population'!H52*'Inputs and eligible population'!$F$100*'Inputs and eligible population'!$F$101/60+'Inputs and eligible population'!H62*'Inputs and eligible population'!$G$96*'Inputs and eligible population'!$G$97/60</f>
        <v>0</v>
      </c>
      <c r="F135" s="724">
        <f>'Inputs and eligible population'!I52*'Inputs and eligible population'!$F$100*'Inputs and eligible population'!$F$101/60+'Inputs and eligible population'!I62*'Inputs and eligible population'!$G$96*'Inputs and eligible population'!$G$97/60</f>
        <v>0</v>
      </c>
      <c r="G135" s="724">
        <f>'Inputs and eligible population'!J52*'Inputs and eligible population'!$F$100*'Inputs and eligible population'!$F$101/60+'Inputs and eligible population'!J62*'Inputs and eligible population'!$G$96*'Inputs and eligible population'!$G$97/60</f>
        <v>0</v>
      </c>
      <c r="H135" s="724">
        <f>'Inputs and eligible population'!K52*'Inputs and eligible population'!$F$100*'Inputs and eligible population'!$F$101/60+'Inputs and eligible population'!K62*'Inputs and eligible population'!$G$96*'Inputs and eligible population'!$G$97/60</f>
        <v>0</v>
      </c>
      <c r="I135" s="724"/>
      <c r="J135" s="724"/>
      <c r="K135" s="724"/>
      <c r="L135" s="724"/>
      <c r="M135" s="724"/>
      <c r="N135" s="724"/>
      <c r="O135" s="724"/>
      <c r="P135" s="725"/>
    </row>
    <row r="136" spans="1:31" x14ac:dyDescent="0.3">
      <c r="A136" s="728"/>
      <c r="B136" s="782" t="s">
        <v>709</v>
      </c>
      <c r="C136" s="783"/>
      <c r="D136" s="784">
        <f>'Inputs and eligible population'!G52*'Inputs and eligible population'!$F$102*'Inputs and eligible population'!$F$103/60+'Inputs and eligible population'!G62*'Inputs and eligible population'!$G$98*'Inputs and eligible population'!$G$99/60</f>
        <v>0</v>
      </c>
      <c r="E136" s="784">
        <f>'Inputs and eligible population'!H52*'Inputs and eligible population'!$F$102*'Inputs and eligible population'!$F$103/60+'Inputs and eligible population'!H62*'Inputs and eligible population'!$G$98*'Inputs and eligible population'!$G$99/60</f>
        <v>0</v>
      </c>
      <c r="F136" s="784">
        <f>'Inputs and eligible population'!I52*'Inputs and eligible population'!$F$102*'Inputs and eligible population'!$F$103/60+'Inputs and eligible population'!I62*'Inputs and eligible population'!$G$98*'Inputs and eligible population'!$G$99/60</f>
        <v>0</v>
      </c>
      <c r="G136" s="784">
        <f>'Inputs and eligible population'!J52*'Inputs and eligible population'!$F$102*'Inputs and eligible population'!$F$103/60+'Inputs and eligible population'!J62*'Inputs and eligible population'!$G$98*'Inputs and eligible population'!$G$99/60</f>
        <v>0</v>
      </c>
      <c r="H136" s="784">
        <f>'Inputs and eligible population'!K52*'Inputs and eligible population'!$F$102*'Inputs and eligible population'!$F$103/60+'Inputs and eligible population'!K62*'Inputs and eligible population'!$G$98*'Inputs and eligible population'!$G$99/60</f>
        <v>0</v>
      </c>
      <c r="I136" s="785"/>
      <c r="J136" s="785"/>
      <c r="K136" s="785"/>
      <c r="L136" s="785"/>
      <c r="M136" s="785"/>
      <c r="N136" s="785"/>
      <c r="O136" s="147"/>
      <c r="P136" s="842"/>
      <c r="AA136" s="902"/>
      <c r="AB136" s="902"/>
      <c r="AC136" s="902"/>
      <c r="AD136" s="902"/>
      <c r="AE136" s="902"/>
    </row>
    <row r="137" spans="1:31" x14ac:dyDescent="0.3">
      <c r="A137" s="999"/>
      <c r="B137" s="1010" t="s">
        <v>899</v>
      </c>
      <c r="C137" s="994"/>
      <c r="D137" s="995"/>
      <c r="E137" s="994"/>
      <c r="F137" s="996"/>
      <c r="G137" s="997"/>
      <c r="H137" s="1011"/>
      <c r="I137" s="992"/>
      <c r="J137" s="1012"/>
      <c r="K137" s="997"/>
      <c r="L137" s="997"/>
      <c r="M137" s="997"/>
      <c r="N137" s="997"/>
      <c r="O137" s="998"/>
      <c r="P137" s="842"/>
      <c r="AA137" s="902"/>
      <c r="AB137" s="902"/>
      <c r="AC137" s="902"/>
      <c r="AD137" s="902"/>
      <c r="AE137" s="902"/>
    </row>
    <row r="138" spans="1:31" x14ac:dyDescent="0.3">
      <c r="A138" s="999"/>
      <c r="B138" s="987" t="s">
        <v>1133</v>
      </c>
      <c r="C138" s="988"/>
      <c r="D138" s="989"/>
      <c r="E138" s="990"/>
      <c r="F138" s="990"/>
      <c r="G138" s="991"/>
      <c r="H138" s="993"/>
      <c r="I138" s="992"/>
      <c r="J138" s="1013"/>
      <c r="K138" s="991"/>
      <c r="L138" s="991"/>
      <c r="M138" s="991"/>
      <c r="N138" s="991"/>
      <c r="O138" s="993"/>
      <c r="P138" s="842"/>
      <c r="AA138" s="902"/>
      <c r="AB138" s="902"/>
      <c r="AC138" s="902"/>
      <c r="AD138" s="902"/>
      <c r="AE138" s="902"/>
    </row>
    <row r="139" spans="1:31" x14ac:dyDescent="0.3">
      <c r="A139" s="999"/>
      <c r="B139" s="1029" t="s">
        <v>895</v>
      </c>
      <c r="C139" s="1030"/>
      <c r="D139" s="738" t="s">
        <v>623</v>
      </c>
      <c r="E139" s="739" t="s">
        <v>624</v>
      </c>
      <c r="F139" s="738" t="s">
        <v>625</v>
      </c>
      <c r="G139" s="738" t="s">
        <v>626</v>
      </c>
      <c r="H139" s="739" t="s">
        <v>627</v>
      </c>
      <c r="I139" s="1001"/>
      <c r="J139" s="1031" t="s">
        <v>893</v>
      </c>
      <c r="K139" s="738" t="s">
        <v>623</v>
      </c>
      <c r="L139" s="739" t="s">
        <v>624</v>
      </c>
      <c r="M139" s="738" t="s">
        <v>625</v>
      </c>
      <c r="N139" s="738" t="s">
        <v>626</v>
      </c>
      <c r="O139" s="738" t="s">
        <v>627</v>
      </c>
      <c r="P139" s="842"/>
      <c r="AA139" s="902"/>
      <c r="AB139" s="902"/>
      <c r="AC139" s="902"/>
      <c r="AD139" s="902"/>
      <c r="AE139" s="902"/>
    </row>
    <row r="140" spans="1:31" x14ac:dyDescent="0.3">
      <c r="A140" s="999"/>
      <c r="B140" s="792" t="s">
        <v>898</v>
      </c>
      <c r="C140" s="554"/>
      <c r="D140" s="548">
        <f>'Inputs and eligible population'!G74</f>
        <v>0</v>
      </c>
      <c r="E140" s="548">
        <f>'Inputs and eligible population'!H74</f>
        <v>0</v>
      </c>
      <c r="F140" s="548">
        <f>'Inputs and eligible population'!I74</f>
        <v>0</v>
      </c>
      <c r="G140" s="548">
        <f>'Inputs and eligible population'!J74</f>
        <v>0</v>
      </c>
      <c r="H140" s="548">
        <f>'Inputs and eligible population'!K74</f>
        <v>0</v>
      </c>
      <c r="I140" s="1001"/>
      <c r="J140" s="351">
        <f>'Inputs and eligible population'!J97</f>
        <v>0</v>
      </c>
      <c r="K140" s="351">
        <f t="shared" ref="K140" si="83">$J140/1000*D140</f>
        <v>0</v>
      </c>
      <c r="L140" s="351">
        <f t="shared" ref="L140" si="84">$J140/1000*E140</f>
        <v>0</v>
      </c>
      <c r="M140" s="351">
        <f t="shared" ref="M140" si="85">$J140/1000*F140</f>
        <v>0</v>
      </c>
      <c r="N140" s="351">
        <f t="shared" ref="N140" si="86">$J140/1000*G140</f>
        <v>0</v>
      </c>
      <c r="O140" s="351">
        <f t="shared" ref="O140" si="87">$J140/1000*H140</f>
        <v>0</v>
      </c>
      <c r="P140" s="842"/>
      <c r="AA140" s="902"/>
      <c r="AB140" s="902"/>
      <c r="AC140" s="902"/>
      <c r="AD140" s="902"/>
      <c r="AE140" s="902"/>
    </row>
    <row r="141" spans="1:31" x14ac:dyDescent="0.3">
      <c r="A141" s="999"/>
      <c r="B141" s="1002"/>
      <c r="C141" s="1003"/>
      <c r="D141" s="1004"/>
      <c r="E141" s="1005"/>
      <c r="F141" s="1005"/>
      <c r="G141" s="1005"/>
      <c r="H141" s="1005"/>
      <c r="I141" s="1005"/>
      <c r="J141" s="1019"/>
      <c r="K141" s="1020"/>
      <c r="L141" s="1020"/>
      <c r="M141" s="1020"/>
      <c r="N141" s="1020"/>
      <c r="O141" s="1021"/>
      <c r="P141" s="842"/>
      <c r="AA141" s="902"/>
      <c r="AB141" s="902"/>
      <c r="AC141" s="902"/>
      <c r="AD141" s="902"/>
      <c r="AE141" s="902"/>
    </row>
    <row r="142" spans="1:31" x14ac:dyDescent="0.3">
      <c r="A142" s="999"/>
      <c r="B142" s="1022" t="s">
        <v>1134</v>
      </c>
      <c r="C142" s="1023"/>
      <c r="D142" s="1024"/>
      <c r="E142" s="1025"/>
      <c r="F142" s="1026"/>
      <c r="G142" s="1026"/>
      <c r="H142" s="1006"/>
      <c r="I142" s="1027"/>
      <c r="J142" s="1007"/>
      <c r="K142" s="1026"/>
      <c r="L142" s="1026"/>
      <c r="M142" s="1026"/>
      <c r="N142" s="1026"/>
      <c r="O142" s="1008"/>
      <c r="P142" s="842"/>
    </row>
    <row r="143" spans="1:31" x14ac:dyDescent="0.3">
      <c r="A143" s="999"/>
      <c r="B143" s="262" t="s">
        <v>907</v>
      </c>
      <c r="C143" s="960"/>
      <c r="D143" s="960"/>
      <c r="E143" s="960"/>
      <c r="F143" s="960"/>
      <c r="G143" s="960"/>
      <c r="H143" s="960"/>
      <c r="I143" s="1001"/>
      <c r="J143" s="970"/>
      <c r="K143" s="963"/>
      <c r="L143" s="963"/>
      <c r="M143" s="963"/>
      <c r="N143" s="963"/>
      <c r="O143" s="964"/>
      <c r="P143" s="842"/>
      <c r="AA143" s="902"/>
      <c r="AB143" s="902"/>
      <c r="AC143" s="902"/>
      <c r="AD143" s="902"/>
      <c r="AE143" s="902"/>
    </row>
    <row r="144" spans="1:31" x14ac:dyDescent="0.3">
      <c r="A144" s="999"/>
      <c r="B144" s="274" t="s">
        <v>895</v>
      </c>
      <c r="C144" s="552"/>
      <c r="D144" s="647" t="s">
        <v>623</v>
      </c>
      <c r="E144" s="648" t="s">
        <v>624</v>
      </c>
      <c r="F144" s="647" t="s">
        <v>625</v>
      </c>
      <c r="G144" s="647" t="s">
        <v>626</v>
      </c>
      <c r="H144" s="648" t="s">
        <v>627</v>
      </c>
      <c r="I144" s="1001"/>
      <c r="J144" s="489" t="s">
        <v>893</v>
      </c>
      <c r="K144" s="647" t="s">
        <v>623</v>
      </c>
      <c r="L144" s="648" t="s">
        <v>624</v>
      </c>
      <c r="M144" s="647" t="s">
        <v>625</v>
      </c>
      <c r="N144" s="647" t="s">
        <v>626</v>
      </c>
      <c r="O144" s="647" t="s">
        <v>627</v>
      </c>
      <c r="P144" s="842"/>
      <c r="AA144" s="902"/>
      <c r="AB144" s="902"/>
      <c r="AC144" s="902"/>
      <c r="AD144" s="902"/>
      <c r="AE144" s="902"/>
    </row>
    <row r="145" spans="1:31" x14ac:dyDescent="0.3">
      <c r="A145" s="999"/>
      <c r="B145" s="640" t="s">
        <v>721</v>
      </c>
      <c r="C145" s="548"/>
      <c r="D145" s="128">
        <f>D140</f>
        <v>0</v>
      </c>
      <c r="E145" s="128">
        <f t="shared" ref="E145:H145" si="88">E140</f>
        <v>0</v>
      </c>
      <c r="F145" s="128">
        <f t="shared" si="88"/>
        <v>0</v>
      </c>
      <c r="G145" s="128">
        <f t="shared" si="88"/>
        <v>0</v>
      </c>
      <c r="H145" s="128">
        <f t="shared" si="88"/>
        <v>0</v>
      </c>
      <c r="I145" s="1001"/>
      <c r="J145" s="351">
        <f>'Inputs and eligible population'!J99</f>
        <v>0</v>
      </c>
      <c r="K145" s="351">
        <f t="shared" ref="K145" si="89">$J145/1000*D145</f>
        <v>0</v>
      </c>
      <c r="L145" s="351">
        <f t="shared" ref="L145" si="90">$J145/1000*E145</f>
        <v>0</v>
      </c>
      <c r="M145" s="351">
        <f t="shared" ref="M145" si="91">$J145/1000*F145</f>
        <v>0</v>
      </c>
      <c r="N145" s="351">
        <f t="shared" ref="N145" si="92">$J145/1000*G145</f>
        <v>0</v>
      </c>
      <c r="O145" s="351">
        <f t="shared" ref="O145" si="93">$J145/1000*H145</f>
        <v>0</v>
      </c>
      <c r="P145" s="842"/>
      <c r="AA145" s="902"/>
      <c r="AB145" s="902"/>
      <c r="AC145" s="902"/>
      <c r="AD145" s="902"/>
      <c r="AE145" s="902"/>
    </row>
    <row r="146" spans="1:31" x14ac:dyDescent="0.3">
      <c r="A146" s="999"/>
      <c r="B146" s="1014"/>
      <c r="C146" s="1015"/>
      <c r="D146" s="1016"/>
      <c r="E146" s="1015"/>
      <c r="F146" s="1017"/>
      <c r="G146" s="1018"/>
      <c r="H146" s="1018"/>
      <c r="I146" s="1018"/>
      <c r="J146" s="1018"/>
      <c r="K146" s="1018"/>
      <c r="L146" s="1018"/>
      <c r="M146" s="1018"/>
      <c r="N146" s="1018"/>
      <c r="O146" s="1017"/>
      <c r="P146" s="842"/>
      <c r="AA146" s="902"/>
      <c r="AB146" s="902"/>
      <c r="AC146" s="902"/>
      <c r="AD146" s="902"/>
      <c r="AE146" s="902"/>
    </row>
    <row r="147" spans="1:31" x14ac:dyDescent="0.3">
      <c r="A147" s="867"/>
      <c r="B147" s="820" t="s">
        <v>899</v>
      </c>
      <c r="C147" s="799"/>
      <c r="D147" s="821"/>
      <c r="E147" s="799"/>
      <c r="F147" s="822"/>
      <c r="G147" s="823"/>
      <c r="H147" s="824"/>
      <c r="I147" s="812"/>
      <c r="J147" s="825"/>
      <c r="K147" s="823"/>
      <c r="L147" s="823"/>
      <c r="M147" s="823"/>
      <c r="N147" s="823"/>
      <c r="O147" s="826"/>
      <c r="P147" s="842"/>
      <c r="AA147" s="902"/>
      <c r="AB147" s="902"/>
      <c r="AC147" s="902"/>
      <c r="AD147" s="902"/>
      <c r="AE147" s="902"/>
    </row>
    <row r="148" spans="1:31" x14ac:dyDescent="0.3">
      <c r="A148" s="867"/>
      <c r="B148" s="807" t="str">
        <f>B70</f>
        <v>Orthotics first appointment</v>
      </c>
      <c r="C148" s="808"/>
      <c r="D148" s="809"/>
      <c r="E148" s="810"/>
      <c r="F148" s="810"/>
      <c r="G148" s="811"/>
      <c r="H148" s="813"/>
      <c r="I148" s="812"/>
      <c r="J148" s="827"/>
      <c r="K148" s="811"/>
      <c r="L148" s="811"/>
      <c r="M148" s="811"/>
      <c r="N148" s="811"/>
      <c r="O148" s="813"/>
      <c r="P148" s="842"/>
      <c r="AA148" s="902"/>
      <c r="AB148" s="902"/>
      <c r="AC148" s="902"/>
      <c r="AD148" s="902"/>
      <c r="AE148" s="902"/>
    </row>
    <row r="149" spans="1:31" x14ac:dyDescent="0.3">
      <c r="A149" s="867"/>
      <c r="B149" s="213" t="s">
        <v>895</v>
      </c>
      <c r="C149" s="550"/>
      <c r="D149" s="647" t="s">
        <v>623</v>
      </c>
      <c r="E149" s="648" t="s">
        <v>624</v>
      </c>
      <c r="F149" s="647" t="s">
        <v>625</v>
      </c>
      <c r="G149" s="647" t="s">
        <v>626</v>
      </c>
      <c r="H149" s="648" t="s">
        <v>627</v>
      </c>
      <c r="I149" s="814"/>
      <c r="J149" s="489" t="s">
        <v>893</v>
      </c>
      <c r="K149" s="647" t="s">
        <v>623</v>
      </c>
      <c r="L149" s="648" t="s">
        <v>624</v>
      </c>
      <c r="M149" s="647" t="s">
        <v>625</v>
      </c>
      <c r="N149" s="647" t="s">
        <v>626</v>
      </c>
      <c r="O149" s="647" t="s">
        <v>627</v>
      </c>
      <c r="P149" s="842"/>
      <c r="AA149" s="902"/>
      <c r="AB149" s="902"/>
      <c r="AC149" s="902"/>
      <c r="AD149" s="902"/>
      <c r="AE149" s="902"/>
    </row>
    <row r="150" spans="1:31" x14ac:dyDescent="0.3">
      <c r="A150" s="867"/>
      <c r="B150" s="792" t="s">
        <v>898</v>
      </c>
      <c r="C150" s="554"/>
      <c r="D150" s="548">
        <f>'Inputs and eligible population'!G75</f>
        <v>50</v>
      </c>
      <c r="E150" s="548">
        <f>'Inputs and eligible population'!H75</f>
        <v>33.5</v>
      </c>
      <c r="F150" s="548">
        <f>'Inputs and eligible population'!I75</f>
        <v>22.445</v>
      </c>
      <c r="G150" s="548">
        <f>'Inputs and eligible population'!J75</f>
        <v>15.03815</v>
      </c>
      <c r="H150" s="548">
        <f>'Inputs and eligible population'!K75</f>
        <v>10.0755605</v>
      </c>
      <c r="I150" s="814"/>
      <c r="J150" s="351">
        <f>'Inputs and eligible population'!J105</f>
        <v>0</v>
      </c>
      <c r="K150" s="351">
        <f t="shared" ref="K150:O150" si="94">$J150/1000*D150</f>
        <v>0</v>
      </c>
      <c r="L150" s="351">
        <f t="shared" si="94"/>
        <v>0</v>
      </c>
      <c r="M150" s="351">
        <f t="shared" si="94"/>
        <v>0</v>
      </c>
      <c r="N150" s="351">
        <f t="shared" si="94"/>
        <v>0</v>
      </c>
      <c r="O150" s="351">
        <f t="shared" si="94"/>
        <v>0</v>
      </c>
      <c r="P150" s="842"/>
      <c r="AA150" s="902"/>
      <c r="AB150" s="902"/>
      <c r="AC150" s="902"/>
      <c r="AD150" s="902"/>
      <c r="AE150" s="902"/>
    </row>
    <row r="151" spans="1:31" x14ac:dyDescent="0.3">
      <c r="A151" s="867"/>
      <c r="B151" s="868"/>
      <c r="C151" s="844"/>
      <c r="D151" s="845"/>
      <c r="E151" s="797"/>
      <c r="F151" s="797"/>
      <c r="G151" s="797"/>
      <c r="H151" s="797"/>
      <c r="I151" s="797"/>
      <c r="J151" s="835"/>
      <c r="K151" s="836"/>
      <c r="L151" s="836"/>
      <c r="M151" s="836"/>
      <c r="N151" s="836"/>
      <c r="O151" s="837"/>
      <c r="P151" s="842"/>
      <c r="AA151" s="902"/>
      <c r="AB151" s="902"/>
      <c r="AC151" s="902"/>
      <c r="AD151" s="902"/>
      <c r="AE151" s="902"/>
    </row>
    <row r="152" spans="1:31" x14ac:dyDescent="0.3">
      <c r="A152" s="867"/>
      <c r="B152" s="829" t="s">
        <v>909</v>
      </c>
      <c r="C152" s="830"/>
      <c r="D152" s="831"/>
      <c r="E152" s="832"/>
      <c r="F152" s="833"/>
      <c r="G152" s="833"/>
      <c r="H152" s="817"/>
      <c r="I152" s="828"/>
      <c r="J152" s="818"/>
      <c r="K152" s="833"/>
      <c r="L152" s="833"/>
      <c r="M152" s="833"/>
      <c r="N152" s="833"/>
      <c r="O152" s="819"/>
      <c r="P152" s="842"/>
    </row>
    <row r="153" spans="1:31" x14ac:dyDescent="0.3">
      <c r="A153" s="867"/>
      <c r="B153" s="834" t="s">
        <v>1152</v>
      </c>
      <c r="C153" s="816"/>
      <c r="D153" s="816"/>
      <c r="E153" s="816"/>
      <c r="F153" s="816"/>
      <c r="G153" s="816"/>
      <c r="H153" s="816"/>
      <c r="I153" s="814"/>
      <c r="J153" s="827"/>
      <c r="K153" s="811"/>
      <c r="L153" s="811"/>
      <c r="M153" s="811"/>
      <c r="N153" s="811"/>
      <c r="O153" s="813"/>
      <c r="P153" s="842"/>
      <c r="AA153" s="902"/>
      <c r="AB153" s="902"/>
      <c r="AC153" s="902"/>
      <c r="AD153" s="902"/>
      <c r="AE153" s="902"/>
    </row>
    <row r="154" spans="1:31" x14ac:dyDescent="0.3">
      <c r="A154" s="867"/>
      <c r="B154" s="274" t="s">
        <v>895</v>
      </c>
      <c r="C154" s="552"/>
      <c r="D154" s="647" t="s">
        <v>623</v>
      </c>
      <c r="E154" s="648" t="s">
        <v>624</v>
      </c>
      <c r="F154" s="647" t="s">
        <v>625</v>
      </c>
      <c r="G154" s="647" t="s">
        <v>626</v>
      </c>
      <c r="H154" s="648" t="s">
        <v>627</v>
      </c>
      <c r="I154" s="814"/>
      <c r="J154" s="489" t="s">
        <v>893</v>
      </c>
      <c r="K154" s="647" t="s">
        <v>623</v>
      </c>
      <c r="L154" s="648" t="s">
        <v>624</v>
      </c>
      <c r="M154" s="647" t="s">
        <v>625</v>
      </c>
      <c r="N154" s="647" t="s">
        <v>626</v>
      </c>
      <c r="O154" s="647" t="s">
        <v>627</v>
      </c>
      <c r="P154" s="842"/>
      <c r="AA154" s="902"/>
      <c r="AB154" s="902"/>
      <c r="AC154" s="902"/>
      <c r="AD154" s="902"/>
      <c r="AE154" s="902"/>
    </row>
    <row r="155" spans="1:31" x14ac:dyDescent="0.3">
      <c r="A155" s="867"/>
      <c r="B155" s="640" t="s">
        <v>721</v>
      </c>
      <c r="C155" s="548"/>
      <c r="D155" s="128">
        <f>D150</f>
        <v>50</v>
      </c>
      <c r="E155" s="128">
        <f t="shared" ref="E155:H155" si="95">E150</f>
        <v>33.5</v>
      </c>
      <c r="F155" s="128">
        <f t="shared" si="95"/>
        <v>22.445</v>
      </c>
      <c r="G155" s="128">
        <f t="shared" si="95"/>
        <v>15.03815</v>
      </c>
      <c r="H155" s="128">
        <f t="shared" si="95"/>
        <v>10.0755605</v>
      </c>
      <c r="I155" s="814"/>
      <c r="J155" s="351">
        <f>'Inputs and eligible population'!J107</f>
        <v>0</v>
      </c>
      <c r="K155" s="351">
        <f t="shared" ref="K155:O155" si="96">$J155/1000*D155</f>
        <v>0</v>
      </c>
      <c r="L155" s="351">
        <f t="shared" si="96"/>
        <v>0</v>
      </c>
      <c r="M155" s="351">
        <f t="shared" si="96"/>
        <v>0</v>
      </c>
      <c r="N155" s="351">
        <f t="shared" si="96"/>
        <v>0</v>
      </c>
      <c r="O155" s="351">
        <f t="shared" si="96"/>
        <v>0</v>
      </c>
      <c r="P155" s="842"/>
      <c r="AA155" s="902"/>
      <c r="AB155" s="902"/>
      <c r="AC155" s="902"/>
      <c r="AD155" s="902"/>
      <c r="AE155" s="902"/>
    </row>
    <row r="156" spans="1:31" x14ac:dyDescent="0.3">
      <c r="A156" s="867"/>
      <c r="B156" s="868"/>
      <c r="C156" s="846"/>
      <c r="D156" s="844"/>
      <c r="E156" s="845"/>
      <c r="F156" s="797"/>
      <c r="G156" s="797"/>
      <c r="H156" s="797"/>
      <c r="I156" s="812"/>
      <c r="J156" s="812"/>
      <c r="K156" s="812"/>
      <c r="L156" s="812"/>
      <c r="M156" s="812"/>
      <c r="N156" s="812"/>
      <c r="O156" s="812"/>
      <c r="P156" s="842"/>
      <c r="AA156" s="902"/>
      <c r="AB156" s="902"/>
      <c r="AC156" s="902"/>
      <c r="AD156" s="902"/>
      <c r="AE156" s="902"/>
    </row>
    <row r="157" spans="1:31" x14ac:dyDescent="0.3">
      <c r="A157" s="728"/>
      <c r="B157" s="869" t="s">
        <v>897</v>
      </c>
      <c r="C157" s="350"/>
      <c r="D157" s="847"/>
      <c r="G157" s="133"/>
      <c r="H157" s="133"/>
      <c r="I157" s="133"/>
      <c r="J157" s="133"/>
      <c r="K157" s="133"/>
      <c r="L157" s="133"/>
      <c r="M157" s="133"/>
      <c r="N157" s="133"/>
      <c r="O157" s="133"/>
      <c r="P157" s="842"/>
      <c r="AA157" s="902"/>
      <c r="AB157" s="902"/>
      <c r="AC157" s="902"/>
      <c r="AD157" s="902"/>
      <c r="AE157" s="902"/>
    </row>
    <row r="158" spans="1:31" x14ac:dyDescent="0.3">
      <c r="A158" s="870"/>
      <c r="B158" s="274"/>
      <c r="C158" s="552"/>
      <c r="D158" s="647" t="s">
        <v>623</v>
      </c>
      <c r="E158" s="648" t="s">
        <v>624</v>
      </c>
      <c r="F158" s="647" t="s">
        <v>625</v>
      </c>
      <c r="G158" s="647" t="s">
        <v>626</v>
      </c>
      <c r="H158" s="648" t="s">
        <v>627</v>
      </c>
      <c r="I158" s="490"/>
      <c r="J158" s="348" t="s">
        <v>893</v>
      </c>
      <c r="K158" s="647" t="s">
        <v>623</v>
      </c>
      <c r="L158" s="648" t="s">
        <v>624</v>
      </c>
      <c r="M158" s="647" t="s">
        <v>625</v>
      </c>
      <c r="N158" s="647" t="s">
        <v>626</v>
      </c>
      <c r="O158" s="648" t="s">
        <v>627</v>
      </c>
      <c r="P158" s="842"/>
      <c r="AA158" s="902"/>
      <c r="AB158" s="902"/>
      <c r="AC158" s="902"/>
      <c r="AD158" s="902"/>
      <c r="AE158" s="902"/>
    </row>
    <row r="159" spans="1:31" x14ac:dyDescent="0.3">
      <c r="A159" s="728"/>
      <c r="B159" s="247" t="s">
        <v>721</v>
      </c>
      <c r="C159" s="548"/>
      <c r="D159" s="548">
        <f>'Inputs and eligible population'!G79</f>
        <v>34.039499999999997</v>
      </c>
      <c r="E159" s="548">
        <f>'Inputs and eligible population'!H79</f>
        <v>22.806464999999999</v>
      </c>
      <c r="F159" s="548">
        <f>'Inputs and eligible population'!I79</f>
        <v>15.280331550000001</v>
      </c>
      <c r="G159" s="548">
        <f>'Inputs and eligible population'!J79</f>
        <v>10.2378221385</v>
      </c>
      <c r="H159" s="548">
        <f>'Inputs and eligible population'!K79</f>
        <v>6.8593408327950005</v>
      </c>
      <c r="I159" s="490"/>
      <c r="J159" s="351">
        <f>J85</f>
        <v>9872.2857142857138</v>
      </c>
      <c r="K159" s="351">
        <f t="shared" ref="K159:O159" si="97">$J159/1000*D159</f>
        <v>336.04766957142851</v>
      </c>
      <c r="L159" s="351">
        <f t="shared" si="97"/>
        <v>225.15193861285709</v>
      </c>
      <c r="M159" s="351">
        <f t="shared" si="97"/>
        <v>150.85179887061429</v>
      </c>
      <c r="N159" s="351">
        <f t="shared" si="97"/>
        <v>101.07070524331156</v>
      </c>
      <c r="O159" s="351">
        <f t="shared" si="97"/>
        <v>67.717372513018745</v>
      </c>
      <c r="P159" s="842"/>
      <c r="AA159" s="902"/>
      <c r="AB159" s="902"/>
      <c r="AC159" s="902"/>
      <c r="AD159" s="902"/>
      <c r="AE159" s="902"/>
    </row>
    <row r="160" spans="1:31" x14ac:dyDescent="0.3">
      <c r="A160" s="728"/>
      <c r="B160" s="237"/>
      <c r="C160" s="350"/>
      <c r="D160" s="847"/>
      <c r="I160" s="133"/>
      <c r="J160" s="133"/>
      <c r="K160" s="133"/>
      <c r="L160" s="133"/>
      <c r="M160" s="133"/>
      <c r="N160" s="133"/>
      <c r="O160" s="133"/>
      <c r="P160" s="842"/>
      <c r="AA160" s="902"/>
      <c r="AB160" s="902"/>
      <c r="AC160" s="902"/>
      <c r="AD160" s="902"/>
      <c r="AE160" s="902"/>
    </row>
    <row r="161" spans="1:31" x14ac:dyDescent="0.3">
      <c r="A161" s="871"/>
      <c r="B161" s="575" t="s">
        <v>899</v>
      </c>
      <c r="C161" s="576"/>
      <c r="D161" s="577"/>
      <c r="E161" s="578"/>
      <c r="F161" s="579"/>
      <c r="G161" s="579"/>
      <c r="H161" s="580"/>
      <c r="I161" s="581"/>
      <c r="J161" s="657"/>
      <c r="K161" s="579"/>
      <c r="L161" s="579"/>
      <c r="M161" s="579"/>
      <c r="N161" s="579"/>
      <c r="O161" s="658"/>
      <c r="P161" s="842"/>
    </row>
    <row r="162" spans="1:31" x14ac:dyDescent="0.3">
      <c r="A162" s="872"/>
      <c r="B162" s="582" t="s">
        <v>900</v>
      </c>
      <c r="C162" s="583"/>
      <c r="D162" s="583"/>
      <c r="E162" s="583"/>
      <c r="F162" s="583"/>
      <c r="G162" s="583"/>
      <c r="H162" s="583"/>
      <c r="I162" s="584"/>
      <c r="J162" s="654"/>
      <c r="K162" s="655"/>
      <c r="L162" s="655"/>
      <c r="M162" s="655"/>
      <c r="N162" s="655"/>
      <c r="O162" s="656"/>
      <c r="P162" s="842"/>
      <c r="AA162" s="902"/>
      <c r="AB162" s="902"/>
      <c r="AC162" s="902"/>
      <c r="AD162" s="902"/>
      <c r="AE162" s="902"/>
    </row>
    <row r="163" spans="1:31" x14ac:dyDescent="0.3">
      <c r="A163" s="872"/>
      <c r="B163" s="274" t="s">
        <v>895</v>
      </c>
      <c r="C163" s="552"/>
      <c r="D163" s="647" t="s">
        <v>623</v>
      </c>
      <c r="E163" s="648" t="s">
        <v>624</v>
      </c>
      <c r="F163" s="647" t="s">
        <v>625</v>
      </c>
      <c r="G163" s="647" t="s">
        <v>626</v>
      </c>
      <c r="H163" s="648" t="s">
        <v>627</v>
      </c>
      <c r="I163" s="584"/>
      <c r="J163" s="489" t="s">
        <v>893</v>
      </c>
      <c r="K163" s="647" t="s">
        <v>623</v>
      </c>
      <c r="L163" s="648" t="s">
        <v>624</v>
      </c>
      <c r="M163" s="647" t="s">
        <v>625</v>
      </c>
      <c r="N163" s="647" t="s">
        <v>626</v>
      </c>
      <c r="O163" s="648" t="s">
        <v>627</v>
      </c>
      <c r="P163" s="842"/>
      <c r="AA163" s="902"/>
      <c r="AB163" s="902"/>
      <c r="AC163" s="902"/>
      <c r="AD163" s="902"/>
      <c r="AE163" s="902"/>
    </row>
    <row r="164" spans="1:31" x14ac:dyDescent="0.3">
      <c r="A164" s="871"/>
      <c r="B164" s="640" t="s">
        <v>721</v>
      </c>
      <c r="C164" s="641"/>
      <c r="D164" s="548">
        <f>D159</f>
        <v>34.039499999999997</v>
      </c>
      <c r="E164" s="548">
        <f>E159</f>
        <v>22.806464999999999</v>
      </c>
      <c r="F164" s="548">
        <f>F159</f>
        <v>15.280331550000001</v>
      </c>
      <c r="G164" s="548">
        <f>G159</f>
        <v>10.2378221385</v>
      </c>
      <c r="H164" s="548">
        <f>H159</f>
        <v>6.8593408327950005</v>
      </c>
      <c r="I164" s="584"/>
      <c r="J164" s="351">
        <f>J92</f>
        <v>181</v>
      </c>
      <c r="K164" s="351">
        <f t="shared" ref="K164:O164" si="98">$J164/1000*D164</f>
        <v>6.1611494999999996</v>
      </c>
      <c r="L164" s="351">
        <f t="shared" si="98"/>
        <v>4.1279701649999998</v>
      </c>
      <c r="M164" s="351">
        <f t="shared" si="98"/>
        <v>2.7657400105500001</v>
      </c>
      <c r="N164" s="351">
        <f t="shared" si="98"/>
        <v>1.8530458070685001</v>
      </c>
      <c r="O164" s="351">
        <f t="shared" si="98"/>
        <v>1.241540690735895</v>
      </c>
      <c r="P164" s="842"/>
      <c r="AA164" s="902"/>
      <c r="AB164" s="902"/>
      <c r="AC164" s="902"/>
      <c r="AD164" s="902"/>
      <c r="AE164" s="902"/>
    </row>
    <row r="165" spans="1:31" x14ac:dyDescent="0.3">
      <c r="A165" s="871"/>
      <c r="B165" s="873"/>
      <c r="C165" s="787"/>
      <c r="D165" s="788"/>
      <c r="E165" s="789"/>
      <c r="F165" s="786"/>
      <c r="G165" s="786"/>
      <c r="H165" s="579"/>
      <c r="I165" s="791"/>
      <c r="J165" s="791"/>
      <c r="K165" s="791"/>
      <c r="L165" s="791"/>
      <c r="M165" s="791"/>
      <c r="N165" s="791"/>
      <c r="O165" s="791"/>
      <c r="P165" s="842"/>
      <c r="AA165" s="902"/>
      <c r="AB165" s="902"/>
      <c r="AC165" s="902"/>
      <c r="AD165" s="902"/>
      <c r="AE165" s="902"/>
    </row>
    <row r="166" spans="1:31" x14ac:dyDescent="0.3">
      <c r="A166" s="874"/>
      <c r="B166" s="572" t="s">
        <v>901</v>
      </c>
      <c r="C166" s="573"/>
      <c r="D166" s="573"/>
      <c r="E166" s="573"/>
      <c r="F166" s="573"/>
      <c r="G166" s="573"/>
      <c r="H166" s="573"/>
      <c r="I166" s="574"/>
      <c r="J166" s="652"/>
      <c r="K166" s="573"/>
      <c r="L166" s="573"/>
      <c r="M166" s="573"/>
      <c r="N166" s="573"/>
      <c r="O166" s="653"/>
      <c r="P166" s="842"/>
      <c r="AA166" s="902"/>
      <c r="AB166" s="902"/>
      <c r="AC166" s="902"/>
      <c r="AD166" s="902"/>
      <c r="AE166" s="902"/>
    </row>
    <row r="167" spans="1:31" x14ac:dyDescent="0.3">
      <c r="A167" s="874"/>
      <c r="B167" s="274" t="s">
        <v>895</v>
      </c>
      <c r="C167" s="552"/>
      <c r="D167" s="647" t="s">
        <v>623</v>
      </c>
      <c r="E167" s="648" t="s">
        <v>624</v>
      </c>
      <c r="F167" s="647" t="s">
        <v>625</v>
      </c>
      <c r="G167" s="647" t="s">
        <v>626</v>
      </c>
      <c r="H167" s="648" t="s">
        <v>627</v>
      </c>
      <c r="I167" s="574"/>
      <c r="J167" s="489" t="s">
        <v>893</v>
      </c>
      <c r="K167" s="647" t="s">
        <v>623</v>
      </c>
      <c r="L167" s="648" t="s">
        <v>624</v>
      </c>
      <c r="M167" s="647" t="s">
        <v>625</v>
      </c>
      <c r="N167" s="647" t="s">
        <v>626</v>
      </c>
      <c r="O167" s="648" t="s">
        <v>627</v>
      </c>
      <c r="P167" s="842"/>
      <c r="AA167" s="902"/>
      <c r="AB167" s="902"/>
      <c r="AC167" s="902"/>
      <c r="AD167" s="902"/>
      <c r="AE167" s="902"/>
    </row>
    <row r="168" spans="1:31" x14ac:dyDescent="0.3">
      <c r="A168" s="874"/>
      <c r="B168" s="247" t="s">
        <v>721</v>
      </c>
      <c r="C168" s="548"/>
      <c r="D168" s="128">
        <f>D164*'Inputs and eligible population'!$F$112</f>
        <v>0</v>
      </c>
      <c r="E168" s="128">
        <f>E164*'Inputs and eligible population'!$F$112</f>
        <v>0</v>
      </c>
      <c r="F168" s="128">
        <f>F164*'Inputs and eligible population'!$F$112</f>
        <v>0</v>
      </c>
      <c r="G168" s="128">
        <f>G164*'Inputs and eligible population'!$F$112</f>
        <v>0</v>
      </c>
      <c r="H168" s="128">
        <f>H164*'Inputs and eligible population'!$F$112</f>
        <v>0</v>
      </c>
      <c r="I168" s="574"/>
      <c r="J168" s="351">
        <f>J99</f>
        <v>72</v>
      </c>
      <c r="K168" s="351">
        <f t="shared" ref="K168:O168" si="99">$J168/1000*D168</f>
        <v>0</v>
      </c>
      <c r="L168" s="351">
        <f t="shared" si="99"/>
        <v>0</v>
      </c>
      <c r="M168" s="351">
        <f t="shared" si="99"/>
        <v>0</v>
      </c>
      <c r="N168" s="351">
        <f t="shared" si="99"/>
        <v>0</v>
      </c>
      <c r="O168" s="351">
        <f t="shared" si="99"/>
        <v>0</v>
      </c>
      <c r="P168" s="842"/>
      <c r="AA168" s="902"/>
      <c r="AB168" s="902"/>
      <c r="AC168" s="902"/>
      <c r="AD168" s="902"/>
      <c r="AE168" s="902"/>
    </row>
    <row r="169" spans="1:31" x14ac:dyDescent="0.3">
      <c r="A169" s="875"/>
      <c r="B169" s="876"/>
      <c r="C169" s="851"/>
      <c r="D169" s="852"/>
      <c r="E169" s="853"/>
      <c r="F169" s="569"/>
      <c r="G169" s="569"/>
      <c r="H169" s="569"/>
      <c r="I169" s="854"/>
      <c r="J169" s="854"/>
      <c r="K169" s="854"/>
      <c r="L169" s="854"/>
      <c r="M169" s="854"/>
      <c r="N169" s="854"/>
      <c r="O169" s="854"/>
      <c r="P169" s="842"/>
      <c r="AA169" s="902"/>
      <c r="AB169" s="902"/>
      <c r="AC169" s="902"/>
      <c r="AD169" s="902"/>
      <c r="AE169" s="902"/>
    </row>
    <row r="170" spans="1:31" x14ac:dyDescent="0.3">
      <c r="A170" s="877"/>
      <c r="B170" s="585" t="s">
        <v>736</v>
      </c>
      <c r="C170" s="586"/>
      <c r="D170" s="586"/>
      <c r="E170" s="586"/>
      <c r="F170" s="586"/>
      <c r="G170" s="586"/>
      <c r="H170" s="586"/>
      <c r="I170" s="587"/>
      <c r="J170" s="650"/>
      <c r="K170" s="586"/>
      <c r="L170" s="586"/>
      <c r="M170" s="586"/>
      <c r="N170" s="586"/>
      <c r="O170" s="651"/>
      <c r="P170" s="842"/>
      <c r="AA170" s="902"/>
      <c r="AB170" s="902"/>
      <c r="AC170" s="902"/>
      <c r="AD170" s="902"/>
      <c r="AE170" s="902"/>
    </row>
    <row r="171" spans="1:31" ht="28.8" x14ac:dyDescent="0.3">
      <c r="A171" s="877"/>
      <c r="B171" s="274" t="s">
        <v>895</v>
      </c>
      <c r="C171" s="552"/>
      <c r="D171" s="647" t="s">
        <v>623</v>
      </c>
      <c r="E171" s="648" t="s">
        <v>624</v>
      </c>
      <c r="F171" s="647" t="s">
        <v>625</v>
      </c>
      <c r="G171" s="647" t="s">
        <v>626</v>
      </c>
      <c r="H171" s="648" t="s">
        <v>627</v>
      </c>
      <c r="I171" s="587"/>
      <c r="J171" s="489" t="s">
        <v>903</v>
      </c>
      <c r="K171" s="647" t="s">
        <v>623</v>
      </c>
      <c r="L171" s="648" t="s">
        <v>624</v>
      </c>
      <c r="M171" s="647" t="s">
        <v>625</v>
      </c>
      <c r="N171" s="647" t="s">
        <v>626</v>
      </c>
      <c r="O171" s="648" t="s">
        <v>627</v>
      </c>
      <c r="P171" s="842"/>
      <c r="AA171" s="902"/>
      <c r="AB171" s="902"/>
      <c r="AC171" s="902"/>
      <c r="AD171" s="902"/>
      <c r="AE171" s="902"/>
    </row>
    <row r="172" spans="1:31" x14ac:dyDescent="0.3">
      <c r="A172" s="877"/>
      <c r="B172" s="247" t="s">
        <v>721</v>
      </c>
      <c r="C172" s="548"/>
      <c r="D172" s="128">
        <f>'Inputs and eligible population'!G79*'Inputs and eligible population'!$G$116</f>
        <v>0</v>
      </c>
      <c r="E172" s="128">
        <f>'Inputs and eligible population'!H79*'Inputs and eligible population'!$G$116</f>
        <v>0</v>
      </c>
      <c r="F172" s="128">
        <f>'Inputs and eligible population'!I79*'Inputs and eligible population'!$G$116</f>
        <v>0</v>
      </c>
      <c r="G172" s="128">
        <f>'Inputs and eligible population'!J79*'Inputs and eligible population'!$G$116</f>
        <v>0</v>
      </c>
      <c r="H172" s="128">
        <f>'Inputs and eligible population'!K79*'Inputs and eligible population'!$G$116</f>
        <v>0</v>
      </c>
      <c r="I172" s="587"/>
      <c r="J172" s="351">
        <f>J105</f>
        <v>0</v>
      </c>
      <c r="K172" s="351">
        <f t="shared" ref="K172:O172" si="100">$J172/1000*D172</f>
        <v>0</v>
      </c>
      <c r="L172" s="351">
        <f t="shared" si="100"/>
        <v>0</v>
      </c>
      <c r="M172" s="351">
        <f t="shared" si="100"/>
        <v>0</v>
      </c>
      <c r="N172" s="351">
        <f t="shared" si="100"/>
        <v>0</v>
      </c>
      <c r="O172" s="351">
        <f t="shared" si="100"/>
        <v>0</v>
      </c>
      <c r="P172" s="842"/>
      <c r="AA172" s="902"/>
      <c r="AB172" s="902"/>
      <c r="AC172" s="902"/>
      <c r="AD172" s="902"/>
      <c r="AE172" s="902"/>
    </row>
    <row r="173" spans="1:31" x14ac:dyDescent="0.3">
      <c r="A173" s="878"/>
      <c r="B173" s="879"/>
      <c r="C173" s="856"/>
      <c r="D173" s="857"/>
      <c r="E173" s="858"/>
      <c r="F173" s="588"/>
      <c r="G173" s="588"/>
      <c r="H173" s="589"/>
      <c r="I173" s="859"/>
      <c r="J173" s="859"/>
      <c r="K173" s="859"/>
      <c r="L173" s="859"/>
      <c r="M173" s="859"/>
      <c r="N173" s="859"/>
      <c r="O173" s="859"/>
      <c r="P173" s="842"/>
      <c r="AA173" s="902"/>
      <c r="AB173" s="902"/>
      <c r="AC173" s="902"/>
      <c r="AD173" s="902"/>
      <c r="AE173" s="902"/>
    </row>
    <row r="174" spans="1:31" x14ac:dyDescent="0.3">
      <c r="A174" s="880"/>
      <c r="B174" s="881"/>
      <c r="C174" s="692"/>
      <c r="D174" s="692"/>
      <c r="E174" s="692"/>
      <c r="F174" s="692"/>
      <c r="G174" s="692"/>
      <c r="H174" s="692"/>
      <c r="I174" s="692"/>
      <c r="J174" s="692"/>
      <c r="K174" s="692"/>
      <c r="L174" s="692"/>
      <c r="M174" s="692"/>
      <c r="N174" s="692"/>
      <c r="O174" s="692"/>
      <c r="P174" s="727"/>
    </row>
    <row r="175" spans="1:31" x14ac:dyDescent="0.3">
      <c r="A175" s="728"/>
      <c r="B175" s="262" t="s">
        <v>1129</v>
      </c>
      <c r="C175" s="960"/>
      <c r="D175" s="960"/>
      <c r="E175" s="960"/>
      <c r="F175" s="960"/>
      <c r="G175" s="960"/>
      <c r="H175" s="961"/>
      <c r="I175" s="490"/>
      <c r="J175" s="962"/>
      <c r="K175" s="960"/>
      <c r="L175" s="960"/>
      <c r="M175" s="960"/>
      <c r="N175" s="960"/>
      <c r="O175" s="961"/>
      <c r="P175" s="842"/>
      <c r="R175"/>
      <c r="S175"/>
      <c r="T175"/>
      <c r="U175"/>
      <c r="V175"/>
      <c r="W175"/>
      <c r="X175"/>
      <c r="Y175"/>
      <c r="Z175"/>
      <c r="AA175" s="233"/>
      <c r="AB175" s="233"/>
      <c r="AC175" s="233"/>
      <c r="AD175" s="233"/>
      <c r="AE175" s="233"/>
    </row>
    <row r="176" spans="1:31" ht="28.8" x14ac:dyDescent="0.3">
      <c r="A176" s="728"/>
      <c r="B176" s="274" t="s">
        <v>895</v>
      </c>
      <c r="C176" s="552"/>
      <c r="D176" s="647" t="s">
        <v>623</v>
      </c>
      <c r="E176" s="648" t="s">
        <v>624</v>
      </c>
      <c r="F176" s="647" t="s">
        <v>625</v>
      </c>
      <c r="G176" s="647" t="s">
        <v>626</v>
      </c>
      <c r="H176" s="648" t="s">
        <v>627</v>
      </c>
      <c r="I176" s="490"/>
      <c r="J176" s="489" t="s">
        <v>903</v>
      </c>
      <c r="K176" s="647" t="s">
        <v>623</v>
      </c>
      <c r="L176" s="648" t="s">
        <v>624</v>
      </c>
      <c r="M176" s="647" t="s">
        <v>625</v>
      </c>
      <c r="N176" s="647" t="s">
        <v>626</v>
      </c>
      <c r="O176" s="648" t="s">
        <v>627</v>
      </c>
      <c r="P176" s="842"/>
      <c r="R176"/>
      <c r="S176"/>
      <c r="T176"/>
      <c r="U176"/>
      <c r="V176"/>
      <c r="W176"/>
      <c r="X176"/>
      <c r="Y176"/>
      <c r="Z176"/>
      <c r="AA176" s="233"/>
      <c r="AB176" s="233"/>
      <c r="AC176" s="233"/>
      <c r="AD176" s="233"/>
      <c r="AE176" s="233"/>
    </row>
    <row r="177" spans="1:31" x14ac:dyDescent="0.3">
      <c r="A177" s="728"/>
      <c r="B177" s="772" t="s">
        <v>721</v>
      </c>
      <c r="C177" s="553"/>
      <c r="D177" s="128">
        <f>'Inputs and eligible population'!G81</f>
        <v>0</v>
      </c>
      <c r="E177" s="128">
        <f>'Inputs and eligible population'!H81</f>
        <v>0</v>
      </c>
      <c r="F177" s="128">
        <f>'Inputs and eligible population'!I81</f>
        <v>0</v>
      </c>
      <c r="G177" s="128">
        <f>'Inputs and eligible population'!J81</f>
        <v>0</v>
      </c>
      <c r="H177" s="128">
        <f>'Inputs and eligible population'!K81</f>
        <v>0</v>
      </c>
      <c r="I177" s="490"/>
      <c r="J177" s="351">
        <f>'Unit costs'!J32</f>
        <v>0</v>
      </c>
      <c r="K177" s="351">
        <f t="shared" ref="K177:O177" si="101">$J177/1000*D177</f>
        <v>0</v>
      </c>
      <c r="L177" s="351">
        <f t="shared" si="101"/>
        <v>0</v>
      </c>
      <c r="M177" s="351">
        <f t="shared" si="101"/>
        <v>0</v>
      </c>
      <c r="N177" s="351">
        <f t="shared" si="101"/>
        <v>0</v>
      </c>
      <c r="O177" s="351">
        <f t="shared" si="101"/>
        <v>0</v>
      </c>
      <c r="P177" s="842"/>
      <c r="R177"/>
      <c r="S177"/>
      <c r="T177"/>
      <c r="U177"/>
      <c r="V177"/>
      <c r="W177"/>
      <c r="X177"/>
      <c r="Y177"/>
      <c r="Z177"/>
      <c r="AA177" s="233"/>
      <c r="AB177" s="233"/>
      <c r="AC177" s="233"/>
      <c r="AD177" s="233"/>
      <c r="AE177" s="233"/>
    </row>
    <row r="178" spans="1:31" x14ac:dyDescent="0.3">
      <c r="A178" s="728"/>
      <c r="B178" s="229" t="s">
        <v>896</v>
      </c>
      <c r="C178" s="551"/>
      <c r="D178" s="551">
        <f>SUM(D177:D177)</f>
        <v>0</v>
      </c>
      <c r="E178" s="551">
        <f>SUM(E177:E177)</f>
        <v>0</v>
      </c>
      <c r="F178" s="551">
        <f>SUM(F177:F177)</f>
        <v>0</v>
      </c>
      <c r="G178" s="551">
        <f>SUM(G177:G177)</f>
        <v>0</v>
      </c>
      <c r="H178" s="551">
        <f>SUM(H177:H177)</f>
        <v>0</v>
      </c>
      <c r="I178" s="490"/>
      <c r="J178" s="848"/>
      <c r="K178" s="235">
        <f>SUM(K177:K177)</f>
        <v>0</v>
      </c>
      <c r="L178" s="235">
        <f>SUM(L177:L177)</f>
        <v>0</v>
      </c>
      <c r="M178" s="235">
        <f>SUM(M177:M177)</f>
        <v>0</v>
      </c>
      <c r="N178" s="235">
        <f>SUM(N177:N177)</f>
        <v>0</v>
      </c>
      <c r="O178" s="235">
        <f>SUM(O177:O177)</f>
        <v>0</v>
      </c>
      <c r="P178" s="842"/>
      <c r="R178"/>
      <c r="S178"/>
      <c r="T178"/>
      <c r="U178"/>
      <c r="V178"/>
      <c r="W178"/>
      <c r="X178"/>
      <c r="Y178"/>
      <c r="Z178"/>
      <c r="AA178" s="233"/>
      <c r="AB178" s="233"/>
      <c r="AC178" s="233"/>
      <c r="AD178" s="233"/>
      <c r="AE178" s="233"/>
    </row>
    <row r="179" spans="1:31" x14ac:dyDescent="0.3">
      <c r="A179" s="728"/>
      <c r="P179" s="727"/>
    </row>
    <row r="180" spans="1:31" x14ac:dyDescent="0.3">
      <c r="A180" s="882"/>
      <c r="B180" s="695" t="s">
        <v>890</v>
      </c>
      <c r="C180" s="696"/>
      <c r="D180" s="696"/>
      <c r="E180" s="696"/>
      <c r="F180" s="696"/>
      <c r="G180" s="696"/>
      <c r="H180" s="696"/>
      <c r="I180" s="697"/>
      <c r="J180" s="133"/>
      <c r="K180" s="133"/>
      <c r="L180" s="133"/>
      <c r="M180" s="133"/>
      <c r="N180" s="133"/>
      <c r="O180" s="133"/>
      <c r="P180" s="842"/>
      <c r="Y180" s="902"/>
      <c r="Z180" s="902"/>
      <c r="AA180" s="902"/>
      <c r="AB180" s="902"/>
      <c r="AC180" s="902"/>
    </row>
    <row r="181" spans="1:31" x14ac:dyDescent="0.3">
      <c r="A181" s="882"/>
      <c r="B181" s="274" t="s">
        <v>895</v>
      </c>
      <c r="C181" s="552"/>
      <c r="D181" s="647" t="s">
        <v>623</v>
      </c>
      <c r="E181" s="648" t="s">
        <v>624</v>
      </c>
      <c r="F181" s="647" t="s">
        <v>625</v>
      </c>
      <c r="G181" s="647" t="s">
        <v>626</v>
      </c>
      <c r="H181" s="648" t="s">
        <v>627</v>
      </c>
      <c r="I181" s="697"/>
      <c r="J181" s="860"/>
      <c r="K181" s="649"/>
      <c r="L181" s="649"/>
      <c r="M181" s="649"/>
      <c r="N181" s="649"/>
      <c r="O181" s="649"/>
      <c r="P181" s="842"/>
      <c r="Y181" s="902"/>
      <c r="Z181" s="902"/>
      <c r="AA181" s="902"/>
      <c r="AB181" s="902"/>
      <c r="AC181" s="902"/>
    </row>
    <row r="182" spans="1:31" x14ac:dyDescent="0.3">
      <c r="A182" s="882"/>
      <c r="B182" s="247" t="s">
        <v>910</v>
      </c>
      <c r="C182" s="548"/>
      <c r="D182" s="128">
        <f>D159*'Inputs and eligible population'!$G$118</f>
        <v>120.19185357142854</v>
      </c>
      <c r="E182" s="128">
        <f>E159*'Inputs and eligible population'!$G$118</f>
        <v>80.528541892857135</v>
      </c>
      <c r="F182" s="128">
        <f>F159*'Inputs and eligible population'!$G$118</f>
        <v>53.95412306821428</v>
      </c>
      <c r="G182" s="128">
        <f>G159*'Inputs and eligible population'!$G$118</f>
        <v>36.149262455703564</v>
      </c>
      <c r="H182" s="128">
        <f>H159*'Inputs and eligible population'!$G$118</f>
        <v>24.220005845321392</v>
      </c>
      <c r="I182" s="697"/>
      <c r="J182" s="644"/>
      <c r="K182" s="644"/>
      <c r="L182" s="644"/>
      <c r="M182" s="644"/>
      <c r="N182" s="644"/>
      <c r="O182" s="644"/>
      <c r="P182" s="842"/>
      <c r="Y182" s="902"/>
      <c r="Z182" s="902"/>
      <c r="AA182" s="902"/>
      <c r="AB182" s="902"/>
      <c r="AC182" s="902"/>
    </row>
    <row r="183" spans="1:31" x14ac:dyDescent="0.3">
      <c r="A183" s="883"/>
      <c r="B183" s="884"/>
      <c r="C183" s="885"/>
      <c r="D183" s="886"/>
      <c r="E183" s="887"/>
      <c r="F183" s="888"/>
      <c r="G183" s="888"/>
      <c r="H183" s="838"/>
      <c r="I183" s="889"/>
      <c r="J183" s="133"/>
      <c r="K183" s="133"/>
      <c r="L183" s="133"/>
      <c r="M183" s="133"/>
      <c r="N183" s="133"/>
      <c r="O183" s="133"/>
      <c r="P183" s="842"/>
      <c r="Y183" s="902"/>
      <c r="Z183" s="902"/>
      <c r="AA183" s="902"/>
      <c r="AB183" s="902"/>
      <c r="AC183" s="902"/>
    </row>
    <row r="184" spans="1:31" x14ac:dyDescent="0.3">
      <c r="A184" s="728"/>
      <c r="B184" s="869" t="s">
        <v>1157</v>
      </c>
      <c r="C184" s="890"/>
      <c r="D184" s="350"/>
      <c r="E184" s="847"/>
      <c r="I184" s="133"/>
      <c r="J184" s="133"/>
      <c r="K184" s="133"/>
      <c r="L184" s="133"/>
      <c r="M184" s="133"/>
      <c r="N184" s="133"/>
      <c r="O184" s="133"/>
      <c r="P184" s="842"/>
      <c r="Y184" s="902"/>
      <c r="Z184" s="902"/>
      <c r="AA184" s="902"/>
      <c r="AB184" s="902"/>
      <c r="AC184" s="902"/>
    </row>
    <row r="185" spans="1:31" x14ac:dyDescent="0.3">
      <c r="A185" s="728"/>
      <c r="B185" s="274" t="s">
        <v>895</v>
      </c>
      <c r="C185" s="552"/>
      <c r="D185" s="647" t="s">
        <v>623</v>
      </c>
      <c r="E185" s="648" t="s">
        <v>624</v>
      </c>
      <c r="F185" s="647" t="s">
        <v>625</v>
      </c>
      <c r="G185" s="647" t="s">
        <v>626</v>
      </c>
      <c r="H185" s="648" t="s">
        <v>627</v>
      </c>
      <c r="I185" s="133"/>
      <c r="J185" s="133"/>
      <c r="K185" s="133"/>
      <c r="L185" s="133"/>
      <c r="M185" s="133"/>
      <c r="N185" s="133"/>
      <c r="O185" s="133"/>
      <c r="P185" s="842"/>
      <c r="Y185" s="902"/>
      <c r="Z185" s="902"/>
      <c r="AA185" s="902"/>
      <c r="AB185" s="902"/>
      <c r="AC185" s="902"/>
    </row>
    <row r="186" spans="1:31" x14ac:dyDescent="0.3">
      <c r="A186" s="728"/>
      <c r="B186" s="247" t="s">
        <v>906</v>
      </c>
      <c r="C186" s="548"/>
      <c r="D186" s="128">
        <f>'Inputs and eligible population'!G75*'Inputs and eligible population'!$G$104*'Inputs and eligible population'!$G$105/60</f>
        <v>0</v>
      </c>
      <c r="E186" s="128">
        <f>'Inputs and eligible population'!H75*'Inputs and eligible population'!$G$104*'Inputs and eligible population'!$G$105/60</f>
        <v>0</v>
      </c>
      <c r="F186" s="128">
        <f>'Inputs and eligible population'!I75*'Inputs and eligible population'!$G$104*'Inputs and eligible population'!$G$105/60</f>
        <v>0</v>
      </c>
      <c r="G186" s="128">
        <f>'Inputs and eligible population'!J75*'Inputs and eligible population'!$G$104*'Inputs and eligible population'!$G$105/60</f>
        <v>0</v>
      </c>
      <c r="H186" s="128">
        <f>'Inputs and eligible population'!K75*'Inputs and eligible population'!$G$104*'Inputs and eligible population'!$G$105/60</f>
        <v>0</v>
      </c>
      <c r="I186" s="133"/>
      <c r="J186" s="133"/>
      <c r="K186" s="133"/>
      <c r="L186" s="133"/>
      <c r="M186" s="133"/>
      <c r="N186" s="133"/>
      <c r="O186" s="133"/>
      <c r="P186" s="842"/>
      <c r="Y186" s="902"/>
      <c r="Z186" s="902"/>
      <c r="AA186" s="902"/>
      <c r="AB186" s="902"/>
      <c r="AC186" s="902"/>
    </row>
    <row r="187" spans="1:31" x14ac:dyDescent="0.3">
      <c r="A187" s="728"/>
      <c r="B187" s="247" t="s">
        <v>907</v>
      </c>
      <c r="C187" s="548"/>
      <c r="D187" s="128">
        <f>'Inputs and eligible population'!G75*'Inputs and eligible population'!$G$106*'Inputs and eligible population'!$G$107/60</f>
        <v>0</v>
      </c>
      <c r="E187" s="128">
        <f>'Inputs and eligible population'!H75*'Inputs and eligible population'!$G$106*'Inputs and eligible population'!$G$107/60</f>
        <v>0</v>
      </c>
      <c r="F187" s="128">
        <f>'Inputs and eligible population'!I75*'Inputs and eligible population'!$G$106*'Inputs and eligible population'!$G$107/60</f>
        <v>0</v>
      </c>
      <c r="G187" s="128">
        <f>'Inputs and eligible population'!J75*'Inputs and eligible population'!$G$106*'Inputs and eligible population'!$G$107/60</f>
        <v>0</v>
      </c>
      <c r="H187" s="128">
        <f>'Inputs and eligible population'!K75*'Inputs and eligible population'!$G$106*'Inputs and eligible population'!$G$107/60</f>
        <v>0</v>
      </c>
      <c r="I187" s="133"/>
      <c r="J187" s="133"/>
      <c r="K187" s="133"/>
      <c r="L187" s="133"/>
      <c r="M187" s="133"/>
      <c r="N187" s="133"/>
      <c r="O187" s="133"/>
      <c r="P187" s="842"/>
      <c r="Y187" s="902"/>
      <c r="Z187" s="902"/>
      <c r="AA187" s="902"/>
      <c r="AB187" s="902"/>
      <c r="AC187" s="902"/>
    </row>
    <row r="188" spans="1:31" s="147" customFormat="1" x14ac:dyDescent="0.3">
      <c r="A188" s="726"/>
      <c r="B188" s="793" t="s">
        <v>908</v>
      </c>
      <c r="C188" s="794"/>
      <c r="D188" s="558">
        <f>SUM(D186:D187)</f>
        <v>0</v>
      </c>
      <c r="E188" s="558">
        <f t="shared" ref="E188:H188" si="102">SUM(E186:E187)</f>
        <v>0</v>
      </c>
      <c r="F188" s="558">
        <f t="shared" si="102"/>
        <v>0</v>
      </c>
      <c r="G188" s="558">
        <f t="shared" si="102"/>
        <v>0</v>
      </c>
      <c r="H188" s="558">
        <f t="shared" si="102"/>
        <v>0</v>
      </c>
      <c r="I188" s="785"/>
      <c r="J188" s="785"/>
      <c r="K188" s="785"/>
      <c r="L188" s="785"/>
      <c r="M188" s="785"/>
      <c r="N188" s="785"/>
      <c r="O188" s="785"/>
      <c r="P188" s="891"/>
      <c r="Q188" s="785"/>
      <c r="R188" s="785"/>
      <c r="S188" s="785"/>
      <c r="T188" s="785"/>
      <c r="U188" s="785"/>
      <c r="V188" s="785"/>
      <c r="W188" s="785"/>
      <c r="X188" s="785"/>
      <c r="Y188" s="905"/>
      <c r="Z188" s="905"/>
      <c r="AA188" s="905"/>
      <c r="AB188" s="905"/>
      <c r="AC188" s="905"/>
      <c r="AD188" s="785"/>
      <c r="AE188" s="785"/>
    </row>
    <row r="189" spans="1:31" s="147" customFormat="1" x14ac:dyDescent="0.3">
      <c r="A189" s="726"/>
      <c r="B189" s="869"/>
      <c r="C189" s="1036"/>
      <c r="D189" s="634"/>
      <c r="E189" s="634"/>
      <c r="F189" s="634"/>
      <c r="G189" s="634"/>
      <c r="H189" s="634"/>
      <c r="I189" s="785"/>
      <c r="J189" s="785"/>
      <c r="K189" s="785"/>
      <c r="L189" s="785"/>
      <c r="M189" s="785"/>
      <c r="N189" s="785"/>
      <c r="O189" s="785"/>
      <c r="P189" s="891"/>
      <c r="Q189" s="785"/>
      <c r="R189" s="785"/>
      <c r="S189" s="785"/>
      <c r="T189" s="785"/>
      <c r="U189" s="785"/>
      <c r="V189" s="785"/>
      <c r="W189" s="785"/>
      <c r="X189" s="785"/>
      <c r="Y189" s="905"/>
      <c r="Z189" s="905"/>
      <c r="AA189" s="905"/>
      <c r="AB189" s="905"/>
      <c r="AC189" s="905"/>
      <c r="AD189" s="785"/>
      <c r="AE189" s="785"/>
    </row>
    <row r="190" spans="1:31" x14ac:dyDescent="0.3">
      <c r="A190" s="728"/>
      <c r="B190" s="869" t="s">
        <v>1153</v>
      </c>
      <c r="C190" s="890"/>
      <c r="D190" s="350"/>
      <c r="E190" s="847"/>
      <c r="I190" s="133"/>
      <c r="J190" s="133"/>
      <c r="K190" s="133"/>
      <c r="L190" s="133"/>
      <c r="M190" s="133"/>
      <c r="N190" s="133"/>
      <c r="O190" s="133"/>
      <c r="P190" s="842"/>
      <c r="Y190" s="902"/>
      <c r="Z190" s="902"/>
      <c r="AA190" s="902"/>
      <c r="AB190" s="902"/>
      <c r="AC190" s="902"/>
    </row>
    <row r="191" spans="1:31" x14ac:dyDescent="0.3">
      <c r="A191" s="728"/>
      <c r="B191" s="274" t="s">
        <v>895</v>
      </c>
      <c r="C191" s="552"/>
      <c r="D191" s="647" t="s">
        <v>623</v>
      </c>
      <c r="E191" s="648" t="s">
        <v>624</v>
      </c>
      <c r="F191" s="647" t="s">
        <v>625</v>
      </c>
      <c r="G191" s="647" t="s">
        <v>626</v>
      </c>
      <c r="H191" s="648" t="s">
        <v>627</v>
      </c>
      <c r="I191" s="133"/>
      <c r="J191" s="133"/>
      <c r="K191" s="133"/>
      <c r="L191" s="133"/>
      <c r="M191" s="133"/>
      <c r="N191" s="133"/>
      <c r="O191" s="133"/>
      <c r="P191" s="842"/>
      <c r="Y191" s="902"/>
      <c r="Z191" s="902"/>
      <c r="AA191" s="902"/>
      <c r="AB191" s="902"/>
      <c r="AC191" s="902"/>
    </row>
    <row r="192" spans="1:31" x14ac:dyDescent="0.3">
      <c r="A192" s="728"/>
      <c r="B192" s="247" t="s">
        <v>906</v>
      </c>
      <c r="C192" s="548"/>
      <c r="D192" s="128">
        <f>'Inputs and eligible population'!G74*'Inputs and eligible population'!$G$96*'Inputs and eligible population'!$G$97/60</f>
        <v>0</v>
      </c>
      <c r="E192" s="128">
        <f>'Inputs and eligible population'!H74*'Inputs and eligible population'!$G$96*'Inputs and eligible population'!$G$97/60</f>
        <v>0</v>
      </c>
      <c r="F192" s="128">
        <f>'Inputs and eligible population'!I74*'Inputs and eligible population'!$G$96*'Inputs and eligible population'!$G$97/60</f>
        <v>0</v>
      </c>
      <c r="G192" s="128">
        <f>'Inputs and eligible population'!J74*'Inputs and eligible population'!$G$96*'Inputs and eligible population'!$G$97/60</f>
        <v>0</v>
      </c>
      <c r="H192" s="128">
        <f>'Inputs and eligible population'!K74*'Inputs and eligible population'!$G$96*'Inputs and eligible population'!$G$97/60</f>
        <v>0</v>
      </c>
      <c r="I192" s="133"/>
      <c r="J192" s="133"/>
      <c r="K192" s="133"/>
      <c r="L192" s="133"/>
      <c r="M192" s="133"/>
      <c r="N192" s="133"/>
      <c r="O192" s="133"/>
      <c r="P192" s="842"/>
      <c r="Y192" s="902"/>
      <c r="Z192" s="902"/>
      <c r="AA192" s="902"/>
      <c r="AB192" s="902"/>
      <c r="AC192" s="902"/>
    </row>
    <row r="193" spans="1:31" x14ac:dyDescent="0.3">
      <c r="A193" s="728"/>
      <c r="B193" s="247" t="s">
        <v>907</v>
      </c>
      <c r="C193" s="548"/>
      <c r="D193" s="128">
        <f>'Inputs and eligible population'!G74*'Inputs and eligible population'!$G$98*'Inputs and eligible population'!$G$99/60</f>
        <v>0</v>
      </c>
      <c r="E193" s="128">
        <f>'Inputs and eligible population'!H74*'Inputs and eligible population'!$G$98*'Inputs and eligible population'!$G$99/60</f>
        <v>0</v>
      </c>
      <c r="F193" s="128">
        <f>'Inputs and eligible population'!I74*'Inputs and eligible population'!$G$98*'Inputs and eligible population'!$G$99/60</f>
        <v>0</v>
      </c>
      <c r="G193" s="128">
        <f>'Inputs and eligible population'!J74*'Inputs and eligible population'!$G$98*'Inputs and eligible population'!$G$99/60</f>
        <v>0</v>
      </c>
      <c r="H193" s="128">
        <f>'Inputs and eligible population'!K74*'Inputs and eligible population'!$G$98*'Inputs and eligible population'!$G$99/60</f>
        <v>0</v>
      </c>
      <c r="I193" s="133"/>
      <c r="J193" s="133"/>
      <c r="K193" s="133"/>
      <c r="L193" s="133"/>
      <c r="M193" s="133"/>
      <c r="N193" s="133"/>
      <c r="O193" s="133"/>
      <c r="P193" s="842"/>
      <c r="Y193" s="902"/>
      <c r="Z193" s="902"/>
      <c r="AA193" s="902"/>
      <c r="AB193" s="902"/>
      <c r="AC193" s="902"/>
    </row>
    <row r="194" spans="1:31" s="147" customFormat="1" x14ac:dyDescent="0.3">
      <c r="A194" s="726"/>
      <c r="B194" s="793" t="s">
        <v>908</v>
      </c>
      <c r="C194" s="794"/>
      <c r="D194" s="558">
        <f>SUM(D192:D193)</f>
        <v>0</v>
      </c>
      <c r="E194" s="558">
        <f t="shared" ref="E194:H194" si="103">SUM(E192:E193)</f>
        <v>0</v>
      </c>
      <c r="F194" s="558">
        <f t="shared" si="103"/>
        <v>0</v>
      </c>
      <c r="G194" s="558">
        <f t="shared" si="103"/>
        <v>0</v>
      </c>
      <c r="H194" s="558">
        <f t="shared" si="103"/>
        <v>0</v>
      </c>
      <c r="I194" s="785"/>
      <c r="J194" s="785"/>
      <c r="K194" s="785"/>
      <c r="L194" s="785"/>
      <c r="M194" s="785"/>
      <c r="N194" s="785"/>
      <c r="O194" s="785"/>
      <c r="P194" s="891"/>
      <c r="Q194" s="785"/>
      <c r="R194" s="785"/>
      <c r="S194" s="785"/>
      <c r="T194" s="785"/>
      <c r="U194" s="785"/>
      <c r="V194" s="785"/>
      <c r="W194" s="785"/>
      <c r="X194" s="785"/>
      <c r="Y194" s="905"/>
      <c r="Z194" s="905"/>
      <c r="AA194" s="905"/>
      <c r="AB194" s="905"/>
      <c r="AC194" s="905"/>
      <c r="AD194" s="785"/>
      <c r="AE194" s="785"/>
    </row>
    <row r="195" spans="1:31" ht="15" thickBot="1" x14ac:dyDescent="0.35">
      <c r="A195" s="729"/>
      <c r="B195" s="737"/>
      <c r="C195" s="733"/>
      <c r="D195" s="733"/>
      <c r="E195" s="733"/>
      <c r="F195" s="733"/>
      <c r="G195" s="733"/>
      <c r="H195" s="733"/>
      <c r="I195" s="733"/>
      <c r="J195" s="733"/>
      <c r="K195" s="733"/>
      <c r="L195" s="733"/>
      <c r="M195" s="733"/>
      <c r="N195" s="733"/>
      <c r="O195" s="733"/>
      <c r="P195" s="734"/>
    </row>
  </sheetData>
  <sheetProtection algorithmName="SHA-512" hashValue="5/kllpjemq42Xswjgbl+4vKTEUqQdmy1wMG+qVxMb/A50HEbq7BcoXM9B0J4vEumAKo55vejibbqvB+y7Gx1mg==" saltValue="po1sf60O2WCCBLh5l1ZK/A==" spinCount="100000" sheet="1" objects="1" scenarios="1"/>
  <pageMargins left="0.70866141732283472" right="0.70866141732283472" top="0.74803149606299213" bottom="0.74803149606299213" header="0.31496062992125984" footer="0.31496062992125984"/>
  <pageSetup paperSize="9" scale="32"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E0A44875-88A7-4D93-8CDB-5E17993EA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http://schemas.microsoft.com/office/2006/metadata/properties"/>
    <ds:schemaRef ds:uri="0eb656aa-4e79-4e95-9076-bc119a23e0cc"/>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c1f338ac-e338-414f-952c-f74dcc6d59e1"/>
    <ds:schemaRef ds:uri="acaf4567-dc07-471f-892c-2bcb86ef35a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24</vt:i4>
      </vt:variant>
    </vt:vector>
  </HeadingPairs>
  <TitlesOfParts>
    <vt:vector size="35"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ICB COSTING</vt:lpstr>
      <vt:lpstr>Bands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MTG76 AposHealth for knee osteoarthritis: resource impact template 29/10/2024</dc:title>
  <dc:subject/>
  <dc:creator/>
  <cp:keywords/>
  <dc:description/>
  <cp:lastModifiedBy/>
  <cp:revision/>
  <dcterms:created xsi:type="dcterms:W3CDTF">2022-07-27T12:38:28Z</dcterms:created>
  <dcterms:modified xsi:type="dcterms:W3CDTF">2024-10-29T13:57:10Z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