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2B9254DF-5622-4827-B2A4-CA57A557C2D2}" xr6:coauthVersionLast="47" xr6:coauthVersionMax="47" xr10:uidLastSave="{00000000-0000-0000-0000-000000000000}"/>
  <bookViews>
    <workbookView xWindow="28680" yWindow="-120" windowWidth="29040" windowHeight="15720" tabRatio="944" xr2:uid="{00000000-000D-0000-FFFF-FFFF00000000}"/>
  </bookViews>
  <sheets>
    <sheet name="Cover" sheetId="58" r:id="rId1"/>
    <sheet name="Contents" sheetId="54" r:id="rId2"/>
    <sheet name="Inputs and eligible population" sheetId="50" r:id="rId3"/>
    <sheet name="Resource impact summary" sheetId="61" r:id="rId4"/>
    <sheet name="payscales" sheetId="57" state="hidden" r:id="rId5"/>
  </sheets>
  <externalReferences>
    <externalReference r:id="rId6"/>
    <externalReference r:id="rId7"/>
    <externalReference r:id="rId8"/>
  </externalReferences>
  <definedNames>
    <definedName name="ENGCCGS">#REF!</definedName>
    <definedName name="ENGLANDICS">#REF!</definedName>
    <definedName name="LAUCALAUTHWALES">#REF!</definedName>
    <definedName name="LOCALAUTH">#REF!</definedName>
    <definedName name="LOCALAUTHENG">#REF!</definedName>
    <definedName name="LOCALAUTHNORTHI" localSheetId="0">'[1]Population selection'!$B$539:$B$549</definedName>
    <definedName name="LOCALAUTHNORTHI">#REF!</definedName>
    <definedName name="LOCALAUTHWALES">#REF!</definedName>
    <definedName name="NATIONAL">#REF!</definedName>
    <definedName name="NHSENGRE">#REF!</definedName>
    <definedName name="NI_HSCT">#REF!</definedName>
    <definedName name="ORGTYPE" localSheetId="0">'[2]Population selection'!$L$12:$L$18</definedName>
    <definedName name="ORGTYPE" localSheetId="3">'[3]Population selection'!$L$12:$L$19</definedName>
    <definedName name="ORGTYPE">#REF!</definedName>
    <definedName name="ORGTYPE2">'[3]Population selection'!$L$12:$L$19</definedName>
    <definedName name="ORGTYPE3">'[3]Population selection'!$L$12:$L$19</definedName>
    <definedName name="PER100K">#REF!</definedName>
    <definedName name="Popindicator">#REF!</definedName>
    <definedName name="_xlnm.Print_Area" localSheetId="1">Contents!$A$1:$P$29</definedName>
    <definedName name="_xlnm.Print_Area" localSheetId="0">Cover!$A$1:$P$26</definedName>
    <definedName name="_xlnm.Print_Area" localSheetId="2">'Inputs and eligible population'!$A$2:$N$99</definedName>
    <definedName name="_xlnm.Print_Area" localSheetId="3">'Resource impact summary'!$B$1:$F$32</definedName>
    <definedName name="WALESH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61" l="1"/>
  <c r="I62" i="50"/>
  <c r="I61" i="50"/>
  <c r="I58" i="50"/>
  <c r="I57" i="50"/>
  <c r="K41" i="50" l="1"/>
  <c r="K40" i="50"/>
  <c r="K68" i="50" l="1"/>
  <c r="K44" i="50"/>
  <c r="K45" i="50"/>
  <c r="K62" i="50"/>
  <c r="K61" i="50"/>
  <c r="K58" i="50"/>
  <c r="K57" i="50"/>
  <c r="I45" i="50"/>
  <c r="I41" i="50"/>
  <c r="I44" i="50"/>
  <c r="I40" i="50"/>
  <c r="J20" i="50" l="1"/>
  <c r="J19" i="50"/>
  <c r="C22" i="61"/>
  <c r="C23" i="61" s="1"/>
  <c r="K51" i="50" l="1"/>
  <c r="K52" i="50"/>
  <c r="K34" i="50"/>
  <c r="K35" i="50"/>
  <c r="C16" i="61" l="1"/>
  <c r="C15" i="61"/>
  <c r="D5" i="57" l="1"/>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U70" i="57" l="1"/>
  <c r="U62" i="57"/>
  <c r="U53" i="57"/>
  <c r="D105" i="57" l="1"/>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N40" i="57" s="1"/>
  <c r="K44" i="57"/>
  <c r="M52" i="57"/>
  <c r="K52" i="57"/>
  <c r="M64" i="57"/>
  <c r="K64" i="57"/>
  <c r="M15" i="57"/>
  <c r="K15" i="57"/>
  <c r="L6" i="57"/>
  <c r="K6" i="57"/>
  <c r="L16" i="57"/>
  <c r="K16" i="57"/>
  <c r="M22" i="57"/>
  <c r="K22" i="57"/>
  <c r="L28" i="57"/>
  <c r="K28" i="57"/>
  <c r="M34" i="57"/>
  <c r="K34" i="57"/>
  <c r="N34" i="57" s="1"/>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N51" i="57" s="1"/>
  <c r="K51" i="57"/>
  <c r="M53" i="57"/>
  <c r="K53" i="57"/>
  <c r="L55" i="57"/>
  <c r="K55" i="57"/>
  <c r="M57" i="57"/>
  <c r="K57" i="57"/>
  <c r="L59" i="57"/>
  <c r="K59" i="57"/>
  <c r="M61" i="57"/>
  <c r="K61" i="57"/>
  <c r="L63" i="57"/>
  <c r="K63" i="57"/>
  <c r="M65" i="57"/>
  <c r="K65" i="57"/>
  <c r="L67" i="57"/>
  <c r="K67" i="57"/>
  <c r="M69" i="57"/>
  <c r="K69" i="57"/>
  <c r="L71" i="57"/>
  <c r="K71" i="57"/>
  <c r="M73" i="57"/>
  <c r="K73" i="57"/>
  <c r="L75" i="57"/>
  <c r="K75" i="57"/>
  <c r="M77" i="57"/>
  <c r="K77" i="57"/>
  <c r="L79" i="57"/>
  <c r="K79" i="57"/>
  <c r="M81" i="57"/>
  <c r="K81" i="57"/>
  <c r="N81" i="57" s="1"/>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N18" i="57" s="1"/>
  <c r="G22" i="57"/>
  <c r="R12" i="57" s="1"/>
  <c r="T12" i="57" s="1"/>
  <c r="N38" i="57"/>
  <c r="L77" i="57"/>
  <c r="G39" i="57"/>
  <c r="G46" i="57"/>
  <c r="G57" i="57"/>
  <c r="R25" i="57" s="1"/>
  <c r="T25" i="57" s="1"/>
  <c r="L64" i="57"/>
  <c r="N64" i="57" s="1"/>
  <c r="G66" i="57"/>
  <c r="R30" i="57" s="1"/>
  <c r="T30" i="57" s="1"/>
  <c r="G68" i="57"/>
  <c r="L30" i="57"/>
  <c r="G18" i="57"/>
  <c r="R10" i="57" s="1"/>
  <c r="T10" i="57" s="1"/>
  <c r="M55" i="57"/>
  <c r="L69" i="57"/>
  <c r="G98" i="57"/>
  <c r="G15" i="57"/>
  <c r="R9" i="57" s="1"/>
  <c r="T9" i="57" s="1"/>
  <c r="N22" i="57"/>
  <c r="M39" i="57"/>
  <c r="E105" i="57"/>
  <c r="R41" i="57" s="1"/>
  <c r="T41" i="57" s="1"/>
  <c r="G72" i="57"/>
  <c r="R33" i="57" s="1"/>
  <c r="T33" i="57" s="1"/>
  <c r="L38" i="57"/>
  <c r="G52" i="57"/>
  <c r="R23" i="57" s="1"/>
  <c r="T23" i="57" s="1"/>
  <c r="G63" i="57"/>
  <c r="R28" i="57" s="1"/>
  <c r="T28" i="57" s="1"/>
  <c r="G77" i="57"/>
  <c r="G78" i="57"/>
  <c r="R36" i="57" s="1"/>
  <c r="T36" i="57" s="1"/>
  <c r="G99" i="57"/>
  <c r="L48" i="57"/>
  <c r="N48" i="57" s="1"/>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N63" i="57" s="1"/>
  <c r="M80" i="57"/>
  <c r="N80" i="57" s="1"/>
  <c r="G11" i="57"/>
  <c r="R7" i="57" s="1"/>
  <c r="T7" i="57" s="1"/>
  <c r="L35" i="57"/>
  <c r="G51" i="57"/>
  <c r="R22" i="57" s="1"/>
  <c r="T22" i="57" s="1"/>
  <c r="G64" i="57"/>
  <c r="R29" i="57" s="1"/>
  <c r="T29" i="57" s="1"/>
  <c r="L76" i="57"/>
  <c r="N76" i="57" s="1"/>
  <c r="G80" i="57"/>
  <c r="L19" i="57"/>
  <c r="N19" i="57" s="1"/>
  <c r="G32" i="57"/>
  <c r="M75" i="57"/>
  <c r="G10" i="57"/>
  <c r="L15" i="57"/>
  <c r="N15" i="57" s="1"/>
  <c r="G20" i="57"/>
  <c r="L23" i="57"/>
  <c r="M33" i="57"/>
  <c r="N33" i="57" s="1"/>
  <c r="G35" i="57"/>
  <c r="N52"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N79" i="57" s="1"/>
  <c r="G87" i="57"/>
  <c r="G92" i="57"/>
  <c r="G95" i="57"/>
  <c r="L56" i="57"/>
  <c r="M21" i="57"/>
  <c r="L27" i="57"/>
  <c r="N27" i="57" s="1"/>
  <c r="G33" i="57"/>
  <c r="R16" i="57" s="1"/>
  <c r="T16" i="57" s="1"/>
  <c r="M37" i="57"/>
  <c r="L44" i="57"/>
  <c r="G58" i="57"/>
  <c r="R26" i="57" s="1"/>
  <c r="T26" i="57" s="1"/>
  <c r="L61" i="57"/>
  <c r="G69" i="57"/>
  <c r="R31" i="57" s="1"/>
  <c r="T31" i="57" s="1"/>
  <c r="G70" i="57"/>
  <c r="R32" i="57" s="1"/>
  <c r="T32" i="57" s="1"/>
  <c r="N72" i="57"/>
  <c r="L73" i="57"/>
  <c r="N73" i="57" s="1"/>
  <c r="G81" i="57"/>
  <c r="R37" i="57" s="1"/>
  <c r="T37" i="57" s="1"/>
  <c r="G82" i="57"/>
  <c r="R38" i="57" s="1"/>
  <c r="T38" i="57" s="1"/>
  <c r="G85" i="57"/>
  <c r="G90" i="57"/>
  <c r="G93" i="57"/>
  <c r="G6" i="57"/>
  <c r="G9" i="57"/>
  <c r="G13" i="57"/>
  <c r="G17" i="57"/>
  <c r="N26" i="57"/>
  <c r="L31" i="57"/>
  <c r="G40" i="57"/>
  <c r="M44" i="57"/>
  <c r="L49" i="57"/>
  <c r="M59" i="57"/>
  <c r="L60" i="57"/>
  <c r="G67" i="57"/>
  <c r="M71" i="57"/>
  <c r="N71" i="57" s="1"/>
  <c r="L72" i="57"/>
  <c r="G79" i="57"/>
  <c r="G88" i="57"/>
  <c r="G96" i="57"/>
  <c r="G36" i="57"/>
  <c r="G45" i="57"/>
  <c r="G55" i="57"/>
  <c r="G83" i="57"/>
  <c r="G91" i="57"/>
  <c r="R39" i="57" s="1"/>
  <c r="T39" i="57" s="1"/>
  <c r="R5" i="57"/>
  <c r="T5" i="57" s="1"/>
  <c r="G8" i="57"/>
  <c r="R6" i="57" s="1"/>
  <c r="T6" i="57" s="1"/>
  <c r="G12" i="57"/>
  <c r="R8" i="57" s="1"/>
  <c r="T8" i="57" s="1"/>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1" i="57"/>
  <c r="N35" i="57"/>
  <c r="L41" i="57"/>
  <c r="N45" i="57"/>
  <c r="N61" i="57"/>
  <c r="N69" i="57"/>
  <c r="N77" i="57"/>
  <c r="M6" i="57"/>
  <c r="M9" i="57"/>
  <c r="N9" i="57" s="1"/>
  <c r="M25" i="57"/>
  <c r="M29" i="57"/>
  <c r="M7" i="57"/>
  <c r="M41" i="57"/>
  <c r="N32" i="57"/>
  <c r="N36" i="57"/>
  <c r="L39" i="57"/>
  <c r="N39" i="57" s="1"/>
  <c r="L42" i="57"/>
  <c r="M5" i="57"/>
  <c r="M8" i="57"/>
  <c r="M12" i="57"/>
  <c r="M16" i="57"/>
  <c r="N16" i="57" s="1"/>
  <c r="N17" i="57"/>
  <c r="M20" i="57"/>
  <c r="N20" i="57" s="1"/>
  <c r="M24" i="57"/>
  <c r="N24" i="57" s="1"/>
  <c r="N25" i="57"/>
  <c r="M28" i="57"/>
  <c r="N28" i="57" s="1"/>
  <c r="M32" i="57"/>
  <c r="M36" i="57"/>
  <c r="L43" i="57"/>
  <c r="M46" i="57"/>
  <c r="N46" i="57" s="1"/>
  <c r="N47" i="57"/>
  <c r="M50" i="57"/>
  <c r="M54" i="57"/>
  <c r="N54" i="57" s="1"/>
  <c r="N55" i="57"/>
  <c r="M58" i="57"/>
  <c r="N58" i="57" s="1"/>
  <c r="M62" i="57"/>
  <c r="M66" i="57"/>
  <c r="N66" i="57" s="1"/>
  <c r="M70" i="57"/>
  <c r="M74" i="57"/>
  <c r="N74" i="57" s="1"/>
  <c r="M78" i="57"/>
  <c r="N13" i="57" l="1"/>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F14" i="50" l="1"/>
  <c r="H52" i="50" l="1"/>
  <c r="H51" i="50"/>
  <c r="H35" i="50"/>
  <c r="H34" i="50"/>
  <c r="E43" i="61" l="1"/>
  <c r="E10" i="61"/>
  <c r="H56" i="50"/>
  <c r="L51" i="50"/>
  <c r="D43" i="61"/>
  <c r="D10" i="61"/>
  <c r="D15" i="61" s="1"/>
  <c r="H39" i="50"/>
  <c r="L34" i="50"/>
  <c r="D36" i="61"/>
  <c r="D11" i="61"/>
  <c r="D16" i="61" s="1"/>
  <c r="H43" i="50"/>
  <c r="L35" i="50"/>
  <c r="E36" i="61"/>
  <c r="F36" i="61" s="1"/>
  <c r="E11" i="61"/>
  <c r="H60" i="50"/>
  <c r="L52" i="50"/>
  <c r="L66" i="50" l="1"/>
  <c r="F11" i="61"/>
  <c r="E16" i="61"/>
  <c r="F16" i="61" s="1"/>
  <c r="L67" i="50"/>
  <c r="E37" i="61"/>
  <c r="H62" i="50"/>
  <c r="H61" i="50"/>
  <c r="J61" i="50" s="1"/>
  <c r="D37" i="61"/>
  <c r="H44" i="50"/>
  <c r="J44" i="50" s="1"/>
  <c r="H45" i="50"/>
  <c r="J43" i="50"/>
  <c r="E44" i="61"/>
  <c r="H58" i="50"/>
  <c r="H57" i="50"/>
  <c r="J57" i="50" s="1"/>
  <c r="H41" i="50"/>
  <c r="D44" i="61"/>
  <c r="F44" i="61" s="1"/>
  <c r="H40" i="50"/>
  <c r="J40" i="50" s="1"/>
  <c r="E12" i="61"/>
  <c r="F10" i="61"/>
  <c r="F12" i="61" s="1"/>
  <c r="E15" i="61"/>
  <c r="E17" i="61" s="1"/>
  <c r="F43" i="61"/>
  <c r="D17" i="61"/>
  <c r="F15" i="61"/>
  <c r="F17" i="61" s="1"/>
  <c r="D12" i="61"/>
  <c r="J41" i="50" l="1"/>
  <c r="L41" i="50" s="1"/>
  <c r="D45" i="61"/>
  <c r="D46" i="61" s="1"/>
  <c r="L61" i="50"/>
  <c r="L57" i="50"/>
  <c r="J62" i="50"/>
  <c r="L62" i="50" s="1"/>
  <c r="E38" i="61"/>
  <c r="E45" i="61"/>
  <c r="J58" i="50"/>
  <c r="F37" i="61"/>
  <c r="D38" i="61"/>
  <c r="D39" i="61" s="1"/>
  <c r="J45" i="50"/>
  <c r="L45" i="50" s="1"/>
  <c r="L40" i="50"/>
  <c r="D30" i="61"/>
  <c r="L44" i="50"/>
  <c r="L46" i="50" l="1"/>
  <c r="E31" i="61"/>
  <c r="E39" i="61"/>
  <c r="F38" i="61"/>
  <c r="D31" i="61"/>
  <c r="D23" i="61" s="1"/>
  <c r="D22" i="61"/>
  <c r="J63" i="50"/>
  <c r="J68" i="50" s="1"/>
  <c r="J69" i="50" s="1"/>
  <c r="F46" i="61"/>
  <c r="E30" i="61"/>
  <c r="L58" i="50"/>
  <c r="L63" i="50" s="1"/>
  <c r="L68" i="50" s="1"/>
  <c r="L69" i="50" s="1"/>
  <c r="J46" i="50"/>
  <c r="E46" i="61"/>
  <c r="F45" i="61"/>
  <c r="D32" i="61" l="1"/>
  <c r="D24" i="61"/>
  <c r="D26" i="61" s="1"/>
  <c r="F48" i="61"/>
  <c r="F39" i="61"/>
  <c r="E22" i="61"/>
  <c r="F22" i="61" s="1"/>
  <c r="F30" i="61"/>
  <c r="E32" i="61"/>
  <c r="F40" i="61"/>
  <c r="E23" i="61"/>
  <c r="F31" i="61"/>
  <c r="E24" i="61" l="1"/>
  <c r="E26" i="61" s="1"/>
  <c r="F26" i="61" s="1"/>
  <c r="F23" i="61"/>
  <c r="F24" i="61" s="1"/>
  <c r="F32" i="61"/>
  <c r="B32" i="61" s="1"/>
</calcChain>
</file>

<file path=xl/sharedStrings.xml><?xml version="1.0" encoding="utf-8"?>
<sst xmlns="http://schemas.openxmlformats.org/spreadsheetml/2006/main" count="468" uniqueCount="331">
  <si>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</si>
  <si>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</si>
  <si>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</si>
  <si>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</si>
  <si>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</si>
  <si>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</si>
  <si>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</si>
  <si>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</si>
  <si>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</si>
  <si>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</si>
  <si>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</si>
  <si>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</si>
  <si>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</si>
  <si>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</si>
  <si>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</si>
  <si>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</si>
  <si>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</si>
  <si>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</si>
  <si>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</si>
  <si>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</si>
  <si>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</si>
  <si>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</si>
  <si>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</si>
  <si>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</si>
  <si>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</si>
  <si>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</si>
  <si>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</si>
  <si>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</si>
  <si>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</si>
  <si>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</si>
  <si>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</si>
  <si>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</si>
  <si>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</si>
  <si>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</si>
  <si>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</si>
  <si>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</si>
  <si>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</si>
  <si>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Eligible population calculation</t>
  </si>
  <si>
    <t>References and data sources</t>
  </si>
  <si>
    <t>Interventions</t>
  </si>
  <si>
    <t>VAT rate applicable</t>
  </si>
  <si>
    <t>Source</t>
  </si>
  <si>
    <t>Band 7 Mid</t>
  </si>
  <si>
    <t>Band 5 Mid</t>
  </si>
  <si>
    <t>Band 8a Mid</t>
  </si>
  <si>
    <t>Consultant mid</t>
  </si>
  <si>
    <t>Band 6 Mid</t>
  </si>
  <si>
    <t>Population data notes</t>
  </si>
  <si>
    <t>-</t>
  </si>
  <si>
    <t>Cash items</t>
  </si>
  <si>
    <t>£'000</t>
  </si>
  <si>
    <t>Capacity impact, financial</t>
  </si>
  <si>
    <t>Total resource impact</t>
  </si>
  <si>
    <t>London</t>
  </si>
  <si>
    <t>Unit Cost</t>
  </si>
  <si>
    <t>Base (non-London)</t>
  </si>
  <si>
    <t>Band</t>
  </si>
  <si>
    <t>Code</t>
  </si>
  <si>
    <t>AfC Salary</t>
  </si>
  <si>
    <t>NI (13.8%)</t>
  </si>
  <si>
    <t>Apprenticeship levy (0.5%)</t>
  </si>
  <si>
    <t>Pension (20.68%)</t>
  </si>
  <si>
    <t>Salary cost with oncosts</t>
  </si>
  <si>
    <t>HCAS</t>
  </si>
  <si>
    <t>Enhancements Mon-Fri</t>
  </si>
  <si>
    <t>Enhancements Sun</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</si>
  <si>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</si>
  <si>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</si>
  <si>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</si>
  <si>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</si>
  <si>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</si>
  <si>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</si>
  <si>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</si>
  <si>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</si>
  <si>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</si>
  <si>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</si>
  <si>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</si>
  <si>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</si>
  <si>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</si>
  <si>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</si>
  <si>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</si>
  <si>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</si>
  <si>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</si>
  <si>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</si>
  <si>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</si>
  <si>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</si>
  <si>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</si>
  <si>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</si>
  <si>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</si>
  <si>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</si>
  <si>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</si>
  <si>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</si>
  <si>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</si>
  <si>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</si>
  <si>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</si>
  <si>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</si>
  <si>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</si>
  <si>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</si>
  <si>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</si>
  <si>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</si>
  <si>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</si>
  <si>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</si>
  <si>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</si>
  <si>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</si>
  <si>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</si>
  <si>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</si>
  <si>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</si>
  <si>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</si>
  <si>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</si>
  <si>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</si>
  <si>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</si>
  <si>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</si>
  <si>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</si>
  <si>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</si>
  <si>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</si>
  <si>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</si>
  <si>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</si>
  <si>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</si>
  <si>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</si>
  <si>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</si>
  <si>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</si>
  <si>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</si>
  <si>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</si>
  <si>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</si>
  <si>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</si>
  <si>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</si>
  <si>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</si>
  <si>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</si>
  <si>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</si>
  <si>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</si>
  <si>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</si>
  <si>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</si>
  <si>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</si>
  <si>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</si>
  <si>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</si>
  <si>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</si>
  <si>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</si>
  <si>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</si>
  <si>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</si>
  <si>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</si>
  <si>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</si>
  <si>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</si>
  <si>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</si>
  <si>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</si>
  <si>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</si>
  <si>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</si>
  <si>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</si>
  <si>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</si>
  <si>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</si>
  <si>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</si>
  <si>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</si>
  <si>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</si>
  <si>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</si>
  <si>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</si>
  <si>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</si>
  <si>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</si>
  <si>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</si>
  <si>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</si>
  <si>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</si>
  <si>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</si>
  <si>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</si>
  <si>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</si>
  <si>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</si>
  <si>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</si>
  <si>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</si>
  <si>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</si>
  <si>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</si>
  <si>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</si>
  <si>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</si>
  <si>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</si>
  <si>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</si>
  <si>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</si>
  <si>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</si>
  <si>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</si>
  <si>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</si>
  <si>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</si>
  <si>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</si>
  <si>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</si>
  <si>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</si>
  <si>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</si>
  <si>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</si>
  <si>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</si>
  <si>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</si>
  <si>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</si>
  <si>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</si>
  <si>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</si>
  <si>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</si>
  <si>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</si>
  <si>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</si>
  <si>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</si>
  <si>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</si>
  <si>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</si>
  <si>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</si>
  <si>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</si>
  <si>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</si>
  <si>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</si>
  <si>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</si>
  <si>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</si>
  <si>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</si>
  <si>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</si>
  <si>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</si>
  <si>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</si>
  <si>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</si>
  <si>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</si>
  <si>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</si>
  <si>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</si>
  <si>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</si>
  <si>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</si>
  <si>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</si>
  <si>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</si>
  <si>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</si>
  <si>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</si>
  <si>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</si>
  <si>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</si>
  <si>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</si>
  <si>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</si>
  <si>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</si>
  <si>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Hours above based on calculations below</t>
  </si>
  <si>
    <t>cells, NICE standard assumptions are used.</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</si>
  <si>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</si>
  <si>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</si>
  <si>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Costs (inc. on costs)</t>
  </si>
  <si>
    <t>Bottom, mid, top; 
band and point on scale</t>
  </si>
  <si>
    <t>Hours to calculate hourly rate</t>
  </si>
  <si>
    <t xml:space="preserve">Eligible population </t>
  </si>
  <si>
    <t>The population data are based on:</t>
  </si>
  <si>
    <t>https://www.ons.gov.uk/peoplepopulationandcommunity/populationandmigration/populationestimates</t>
  </si>
  <si>
    <t>-2022 Mid-Year Population Estimates for Northern Ireland</t>
  </si>
  <si>
    <t>https://www.nisra.gov.uk/statistics/population/mid-year-population-estimates</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</si>
  <si>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</si>
  <si>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</si>
  <si>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-National population projections: 2021-based interim for England and Wales.  Northern Ireland assumes the same data.</t>
  </si>
  <si>
    <t>https://www.ons.gov.uk/peoplepopulationandcommunity/populationandmigration/populationprojections/bulletins/nationalpopulationprojections/2021basedinterim</t>
  </si>
  <si>
    <t xml:space="preserve">These data use mid-year population estimate for mid-2021 as the start point of the projection.  </t>
  </si>
  <si>
    <t>The projected 2022-23 figure is adjusted by NICE to reconcile to Mid-Year Population Estimates, England and Wales, June 2022.  Thereafter projection rates are used</t>
  </si>
  <si>
    <t>so that mid year population estimates in the NICE template reconcile with the population estimates in the National population projections: 2021-based interim national population projections (England and Wales).</t>
  </si>
  <si>
    <t>-Population Estimates, England and Wales: mid-2022</t>
  </si>
  <si>
    <t>Kurin Lock for Blood Culture Collection</t>
  </si>
  <si>
    <t>(MTG77)</t>
  </si>
  <si>
    <t>Blue cells throughout the template allow users to amend the cells</t>
  </si>
  <si>
    <t>Published: April 2024</t>
  </si>
  <si>
    <t>Emergency care, A&amp;E, Pathology</t>
  </si>
  <si>
    <t>Pathology (haematology, microbiology, chemical biochemistry)</t>
  </si>
  <si>
    <t xml:space="preserve">First line A&amp;E diagnosis and resulting inpatient non-elective bacterial infection care </t>
  </si>
  <si>
    <t>Venous blood collection</t>
  </si>
  <si>
    <t>Acute hospital trusts</t>
  </si>
  <si>
    <t>Integrated care boards</t>
  </si>
  <si>
    <t>PBC 03X - Disorders of Blood</t>
  </si>
  <si>
    <t>N/A</t>
  </si>
  <si>
    <t>For illustration, change locally</t>
  </si>
  <si>
    <t>Details</t>
  </si>
  <si>
    <t>Description</t>
  </si>
  <si>
    <t>Kurin Lock</t>
  </si>
  <si>
    <t>A blood collection device, with a flash chamber, that sidelines the first 0.15mL of blood from the venepuncture site (£19.50 per unit - 2 required per test)</t>
  </si>
  <si>
    <t>Company submission</t>
  </si>
  <si>
    <t>Standard of care</t>
  </si>
  <si>
    <t>NHS supply chain</t>
  </si>
  <si>
    <t>Cost per bed day</t>
  </si>
  <si>
    <t>People receiving treatment options</t>
  </si>
  <si>
    <t>People using Kurin lock</t>
  </si>
  <si>
    <t>Devices - resource impact</t>
  </si>
  <si>
    <t xml:space="preserve">Kurin Lock </t>
  </si>
  <si>
    <t>Devices resource impact (cash)</t>
  </si>
  <si>
    <t>Population growth is based on:</t>
  </si>
  <si>
    <t>Standard care</t>
  </si>
  <si>
    <t>Bed days</t>
  </si>
  <si>
    <t>In a world without Kurin Lock</t>
  </si>
  <si>
    <t>Treatment outcomes</t>
  </si>
  <si>
    <t>%</t>
  </si>
  <si>
    <t>Number of people</t>
  </si>
  <si>
    <t>Total bed days</t>
  </si>
  <si>
    <t>Total cost</t>
  </si>
  <si>
    <t xml:space="preserve">Total </t>
  </si>
  <si>
    <t>Total</t>
  </si>
  <si>
    <t>In a world with Kurin Lock</t>
  </si>
  <si>
    <t xml:space="preserve">People with contaminated blood culture (false positive) </t>
  </si>
  <si>
    <t>Blood culture tests</t>
  </si>
  <si>
    <t>Reduction in bed days (world with Kurin Lock versus world without Kurin Lock)</t>
  </si>
  <si>
    <t>Notes:</t>
  </si>
  <si>
    <t>Either a standard winged blood collection set or drawing the blood sample from an IV cannula into a syringe and then transferring to the blood culture bottle - 2 required per test)</t>
  </si>
  <si>
    <t>test with</t>
  </si>
  <si>
    <t>Resource impact summary</t>
  </si>
  <si>
    <t>Net resource impact (savings)</t>
  </si>
  <si>
    <t>Changes</t>
  </si>
  <si>
    <t xml:space="preserve">Bed days with Kurin Lock </t>
  </si>
  <si>
    <t>Bed days with standard care</t>
  </si>
  <si>
    <t>People using standard care</t>
  </si>
  <si>
    <t>Financial Impact (Cash and capacity)</t>
  </si>
  <si>
    <t>With standard care</t>
  </si>
  <si>
    <t>Bed days - resource impact</t>
  </si>
  <si>
    <t>Bed days - capacity impact</t>
  </si>
  <si>
    <t xml:space="preserve">With Kurin Lock </t>
  </si>
  <si>
    <t>Cost per person</t>
  </si>
  <si>
    <t>Price per unit</t>
  </si>
  <si>
    <t>Number of units per person</t>
  </si>
  <si>
    <t>Financial impact (cash and capacity) shows actual costs that are real spend of actual money , such as</t>
  </si>
  <si>
    <t xml:space="preserve"> on drugs and non- cash costs such as bed days in hospital.</t>
  </si>
  <si>
    <t>Length of stay for people with contaminated blood culture (false positive)</t>
  </si>
  <si>
    <t>Bed day rate for inpatient stay</t>
  </si>
  <si>
    <t>Change in standard care test costs</t>
  </si>
  <si>
    <t>Change in Kurin Lock test costs</t>
  </si>
  <si>
    <t>Note</t>
  </si>
  <si>
    <t>Change</t>
  </si>
  <si>
    <t>Total blood cultures processed</t>
  </si>
  <si>
    <t>Blood culture contamination rate</t>
  </si>
  <si>
    <t>Total false positives</t>
  </si>
  <si>
    <t>Blood culture with bacteraemia growth (true or false positives)</t>
  </si>
  <si>
    <t xml:space="preserve">Rupp ME, Cavalieri RJ, Marolf C, Lyden E. Reduction in Blood Culture Contamination Through Use of Initial Specimen Diversion Device. Clinical infectious diseases : an official publication of the Infectious Diseases Society of America. 2017;65(2):201-5. The 10.5% consists of 7.4% baseline bacteraemia risk and 3.1% risk of blood culture contamination (false positive for Kurin Lock) </t>
  </si>
  <si>
    <t>Based on the EAG economic model. The figure is arrived at by dividing the baseline bacteraemia risk 7.4% by 10.5% giving 70.44%</t>
  </si>
  <si>
    <t>Note 2 and 3 equals 100%, that is positive cultures that are either true positives or false positives</t>
  </si>
  <si>
    <t xml:space="preserve">Atta M, Mcguire R. Reducing False Positive Blood Cultures in an Adult NHS Emergency Department using an Kurin. 2022.. The 10.5% consists of 7.4% baseline bacteraemia risk and 9% risk of blood culture contamination rate (false positive for standard care) 
</t>
  </si>
  <si>
    <t>Based on the EAG economic model. The figure is arrived at by dividing the baseline bacteraemia risk 7.4% by 16.4% giving 45.12%</t>
  </si>
  <si>
    <t>Note 4 and 5 equals 100%, that is positive cultures that are either true positives or false positives</t>
  </si>
  <si>
    <t>Length of stay for people with true bacteria (true positive)</t>
  </si>
  <si>
    <t>People with true bacteria (true positive)</t>
  </si>
  <si>
    <t>People with blood cultures with bacterial growth (positive blood culture)</t>
  </si>
  <si>
    <t xml:space="preserve">Lock and standard care. </t>
  </si>
  <si>
    <t>Reduction in blood culture contamination (false positives)</t>
  </si>
  <si>
    <t>In the tables below enter in the World without Kurin Lock the number of people having standard care only blood culture tests, in the world with Kurin Lock split this number of people between Kurin</t>
  </si>
  <si>
    <t>Capacity impact (Bed days in hospital)</t>
  </si>
  <si>
    <t>Current practice per year</t>
  </si>
  <si>
    <t>Future practice  per year</t>
  </si>
  <si>
    <t>Standard care contamination (False positive) rate estimates</t>
  </si>
  <si>
    <t>Decrease in contamination rate (Kurin Lock versus standard care)</t>
  </si>
  <si>
    <t>Number of people who attend A&amp;E and have a blood culture test</t>
  </si>
  <si>
    <t>Number of people who are inpatients and have a blood culture test</t>
  </si>
  <si>
    <t>% of people</t>
  </si>
  <si>
    <t>Number of blood culture tests taking place</t>
  </si>
  <si>
    <t>Note 1</t>
  </si>
  <si>
    <r>
      <rPr>
        <b/>
        <sz val="11"/>
        <color theme="1"/>
        <rFont val="Calibri"/>
        <family val="2"/>
        <scheme val="minor"/>
      </rPr>
      <t>Note 1</t>
    </r>
    <r>
      <rPr>
        <sz val="11"/>
        <color theme="1"/>
        <rFont val="Calibri"/>
        <family val="2"/>
        <scheme val="minor"/>
      </rPr>
      <t xml:space="preserve"> - Bed day rate is based on the rate used in the Economic Assessment, users can adjust to a local estimated bed day cost based on data from their local patient level costing system.</t>
    </r>
  </si>
  <si>
    <t>Updated: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</si>
</sst>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
    <numFmt numFmtId="170" formatCode="#,##0_ ;\-#,##0\ "/>
    <numFmt numFmtId="171" formatCode="0.000000000000000%"/>
  </numFmts>
  <fonts count="58">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sz val="11"/>
      <color theme="0"/>
      <name val="Arial"/>
      <family val="2"/>
    </font>
    <font>
      <sz val="8"/>
      <name val="Calibri"/>
      <family val="2"/>
      <scheme val="minor"/>
    </font>
    <font>
      <b/>
      <sz val="11"/>
      <color theme="1"/>
      <name val="Calibri"/>
      <family val="2"/>
      <scheme val="minor"/>
    </font>
    <font>
      <sz val="11"/>
      <name val="Calibri"/>
      <family val="2"/>
      <scheme val="minor"/>
    </font>
    <font>
      <b/>
      <sz val="11"/>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b/>
      <sz val="20"/>
      <color rgb="FF00000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8" tint="0.59999389629810485"/>
        <bgColor rgb="FF000000"/>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7" fillId="0" borderId="0"/>
    <xf numFmtId="0" fontId="10" fillId="3"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21" borderId="2" applyNumberFormat="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7"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2" fillId="0" borderId="0"/>
    <xf numFmtId="0" fontId="2" fillId="0" borderId="0"/>
    <xf numFmtId="0" fontId="2" fillId="0" borderId="0"/>
    <xf numFmtId="0" fontId="2" fillId="0" borderId="0"/>
    <xf numFmtId="0" fontId="25" fillId="0" borderId="0"/>
    <xf numFmtId="0" fontId="8" fillId="0" borderId="0"/>
    <xf numFmtId="0" fontId="1" fillId="23" borderId="7" applyNumberFormat="0" applyFont="0" applyAlignment="0" applyProtection="0"/>
    <xf numFmtId="0" fontId="1"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 fillId="0" borderId="0"/>
    <xf numFmtId="0" fontId="32" fillId="0" borderId="0" applyNumberFormat="0" applyFill="0" applyBorder="0" applyAlignment="0" applyProtection="0"/>
    <xf numFmtId="0" fontId="27" fillId="0" borderId="0" applyNumberFormat="0" applyFill="0" applyBorder="0" applyAlignment="0" applyProtection="0">
      <alignment vertical="top"/>
      <protection locked="0"/>
    </xf>
    <xf numFmtId="0" fontId="5" fillId="0" borderId="0"/>
    <xf numFmtId="0" fontId="31" fillId="0" borderId="0"/>
    <xf numFmtId="0" fontId="33" fillId="0" borderId="0"/>
    <xf numFmtId="0" fontId="17" fillId="0" borderId="26" applyNumberFormat="0" applyFill="0" applyAlignment="0" applyProtection="0"/>
    <xf numFmtId="0" fontId="17" fillId="0" borderId="26" applyNumberFormat="0" applyFill="0" applyAlignment="0" applyProtection="0"/>
    <xf numFmtId="0" fontId="26" fillId="0" borderId="0"/>
    <xf numFmtId="0" fontId="2" fillId="0" borderId="0"/>
  </cellStyleXfs>
  <cellXfs count="459">
    <xf numFmtId="0" fontId="0" fillId="0" borderId="0" xfId="0"/>
    <xf numFmtId="0" fontId="28" fillId="0" borderId="0" xfId="0" applyFont="1"/>
    <xf numFmtId="0" fontId="6" fillId="24" borderId="0" xfId="82" applyFont="1" applyFill="1"/>
    <xf numFmtId="0" fontId="6" fillId="0" borderId="0" xfId="82" applyFont="1"/>
    <xf numFmtId="0" fontId="28" fillId="24" borderId="0" xfId="0" applyFont="1" applyFill="1"/>
    <xf numFmtId="0" fontId="29" fillId="0" borderId="0" xfId="0" applyFont="1"/>
    <xf numFmtId="0" fontId="35" fillId="0" borderId="0" xfId="0" applyFont="1" applyAlignment="1">
      <alignment vertical="center" wrapText="1"/>
    </xf>
    <xf numFmtId="3" fontId="0" fillId="0" borderId="11" xfId="0" applyNumberFormat="1" applyBorder="1"/>
    <xf numFmtId="0" fontId="36" fillId="0" borderId="0" xfId="0" applyFont="1"/>
    <xf numFmtId="0" fontId="34" fillId="0" borderId="0" xfId="0" applyFont="1"/>
    <xf numFmtId="0" fontId="4" fillId="25" borderId="0" xfId="0" applyFont="1" applyFill="1" applyAlignment="1">
      <alignment vertical="center" wrapText="1"/>
    </xf>
    <xf numFmtId="0" fontId="38" fillId="0" borderId="0" xfId="0" applyFont="1"/>
    <xf numFmtId="0" fontId="0" fillId="0" borderId="11" xfId="0" applyBorder="1"/>
    <xf numFmtId="0" fontId="0" fillId="0" borderId="0" xfId="0" applyAlignment="1">
      <alignment horizontal="right"/>
    </xf>
    <xf numFmtId="0" fontId="35" fillId="26" borderId="20" xfId="0" applyFont="1" applyFill="1" applyBorder="1" applyAlignment="1">
      <alignment horizontal="center" vertical="center"/>
    </xf>
    <xf numFmtId="0" fontId="35" fillId="26" borderId="20" xfId="0" applyFont="1" applyFill="1" applyBorder="1" applyAlignment="1">
      <alignment horizontal="left" vertical="center"/>
    </xf>
    <xf numFmtId="0" fontId="38" fillId="0" borderId="13" xfId="0" applyFont="1" applyBorder="1"/>
    <xf numFmtId="0" fontId="0" fillId="0" borderId="21" xfId="0" applyBorder="1"/>
    <xf numFmtId="0" fontId="38"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0" fontId="0" fillId="0" borderId="17" xfId="0" applyBorder="1"/>
    <xf numFmtId="0" fontId="0" fillId="26" borderId="0" xfId="0" applyFill="1"/>
    <xf numFmtId="0" fontId="0" fillId="0" borderId="13" xfId="0" applyBorder="1"/>
    <xf numFmtId="0" fontId="34" fillId="26" borderId="0" xfId="0" applyFont="1" applyFill="1"/>
    <xf numFmtId="0" fontId="41" fillId="26" borderId="0" xfId="0" applyFont="1" applyFill="1"/>
    <xf numFmtId="0" fontId="42" fillId="0" borderId="0" xfId="0" applyFont="1"/>
    <xf numFmtId="0" fontId="43" fillId="0" borderId="0" xfId="0" applyFont="1"/>
    <xf numFmtId="0" fontId="44" fillId="0" borderId="0" xfId="0" applyFont="1"/>
    <xf numFmtId="3" fontId="38" fillId="0" borderId="11" xfId="0" applyNumberFormat="1" applyFont="1" applyBorder="1"/>
    <xf numFmtId="0" fontId="38" fillId="24" borderId="10" xfId="0" applyFont="1" applyFill="1" applyBorder="1"/>
    <xf numFmtId="3" fontId="38" fillId="24" borderId="11" xfId="0" applyNumberFormat="1" applyFont="1" applyFill="1" applyBorder="1"/>
    <xf numFmtId="165" fontId="38" fillId="24" borderId="11" xfId="0" applyNumberFormat="1" applyFont="1" applyFill="1" applyBorder="1"/>
    <xf numFmtId="0" fontId="0" fillId="0" borderId="0" xfId="0" applyAlignment="1">
      <alignment horizontal="left"/>
    </xf>
    <xf numFmtId="0" fontId="0" fillId="0" borderId="20" xfId="0" applyBorder="1"/>
    <xf numFmtId="0" fontId="0" fillId="24" borderId="11" xfId="0" applyFill="1" applyBorder="1"/>
    <xf numFmtId="0" fontId="0" fillId="24" borderId="20" xfId="0" applyFill="1" applyBorder="1" applyAlignment="1">
      <alignment horizontal="right"/>
    </xf>
    <xf numFmtId="0" fontId="0" fillId="24" borderId="11" xfId="0" applyFill="1" applyBorder="1" applyAlignment="1">
      <alignment horizontal="center"/>
    </xf>
    <xf numFmtId="0" fontId="0" fillId="24" borderId="12" xfId="0" applyFill="1" applyBorder="1" applyAlignment="1">
      <alignment horizontal="left"/>
    </xf>
    <xf numFmtId="0" fontId="0" fillId="24" borderId="0" xfId="0" applyFill="1"/>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0" fillId="24" borderId="10" xfId="0" applyFont="1" applyFill="1" applyBorder="1"/>
    <xf numFmtId="0" fontId="0" fillId="0" borderId="12" xfId="0" applyBorder="1"/>
    <xf numFmtId="0" fontId="34" fillId="27" borderId="11" xfId="0" applyFont="1" applyFill="1" applyBorder="1" applyAlignment="1">
      <alignment horizontal="center" wrapText="1"/>
    </xf>
    <xf numFmtId="0" fontId="26" fillId="0" borderId="0" xfId="0" applyFont="1"/>
    <xf numFmtId="0" fontId="34" fillId="0" borderId="0" xfId="82" applyFont="1"/>
    <xf numFmtId="0" fontId="39" fillId="0" borderId="0" xfId="82" applyFont="1"/>
    <xf numFmtId="0" fontId="39" fillId="0" borderId="12" xfId="0" applyFont="1" applyBorder="1" applyAlignment="1">
      <alignment horizontal="left"/>
    </xf>
    <xf numFmtId="165" fontId="26" fillId="24" borderId="20" xfId="0" applyNumberFormat="1" applyFont="1" applyFill="1" applyBorder="1" applyAlignment="1">
      <alignment wrapText="1"/>
    </xf>
    <xf numFmtId="3" fontId="26" fillId="0" borderId="11" xfId="0" applyNumberFormat="1" applyFont="1" applyBorder="1"/>
    <xf numFmtId="165" fontId="26" fillId="24" borderId="15" xfId="0" applyNumberFormat="1" applyFont="1" applyFill="1" applyBorder="1" applyAlignment="1">
      <alignment horizontal="center" wrapText="1"/>
    </xf>
    <xf numFmtId="0" fontId="26" fillId="24" borderId="11" xfId="0" quotePrefix="1" applyFont="1" applyFill="1" applyBorder="1" applyAlignment="1">
      <alignment horizontal="center"/>
    </xf>
    <xf numFmtId="0" fontId="38" fillId="24" borderId="12" xfId="0" applyFont="1" applyFill="1" applyBorder="1" applyAlignment="1">
      <alignment horizontal="left"/>
    </xf>
    <xf numFmtId="0" fontId="40" fillId="24" borderId="12" xfId="0" applyFont="1" applyFill="1" applyBorder="1" applyAlignment="1">
      <alignment horizontal="left" vertical="center" wrapText="1"/>
    </xf>
    <xf numFmtId="0" fontId="47" fillId="0" borderId="0" xfId="0" applyFont="1" applyAlignment="1">
      <alignment vertical="center" wrapText="1"/>
    </xf>
    <xf numFmtId="0" fontId="38" fillId="24" borderId="11" xfId="0" applyFont="1" applyFill="1" applyBorder="1" applyAlignment="1">
      <alignment horizontal="left"/>
    </xf>
    <xf numFmtId="0" fontId="0" fillId="0" borderId="32" xfId="0" applyBorder="1"/>
    <xf numFmtId="0" fontId="46" fillId="27" borderId="12" xfId="0" applyFont="1" applyFill="1" applyBorder="1" applyAlignment="1">
      <alignment horizontal="left"/>
    </xf>
    <xf numFmtId="165" fontId="34" fillId="27" borderId="20" xfId="0" applyNumberFormat="1" applyFont="1" applyFill="1" applyBorder="1" applyAlignment="1">
      <alignment wrapText="1"/>
    </xf>
    <xf numFmtId="0" fontId="34" fillId="27" borderId="20" xfId="0" applyFont="1" applyFill="1" applyBorder="1"/>
    <xf numFmtId="0" fontId="48" fillId="0" borderId="0" xfId="0" applyFont="1" applyAlignment="1">
      <alignment vertical="center"/>
    </xf>
    <xf numFmtId="0" fontId="0" fillId="0" borderId="11" xfId="0" applyBorder="1" applyAlignment="1">
      <alignment horizontal="left"/>
    </xf>
    <xf numFmtId="0" fontId="0" fillId="0" borderId="12" xfId="0" applyBorder="1" applyAlignment="1">
      <alignment horizontal="left" vertical="center"/>
    </xf>
    <xf numFmtId="165" fontId="26" fillId="0" borderId="21" xfId="0" applyNumberFormat="1" applyFont="1" applyBorder="1"/>
    <xf numFmtId="165" fontId="26" fillId="0" borderId="17" xfId="0" applyNumberFormat="1" applyFont="1" applyBorder="1"/>
    <xf numFmtId="3" fontId="0" fillId="0" borderId="11" xfId="0" applyNumberFormat="1" applyBorder="1" applyAlignment="1">
      <alignment horizontal="right"/>
    </xf>
    <xf numFmtId="0" fontId="27" fillId="0" borderId="0" xfId="72" applyAlignment="1" applyProtection="1"/>
    <xf numFmtId="3" fontId="38" fillId="0" borderId="0" xfId="0" applyNumberFormat="1" applyFont="1"/>
    <xf numFmtId="0" fontId="0" fillId="0" borderId="11" xfId="0" applyBorder="1" applyAlignment="1">
      <alignment horizontal="center" vertical="center" wrapText="1"/>
    </xf>
    <xf numFmtId="0" fontId="26" fillId="0" borderId="11" xfId="72" applyFont="1" applyFill="1" applyBorder="1" applyAlignment="1" applyProtection="1">
      <alignment horizontal="center" vertical="top" wrapText="1"/>
    </xf>
    <xf numFmtId="0" fontId="26" fillId="0" borderId="11" xfId="0" applyFont="1" applyBorder="1" applyAlignment="1">
      <alignment horizontal="center" vertical="center" wrapText="1"/>
    </xf>
    <xf numFmtId="0" fontId="26" fillId="0" borderId="11" xfId="72" applyFont="1" applyFill="1" applyBorder="1" applyAlignment="1" applyProtection="1">
      <alignment horizontal="center" vertical="center" wrapText="1"/>
    </xf>
    <xf numFmtId="0" fontId="51" fillId="28" borderId="11" xfId="0" applyFont="1" applyFill="1" applyBorder="1" applyAlignment="1">
      <alignment horizontal="center" vertical="center" wrapText="1"/>
    </xf>
    <xf numFmtId="0" fontId="51" fillId="0" borderId="0" xfId="0" applyFont="1" applyAlignment="1">
      <alignment horizontal="center" vertical="center"/>
    </xf>
    <xf numFmtId="0" fontId="52" fillId="29" borderId="11" xfId="0" applyFont="1" applyFill="1" applyBorder="1" applyAlignment="1">
      <alignment horizontal="center" vertical="center" wrapText="1"/>
    </xf>
    <xf numFmtId="0" fontId="38" fillId="0" borderId="12" xfId="0" applyFont="1" applyBorder="1" applyAlignment="1">
      <alignment horizontal="left"/>
    </xf>
    <xf numFmtId="0" fontId="35" fillId="26" borderId="11" xfId="0" applyFont="1" applyFill="1" applyBorder="1" applyAlignment="1">
      <alignment vertical="center" wrapText="1"/>
    </xf>
    <xf numFmtId="0" fontId="34" fillId="26" borderId="20" xfId="0" applyFont="1" applyFill="1" applyBorder="1"/>
    <xf numFmtId="0" fontId="34" fillId="26" borderId="17" xfId="0" applyFont="1" applyFill="1" applyBorder="1"/>
    <xf numFmtId="0" fontId="53" fillId="26" borderId="20" xfId="0" applyFont="1" applyFill="1" applyBorder="1" applyAlignment="1">
      <alignment horizontal="left"/>
    </xf>
    <xf numFmtId="0" fontId="0" fillId="24" borderId="32" xfId="0" applyFill="1" applyBorder="1"/>
    <xf numFmtId="0" fontId="38" fillId="24" borderId="13" xfId="0" applyFont="1" applyFill="1" applyBorder="1"/>
    <xf numFmtId="0" fontId="0" fillId="0" borderId="11" xfId="72" applyFont="1" applyFill="1" applyBorder="1" applyAlignment="1" applyProtection="1">
      <alignment horizontal="center" vertical="center" wrapText="1"/>
    </xf>
    <xf numFmtId="0" fontId="34" fillId="26" borderId="32" xfId="0" applyFont="1" applyFill="1" applyBorder="1" applyAlignment="1">
      <alignment horizontal="center" wrapText="1"/>
    </xf>
    <xf numFmtId="0" fontId="51" fillId="28" borderId="11" xfId="0" applyFont="1" applyFill="1" applyBorder="1" applyAlignment="1">
      <alignment horizontal="center" vertical="center"/>
    </xf>
    <xf numFmtId="0" fontId="0" fillId="0" borderId="33"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51" fillId="24" borderId="0" xfId="0" applyFont="1" applyFill="1" applyAlignment="1">
      <alignment horizontal="center" vertical="center"/>
    </xf>
    <xf numFmtId="0" fontId="51" fillId="24" borderId="18" xfId="0" applyFont="1" applyFill="1" applyBorder="1" applyAlignment="1">
      <alignment horizontal="center" vertical="center"/>
    </xf>
    <xf numFmtId="0" fontId="26" fillId="24" borderId="0" xfId="0" applyFont="1" applyFill="1"/>
    <xf numFmtId="0" fontId="26" fillId="24" borderId="18" xfId="0" applyFont="1" applyFill="1" applyBorder="1"/>
    <xf numFmtId="0" fontId="51" fillId="24" borderId="14" xfId="0" applyFont="1" applyFill="1" applyBorder="1" applyAlignment="1">
      <alignment horizontal="center" vertical="center"/>
    </xf>
    <xf numFmtId="0" fontId="26" fillId="24" borderId="14" xfId="0" applyFont="1" applyFill="1" applyBorder="1"/>
    <xf numFmtId="0" fontId="0" fillId="24" borderId="33" xfId="0" applyFill="1" applyBorder="1"/>
    <xf numFmtId="0" fontId="39" fillId="24" borderId="14" xfId="0" applyFont="1" applyFill="1" applyBorder="1" applyAlignment="1">
      <alignment horizontal="left"/>
    </xf>
    <xf numFmtId="0" fontId="39" fillId="24" borderId="14" xfId="0" applyFont="1" applyFill="1" applyBorder="1"/>
    <xf numFmtId="0" fontId="39" fillId="24" borderId="14" xfId="0" applyFont="1" applyFill="1" applyBorder="1" applyAlignment="1">
      <alignment vertical="center"/>
    </xf>
    <xf numFmtId="0" fontId="27"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46" fillId="0" borderId="0" xfId="82" applyFont="1" applyAlignment="1">
      <alignment horizontal="center"/>
    </xf>
    <xf numFmtId="0" fontId="46" fillId="0" borderId="0" xfId="110" applyFont="1" applyAlignment="1">
      <alignment horizontal="left" vertical="center" wrapText="1"/>
    </xf>
    <xf numFmtId="168" fontId="39" fillId="0" borderId="11" xfId="82" applyNumberFormat="1" applyFont="1" applyBorder="1"/>
    <xf numFmtId="168" fontId="39" fillId="0" borderId="0" xfId="82" applyNumberFormat="1" applyFont="1"/>
    <xf numFmtId="0" fontId="0" fillId="25" borderId="0" xfId="0" applyFill="1"/>
    <xf numFmtId="168" fontId="39" fillId="25" borderId="0" xfId="82" applyNumberFormat="1" applyFont="1" applyFill="1"/>
    <xf numFmtId="3" fontId="0" fillId="25" borderId="0" xfId="0" applyNumberFormat="1" applyFill="1" applyAlignment="1">
      <alignment horizontal="right"/>
    </xf>
    <xf numFmtId="0" fontId="56" fillId="0" borderId="0" xfId="82" applyFont="1"/>
    <xf numFmtId="165" fontId="39" fillId="0" borderId="22" xfId="56" applyNumberFormat="1" applyFont="1" applyBorder="1" applyAlignment="1" applyProtection="1">
      <alignment horizontal="right" wrapText="1"/>
    </xf>
    <xf numFmtId="165" fontId="39" fillId="0" borderId="11" xfId="56" applyNumberFormat="1" applyFont="1" applyBorder="1" applyProtection="1"/>
    <xf numFmtId="164" fontId="6" fillId="0" borderId="0" xfId="82" applyNumberFormat="1" applyFont="1" applyAlignment="1">
      <alignment horizontal="right"/>
    </xf>
    <xf numFmtId="0" fontId="55" fillId="0" borderId="11" xfId="0" applyFont="1" applyBorder="1" applyAlignment="1">
      <alignment wrapText="1"/>
    </xf>
    <xf numFmtId="3" fontId="55" fillId="0" borderId="11" xfId="0" applyNumberFormat="1" applyFont="1" applyBorder="1"/>
    <xf numFmtId="9" fontId="55" fillId="0" borderId="11" xfId="0" applyNumberFormat="1" applyFont="1" applyBorder="1"/>
    <xf numFmtId="0" fontId="55" fillId="0" borderId="11" xfId="0" applyFont="1" applyBorder="1" applyAlignment="1">
      <alignment horizontal="right"/>
    </xf>
    <xf numFmtId="0" fontId="54" fillId="0" borderId="0" xfId="0" applyFont="1"/>
    <xf numFmtId="10" fontId="55"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6" fillId="0" borderId="11" xfId="92" applyFont="1" applyFill="1" applyBorder="1" applyAlignment="1" applyProtection="1">
      <alignment horizontal="right" vertical="center"/>
      <protection locked="0"/>
    </xf>
    <xf numFmtId="0" fontId="54" fillId="0" borderId="11" xfId="0" applyFont="1" applyBorder="1" applyAlignment="1">
      <alignment horizontal="center" wrapText="1"/>
    </xf>
    <xf numFmtId="0" fontId="38"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54" fillId="31" borderId="11" xfId="0" applyFont="1" applyFill="1" applyBorder="1" applyAlignment="1">
      <alignment horizontal="center" wrapText="1"/>
    </xf>
    <xf numFmtId="0" fontId="38" fillId="31" borderId="11" xfId="0" applyFont="1" applyFill="1" applyBorder="1" applyAlignment="1">
      <alignment horizontal="center" wrapText="1"/>
    </xf>
    <xf numFmtId="168" fontId="39" fillId="0" borderId="11" xfId="57" applyNumberFormat="1" applyFont="1" applyFill="1" applyBorder="1" applyProtection="1"/>
    <xf numFmtId="3" fontId="39" fillId="0" borderId="11" xfId="82" applyNumberFormat="1" applyFont="1" applyBorder="1" applyAlignment="1">
      <alignment horizontal="right"/>
    </xf>
    <xf numFmtId="168" fontId="39" fillId="0" borderId="35" xfId="82" applyNumberFormat="1" applyFont="1" applyBorder="1"/>
    <xf numFmtId="0" fontId="0" fillId="0" borderId="29" xfId="0" applyBorder="1"/>
    <xf numFmtId="168" fontId="39" fillId="0" borderId="29" xfId="82" applyNumberFormat="1" applyFont="1" applyBorder="1"/>
    <xf numFmtId="168" fontId="39" fillId="0" borderId="27" xfId="82" applyNumberFormat="1" applyFont="1" applyBorder="1"/>
    <xf numFmtId="0" fontId="40" fillId="0" borderId="11" xfId="110" applyFont="1" applyBorder="1" applyAlignment="1">
      <alignment horizontal="center" vertical="center" wrapText="1"/>
    </xf>
    <xf numFmtId="3" fontId="40" fillId="0" borderId="11" xfId="110" applyNumberFormat="1" applyFont="1" applyBorder="1" applyAlignment="1">
      <alignment horizontal="right" vertical="center" wrapText="1"/>
    </xf>
    <xf numFmtId="0" fontId="46" fillId="0" borderId="11" xfId="110" applyFont="1" applyBorder="1" applyAlignment="1">
      <alignment horizontal="left" vertical="center" wrapText="1"/>
    </xf>
    <xf numFmtId="165" fontId="39" fillId="0" borderId="22" xfId="82" applyNumberFormat="1" applyFont="1" applyBorder="1" applyAlignment="1" applyProtection="1">
      <alignment horizontal="right"/>
      <protection locked="0"/>
    </xf>
    <xf numFmtId="0" fontId="38" fillId="0" borderId="34"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0" fillId="24" borderId="17" xfId="110" applyFont="1" applyFill="1" applyBorder="1" applyAlignment="1">
      <alignment horizontal="left" vertical="center" wrapText="1"/>
    </xf>
    <xf numFmtId="0" fontId="40" fillId="24" borderId="11" xfId="110" applyFont="1" applyFill="1" applyBorder="1" applyAlignment="1">
      <alignment horizontal="left" vertical="center" wrapText="1"/>
    </xf>
    <xf numFmtId="0" fontId="54" fillId="24" borderId="11" xfId="0" applyFont="1" applyFill="1" applyBorder="1" applyAlignment="1">
      <alignment horizontal="center" wrapText="1"/>
    </xf>
    <xf numFmtId="168" fontId="39" fillId="24" borderId="17" xfId="82" applyNumberFormat="1" applyFont="1" applyFill="1" applyBorder="1"/>
    <xf numFmtId="168" fontId="39" fillId="24" borderId="11" xfId="82" applyNumberFormat="1" applyFont="1" applyFill="1" applyBorder="1"/>
    <xf numFmtId="0" fontId="38" fillId="0" borderId="19" xfId="82" applyFont="1" applyBorder="1" applyAlignment="1">
      <alignment horizontal="center"/>
    </xf>
    <xf numFmtId="0" fontId="38" fillId="0" borderId="19" xfId="110" applyFont="1" applyBorder="1" applyAlignment="1">
      <alignment horizontal="center" wrapText="1"/>
    </xf>
    <xf numFmtId="3" fontId="38" fillId="0" borderId="19" xfId="110" applyNumberFormat="1" applyFont="1" applyBorder="1" applyAlignment="1">
      <alignment horizontal="center" wrapText="1"/>
    </xf>
    <xf numFmtId="0" fontId="38" fillId="0" borderId="25" xfId="110" applyFont="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38" fillId="0" borderId="32" xfId="0" applyFont="1" applyBorder="1" applyAlignment="1">
      <alignment horizontal="right"/>
    </xf>
    <xf numFmtId="165" fontId="0" fillId="0" borderId="32" xfId="0" applyNumberFormat="1" applyBorder="1"/>
    <xf numFmtId="168" fontId="40" fillId="0" borderId="14" xfId="82" applyNumberFormat="1" applyFont="1" applyBorder="1"/>
    <xf numFmtId="168" fontId="39" fillId="0" borderId="14" xfId="82" applyNumberFormat="1" applyFont="1" applyBorder="1"/>
    <xf numFmtId="9" fontId="0" fillId="0" borderId="0" xfId="0" applyNumberFormat="1"/>
    <xf numFmtId="165" fontId="0" fillId="0" borderId="10" xfId="0" applyNumberFormat="1" applyBorder="1"/>
    <xf numFmtId="0" fontId="4" fillId="25" borderId="0" xfId="0" applyFont="1" applyFill="1" applyAlignment="1">
      <alignment vertical="center"/>
    </xf>
    <xf numFmtId="3" fontId="0" fillId="0" borderId="37" xfId="0" applyNumberFormat="1" applyBorder="1" applyAlignment="1">
      <alignment horizontal="right"/>
    </xf>
    <xf numFmtId="168" fontId="39" fillId="0" borderId="15" xfId="82" applyNumberFormat="1" applyFont="1" applyBorder="1"/>
    <xf numFmtId="168" fontId="39" fillId="0" borderId="12" xfId="82" applyNumberFormat="1" applyFont="1" applyBorder="1"/>
    <xf numFmtId="168" fontId="39" fillId="24" borderId="21" xfId="82" applyNumberFormat="1" applyFont="1" applyFill="1" applyBorder="1"/>
    <xf numFmtId="168" fontId="39" fillId="0" borderId="38" xfId="82" applyNumberFormat="1" applyFont="1" applyBorder="1"/>
    <xf numFmtId="168" fontId="39" fillId="28" borderId="11" xfId="82" applyNumberFormat="1" applyFont="1" applyFill="1" applyBorder="1"/>
    <xf numFmtId="168" fontId="39" fillId="28" borderId="36" xfId="82" applyNumberFormat="1" applyFont="1" applyFill="1" applyBorder="1"/>
    <xf numFmtId="1" fontId="0" fillId="28" borderId="11" xfId="0" applyNumberFormat="1" applyFill="1" applyBorder="1"/>
    <xf numFmtId="0" fontId="28" fillId="0" borderId="12" xfId="0" applyFont="1" applyBorder="1"/>
    <xf numFmtId="0" fontId="6" fillId="24" borderId="0" xfId="87" applyFont="1" applyFill="1" applyAlignment="1">
      <alignment horizontal="left"/>
    </xf>
    <xf numFmtId="0" fontId="28" fillId="24" borderId="0" xfId="0" quotePrefix="1" applyFont="1" applyFill="1"/>
    <xf numFmtId="0" fontId="27" fillId="24" borderId="0" xfId="72" applyFill="1" applyAlignment="1" applyProtection="1"/>
    <xf numFmtId="0" fontId="57" fillId="33" borderId="0" xfId="0" applyFont="1" applyFill="1" applyAlignment="1">
      <alignment vertical="center"/>
    </xf>
    <xf numFmtId="0" fontId="44" fillId="28" borderId="0" xfId="0" applyFont="1" applyFill="1"/>
    <xf numFmtId="0" fontId="0" fillId="28" borderId="0" xfId="0" applyFill="1"/>
    <xf numFmtId="0" fontId="0" fillId="28" borderId="18" xfId="0" applyFill="1" applyBorder="1"/>
    <xf numFmtId="0" fontId="27" fillId="0" borderId="20" xfId="72" applyFill="1" applyBorder="1" applyAlignment="1" applyProtection="1"/>
    <xf numFmtId="3" fontId="0" fillId="0" borderId="10" xfId="0" applyNumberFormat="1" applyBorder="1"/>
    <xf numFmtId="0" fontId="45" fillId="0" borderId="23" xfId="72" applyFont="1" applyFill="1" applyBorder="1" applyAlignment="1" applyProtection="1">
      <alignment wrapText="1"/>
    </xf>
    <xf numFmtId="0" fontId="0" fillId="0" borderId="10" xfId="0" applyBorder="1" applyAlignment="1">
      <alignment horizontal="left"/>
    </xf>
    <xf numFmtId="0" fontId="27" fillId="0" borderId="11" xfId="72" applyBorder="1" applyAlignment="1" applyProtection="1">
      <alignment wrapText="1"/>
    </xf>
    <xf numFmtId="0" fontId="38" fillId="24" borderId="17" xfId="0" applyFont="1" applyFill="1" applyBorder="1"/>
    <xf numFmtId="0" fontId="27" fillId="0" borderId="10" xfId="72" applyFill="1" applyBorder="1" applyAlignment="1" applyProtection="1"/>
    <xf numFmtId="0" fontId="39" fillId="0" borderId="11" xfId="0" applyFont="1" applyBorder="1" applyAlignment="1">
      <alignment horizontal="left"/>
    </xf>
    <xf numFmtId="164" fontId="39" fillId="0" borderId="15" xfId="0" applyNumberFormat="1" applyFont="1" applyBorder="1" applyAlignment="1">
      <alignment horizontal="right" wrapText="1"/>
    </xf>
    <xf numFmtId="165" fontId="39" fillId="0" borderId="11" xfId="0" quotePrefix="1" applyNumberFormat="1" applyFont="1" applyBorder="1" applyAlignment="1">
      <alignment horizontal="right"/>
    </xf>
    <xf numFmtId="0" fontId="39" fillId="0" borderId="0" xfId="0" applyFont="1" applyAlignment="1">
      <alignment horizontal="left"/>
    </xf>
    <xf numFmtId="164" fontId="39" fillId="0" borderId="0" xfId="0" applyNumberFormat="1" applyFont="1" applyAlignment="1">
      <alignment horizontal="right" wrapText="1"/>
    </xf>
    <xf numFmtId="165" fontId="39" fillId="0" borderId="0" xfId="0" quotePrefix="1" applyNumberFormat="1" applyFont="1" applyAlignment="1">
      <alignment horizontal="right"/>
    </xf>
    <xf numFmtId="3" fontId="0" fillId="28" borderId="11" xfId="0" applyNumberFormat="1" applyFill="1" applyBorder="1" applyProtection="1">
      <protection locked="0"/>
    </xf>
    <xf numFmtId="164" fontId="45" fillId="28" borderId="11" xfId="82" applyNumberFormat="1" applyFont="1" applyFill="1" applyBorder="1" applyProtection="1">
      <protection locked="0"/>
    </xf>
    <xf numFmtId="9" fontId="45" fillId="28" borderId="11" xfId="92" applyFont="1" applyFill="1" applyBorder="1" applyProtection="1">
      <protection locked="0"/>
    </xf>
    <xf numFmtId="0" fontId="0" fillId="0" borderId="0" xfId="0" applyAlignment="1">
      <alignment horizontal="center"/>
    </xf>
    <xf numFmtId="169" fontId="0" fillId="0" borderId="0" xfId="0" applyNumberFormat="1" applyAlignment="1">
      <alignment horizontal="right"/>
    </xf>
    <xf numFmtId="10" fontId="0" fillId="0" borderId="0" xfId="92" applyNumberFormat="1" applyFont="1" applyFill="1" applyBorder="1" applyAlignment="1">
      <alignment horizontal="right"/>
    </xf>
    <xf numFmtId="170" fontId="0" fillId="0" borderId="0" xfId="56" applyNumberFormat="1" applyFont="1" applyFill="1" applyBorder="1" applyAlignment="1" applyProtection="1">
      <alignment horizontal="right"/>
      <protection locked="0"/>
    </xf>
    <xf numFmtId="170" fontId="0" fillId="0" borderId="0" xfId="56" applyNumberFormat="1" applyFont="1" applyFill="1" applyBorder="1" applyAlignment="1">
      <alignment horizontal="right"/>
    </xf>
    <xf numFmtId="170" fontId="0" fillId="0" borderId="0" xfId="56" applyNumberFormat="1" applyFont="1" applyFill="1" applyBorder="1" applyAlignment="1"/>
    <xf numFmtId="170" fontId="0" fillId="0" borderId="0" xfId="56" applyNumberFormat="1" applyFont="1" applyFill="1" applyBorder="1" applyAlignment="1" applyProtection="1">
      <protection locked="0"/>
    </xf>
    <xf numFmtId="3" fontId="38" fillId="0" borderId="0" xfId="0" applyNumberFormat="1" applyFont="1" applyAlignment="1" applyProtection="1">
      <alignment horizontal="center"/>
      <protection locked="0"/>
    </xf>
    <xf numFmtId="169" fontId="38" fillId="0" borderId="0" xfId="0" applyNumberFormat="1" applyFont="1" applyAlignment="1" applyProtection="1">
      <alignment horizontal="right"/>
      <protection locked="0"/>
    </xf>
    <xf numFmtId="10" fontId="38" fillId="0" borderId="0" xfId="92" applyNumberFormat="1" applyFont="1" applyFill="1" applyBorder="1" applyAlignment="1" applyProtection="1">
      <alignment horizontal="right"/>
      <protection locked="0"/>
    </xf>
    <xf numFmtId="170" fontId="38" fillId="0" borderId="0" xfId="56" applyNumberFormat="1" applyFont="1" applyFill="1" applyBorder="1" applyAlignment="1" applyProtection="1">
      <protection locked="0"/>
    </xf>
    <xf numFmtId="170" fontId="38" fillId="0" borderId="0" xfId="56" applyNumberFormat="1" applyFont="1" applyFill="1" applyBorder="1" applyAlignment="1" applyProtection="1">
      <alignment horizontal="right"/>
      <protection locked="0"/>
    </xf>
    <xf numFmtId="166" fontId="38" fillId="0" borderId="0" xfId="56" applyNumberFormat="1" applyFont="1" applyFill="1" applyBorder="1" applyAlignment="1" applyProtection="1">
      <alignment horizontal="right"/>
      <protection locked="0"/>
    </xf>
    <xf numFmtId="165" fontId="0" fillId="0" borderId="0" xfId="0" applyNumberFormat="1" applyAlignment="1">
      <alignment horizontal="right"/>
    </xf>
    <xf numFmtId="3" fontId="38" fillId="0" borderId="11" xfId="0" applyNumberFormat="1" applyFont="1" applyBorder="1" applyAlignment="1">
      <alignment horizontal="center"/>
    </xf>
    <xf numFmtId="170" fontId="38" fillId="0" borderId="11" xfId="56" applyNumberFormat="1" applyFont="1" applyFill="1" applyBorder="1" applyAlignment="1">
      <alignment horizontal="center"/>
    </xf>
    <xf numFmtId="169" fontId="38" fillId="0" borderId="11" xfId="0" applyNumberFormat="1" applyFont="1" applyBorder="1" applyAlignment="1">
      <alignment horizontal="right" wrapText="1"/>
    </xf>
    <xf numFmtId="170" fontId="0" fillId="0" borderId="11" xfId="56" applyNumberFormat="1" applyFont="1" applyFill="1" applyBorder="1" applyAlignment="1" applyProtection="1">
      <alignment horizontal="right"/>
      <protection locked="0"/>
    </xf>
    <xf numFmtId="169" fontId="0" fillId="0" borderId="11" xfId="0" applyNumberFormat="1" applyBorder="1" applyAlignment="1">
      <alignment horizontal="right"/>
    </xf>
    <xf numFmtId="0" fontId="0" fillId="0" borderId="20" xfId="0" applyBorder="1" applyAlignment="1">
      <alignment horizontal="right"/>
    </xf>
    <xf numFmtId="0" fontId="38" fillId="0" borderId="20" xfId="0" applyFont="1" applyBorder="1" applyAlignment="1">
      <alignment horizontal="center" wrapText="1"/>
    </xf>
    <xf numFmtId="170" fontId="38" fillId="0" borderId="20" xfId="56" applyNumberFormat="1" applyFont="1" applyFill="1" applyBorder="1" applyAlignment="1">
      <alignment horizontal="center"/>
    </xf>
    <xf numFmtId="0" fontId="38" fillId="0" borderId="20" xfId="0" applyFont="1" applyBorder="1" applyAlignment="1">
      <alignment horizontal="center"/>
    </xf>
    <xf numFmtId="9" fontId="38" fillId="0" borderId="17" xfId="0" applyNumberFormat="1" applyFont="1" applyBorder="1" applyAlignment="1">
      <alignment horizontal="right"/>
    </xf>
    <xf numFmtId="170" fontId="0" fillId="0" borderId="22" xfId="56" applyNumberFormat="1" applyFont="1" applyFill="1" applyBorder="1" applyAlignment="1" applyProtection="1">
      <protection locked="0"/>
    </xf>
    <xf numFmtId="0" fontId="38" fillId="0" borderId="17" xfId="0" applyFont="1" applyBorder="1" applyAlignment="1">
      <alignment horizontal="center"/>
    </xf>
    <xf numFmtId="3" fontId="0" fillId="0" borderId="22" xfId="0" applyNumberFormat="1" applyBorder="1"/>
    <xf numFmtId="165" fontId="0" fillId="0" borderId="22" xfId="0" applyNumberFormat="1" applyBorder="1" applyAlignment="1">
      <alignment horizontal="right"/>
    </xf>
    <xf numFmtId="165" fontId="0" fillId="0" borderId="19" xfId="0" applyNumberFormat="1" applyBorder="1" applyAlignment="1">
      <alignment horizontal="right"/>
    </xf>
    <xf numFmtId="0" fontId="38" fillId="0" borderId="13" xfId="0" applyFont="1" applyBorder="1" applyAlignment="1">
      <alignment horizontal="left"/>
    </xf>
    <xf numFmtId="0" fontId="0" fillId="0" borderId="32" xfId="0" applyBorder="1" applyAlignment="1">
      <alignment horizontal="right"/>
    </xf>
    <xf numFmtId="0" fontId="0" fillId="0" borderId="23" xfId="0" applyBorder="1" applyAlignment="1">
      <alignment horizontal="left"/>
    </xf>
    <xf numFmtId="0" fontId="0" fillId="0" borderId="10" xfId="0" applyBorder="1" applyAlignment="1">
      <alignment horizontal="center"/>
    </xf>
    <xf numFmtId="169" fontId="38" fillId="0" borderId="22" xfId="0" applyNumberFormat="1" applyFont="1" applyBorder="1" applyAlignment="1">
      <alignment horizontal="right"/>
    </xf>
    <xf numFmtId="0" fontId="0" fillId="0" borderId="12" xfId="0" applyBorder="1" applyAlignment="1">
      <alignment horizontal="left"/>
    </xf>
    <xf numFmtId="170" fontId="0" fillId="0" borderId="17" xfId="56" applyNumberFormat="1" applyFont="1" applyFill="1" applyBorder="1" applyAlignment="1" applyProtection="1">
      <protection locked="0"/>
    </xf>
    <xf numFmtId="9" fontId="0" fillId="0" borderId="17" xfId="0" applyNumberFormat="1" applyBorder="1" applyAlignment="1">
      <alignment horizontal="right"/>
    </xf>
    <xf numFmtId="9" fontId="0" fillId="0" borderId="22" xfId="0" applyNumberFormat="1" applyBorder="1" applyAlignment="1">
      <alignment horizontal="right"/>
    </xf>
    <xf numFmtId="3" fontId="0" fillId="0" borderId="17" xfId="0" applyNumberFormat="1" applyBorder="1"/>
    <xf numFmtId="165" fontId="0" fillId="0" borderId="17" xfId="0" applyNumberFormat="1" applyBorder="1" applyAlignment="1">
      <alignment horizontal="right"/>
    </xf>
    <xf numFmtId="0" fontId="0" fillId="0" borderId="20" xfId="0" applyBorder="1" applyAlignment="1">
      <alignment horizontal="center"/>
    </xf>
    <xf numFmtId="169" fontId="38" fillId="0" borderId="17" xfId="0" applyNumberFormat="1" applyFont="1" applyBorder="1" applyAlignment="1">
      <alignment horizontal="right"/>
    </xf>
    <xf numFmtId="0" fontId="38" fillId="0" borderId="17" xfId="0" applyFont="1" applyBorder="1" applyAlignment="1">
      <alignment horizontal="center" wrapText="1"/>
    </xf>
    <xf numFmtId="0" fontId="38" fillId="0" borderId="32" xfId="0" applyFont="1" applyBorder="1" applyAlignment="1">
      <alignment horizontal="center" wrapText="1"/>
    </xf>
    <xf numFmtId="3" fontId="38" fillId="0" borderId="15" xfId="0" applyNumberFormat="1" applyFont="1" applyBorder="1" applyAlignment="1">
      <alignment horizontal="center"/>
    </xf>
    <xf numFmtId="0" fontId="38" fillId="0" borderId="21" xfId="0" applyFont="1" applyBorder="1" applyAlignment="1">
      <alignment horizontal="center" wrapText="1"/>
    </xf>
    <xf numFmtId="170" fontId="38" fillId="0" borderId="21" xfId="56" applyNumberFormat="1" applyFont="1" applyFill="1" applyBorder="1" applyAlignment="1">
      <alignment horizontal="center"/>
    </xf>
    <xf numFmtId="0" fontId="38" fillId="0" borderId="21" xfId="0" applyFont="1" applyBorder="1" applyAlignment="1">
      <alignment horizontal="center"/>
    </xf>
    <xf numFmtId="169" fontId="38" fillId="0" borderId="21" xfId="0" applyNumberFormat="1" applyFont="1" applyBorder="1" applyAlignment="1">
      <alignment horizontal="right" wrapText="1"/>
    </xf>
    <xf numFmtId="9" fontId="38" fillId="0" borderId="21" xfId="0" applyNumberFormat="1" applyFont="1" applyBorder="1" applyAlignment="1">
      <alignment horizontal="right"/>
    </xf>
    <xf numFmtId="0" fontId="0" fillId="0" borderId="10" xfId="0" applyBorder="1" applyAlignment="1">
      <alignment horizontal="right"/>
    </xf>
    <xf numFmtId="169" fontId="0" fillId="0" borderId="22" xfId="0" applyNumberFormat="1" applyBorder="1" applyAlignment="1" applyProtection="1">
      <alignment horizontal="right"/>
      <protection locked="0"/>
    </xf>
    <xf numFmtId="170" fontId="0" fillId="0" borderId="22" xfId="56" applyNumberFormat="1" applyFont="1" applyFill="1" applyBorder="1" applyAlignment="1" applyProtection="1">
      <alignment horizontal="right"/>
      <protection locked="0"/>
    </xf>
    <xf numFmtId="170" fontId="0" fillId="0" borderId="22" xfId="56" applyNumberFormat="1" applyFont="1" applyFill="1" applyBorder="1" applyAlignment="1" applyProtection="1">
      <alignment horizontal="center"/>
      <protection locked="0"/>
    </xf>
    <xf numFmtId="169" fontId="0" fillId="0" borderId="20" xfId="0" applyNumberFormat="1" applyBorder="1" applyAlignment="1">
      <alignment horizontal="right"/>
    </xf>
    <xf numFmtId="9" fontId="0" fillId="0" borderId="20" xfId="92" applyFont="1" applyFill="1" applyBorder="1" applyAlignment="1">
      <alignment horizontal="right"/>
    </xf>
    <xf numFmtId="170" fontId="0" fillId="0" borderId="20" xfId="56" applyNumberFormat="1" applyFont="1" applyFill="1" applyBorder="1" applyAlignment="1"/>
    <xf numFmtId="3" fontId="0" fillId="0" borderId="20" xfId="0" applyNumberFormat="1" applyBorder="1"/>
    <xf numFmtId="165" fontId="0" fillId="0" borderId="20" xfId="0" applyNumberFormat="1" applyBorder="1" applyAlignment="1">
      <alignment horizontal="right"/>
    </xf>
    <xf numFmtId="169" fontId="0" fillId="0" borderId="10" xfId="0" applyNumberFormat="1" applyBorder="1" applyAlignment="1">
      <alignment horizontal="right"/>
    </xf>
    <xf numFmtId="10" fontId="0" fillId="0" borderId="10" xfId="92" applyNumberFormat="1" applyFont="1" applyFill="1" applyBorder="1" applyAlignment="1">
      <alignment horizontal="right"/>
    </xf>
    <xf numFmtId="170" fontId="0" fillId="0" borderId="10" xfId="56" applyNumberFormat="1" applyFont="1" applyFill="1" applyBorder="1" applyAlignment="1"/>
    <xf numFmtId="169" fontId="0" fillId="0" borderId="20" xfId="0" applyNumberFormat="1" applyBorder="1" applyAlignment="1" applyProtection="1">
      <alignment horizontal="right"/>
      <protection locked="0"/>
    </xf>
    <xf numFmtId="170" fontId="0" fillId="0" borderId="20" xfId="56" applyNumberFormat="1" applyFont="1" applyFill="1" applyBorder="1" applyAlignment="1" applyProtection="1">
      <protection locked="0"/>
    </xf>
    <xf numFmtId="170" fontId="0" fillId="0" borderId="10" xfId="56" applyNumberFormat="1" applyFont="1" applyFill="1" applyBorder="1" applyAlignment="1">
      <alignment horizontal="center"/>
    </xf>
    <xf numFmtId="9" fontId="0" fillId="0" borderId="10" xfId="0" applyNumberFormat="1" applyBorder="1" applyAlignment="1">
      <alignment horizontal="right"/>
    </xf>
    <xf numFmtId="9" fontId="0" fillId="0" borderId="10" xfId="92" applyFont="1" applyFill="1" applyBorder="1" applyAlignment="1">
      <alignment horizontal="right"/>
    </xf>
    <xf numFmtId="169" fontId="0" fillId="0" borderId="10" xfId="0" applyNumberFormat="1" applyBorder="1" applyAlignment="1" applyProtection="1">
      <alignment horizontal="right"/>
      <protection locked="0"/>
    </xf>
    <xf numFmtId="170" fontId="0" fillId="0" borderId="10" xfId="56" applyNumberFormat="1" applyFont="1" applyFill="1" applyBorder="1" applyAlignment="1" applyProtection="1">
      <protection locked="0"/>
    </xf>
    <xf numFmtId="166" fontId="38" fillId="0" borderId="19" xfId="56" applyNumberFormat="1" applyFont="1" applyFill="1" applyBorder="1" applyAlignment="1" applyProtection="1">
      <alignment horizontal="right"/>
      <protection locked="0"/>
    </xf>
    <xf numFmtId="169" fontId="38" fillId="0" borderId="20" xfId="0" applyNumberFormat="1" applyFont="1" applyBorder="1" applyAlignment="1">
      <alignment horizontal="right"/>
    </xf>
    <xf numFmtId="0" fontId="38" fillId="0" borderId="23" xfId="0" applyFont="1" applyBorder="1" applyAlignment="1">
      <alignment wrapText="1"/>
    </xf>
    <xf numFmtId="3" fontId="38" fillId="0" borderId="19" xfId="0" applyNumberFormat="1" applyFont="1" applyBorder="1"/>
    <xf numFmtId="0" fontId="45" fillId="0" borderId="12" xfId="72" applyFont="1" applyFill="1" applyBorder="1" applyAlignment="1" applyProtection="1"/>
    <xf numFmtId="0" fontId="0" fillId="0" borderId="17" xfId="0" applyBorder="1" applyAlignment="1">
      <alignment horizontal="center"/>
    </xf>
    <xf numFmtId="170" fontId="0" fillId="0" borderId="17" xfId="56" applyNumberFormat="1" applyFont="1" applyFill="1" applyBorder="1" applyAlignment="1"/>
    <xf numFmtId="169" fontId="0" fillId="0" borderId="23" xfId="0" applyNumberFormat="1" applyBorder="1" applyAlignment="1" applyProtection="1">
      <alignment horizontal="right"/>
      <protection locked="0"/>
    </xf>
    <xf numFmtId="0" fontId="0" fillId="0" borderId="22" xfId="0" applyBorder="1" applyAlignment="1">
      <alignment horizontal="right" vertical="center"/>
    </xf>
    <xf numFmtId="9" fontId="0" fillId="0" borderId="12" xfId="0" applyNumberFormat="1" applyBorder="1" applyAlignment="1" applyProtection="1">
      <alignment horizontal="right"/>
      <protection locked="0"/>
    </xf>
    <xf numFmtId="0" fontId="0" fillId="0" borderId="17" xfId="0" applyBorder="1" applyAlignment="1">
      <alignment horizontal="right"/>
    </xf>
    <xf numFmtId="169" fontId="0" fillId="0" borderId="23" xfId="0" applyNumberFormat="1" applyBorder="1" applyAlignment="1">
      <alignment horizontal="right"/>
    </xf>
    <xf numFmtId="169" fontId="0" fillId="0" borderId="12" xfId="0" applyNumberFormat="1" applyBorder="1" applyAlignment="1">
      <alignment horizontal="right"/>
    </xf>
    <xf numFmtId="165" fontId="38" fillId="0" borderId="19" xfId="0" applyNumberFormat="1" applyFont="1" applyBorder="1" applyAlignment="1">
      <alignment horizontal="right"/>
    </xf>
    <xf numFmtId="10" fontId="0" fillId="28" borderId="19" xfId="92" applyNumberFormat="1" applyFont="1" applyFill="1" applyBorder="1" applyAlignment="1" applyProtection="1">
      <alignment horizontal="right"/>
      <protection locked="0"/>
    </xf>
    <xf numFmtId="10" fontId="0" fillId="28" borderId="11" xfId="92" applyNumberFormat="1" applyFont="1" applyFill="1" applyBorder="1" applyAlignment="1" applyProtection="1">
      <alignment horizontal="right"/>
      <protection locked="0"/>
    </xf>
    <xf numFmtId="3" fontId="38" fillId="0" borderId="20" xfId="0" applyNumberFormat="1" applyFont="1" applyBorder="1" applyAlignment="1">
      <alignment horizontal="center"/>
    </xf>
    <xf numFmtId="0" fontId="38" fillId="0" borderId="23" xfId="0" applyFont="1" applyBorder="1" applyAlignment="1">
      <alignment horizontal="left"/>
    </xf>
    <xf numFmtId="0" fontId="38" fillId="0" borderId="0" xfId="0" applyFont="1" applyAlignment="1">
      <alignment horizontal="left"/>
    </xf>
    <xf numFmtId="10" fontId="38" fillId="0" borderId="20" xfId="92" applyNumberFormat="1" applyFont="1" applyFill="1" applyBorder="1" applyAlignment="1">
      <alignment horizontal="right"/>
    </xf>
    <xf numFmtId="170" fontId="38" fillId="0" borderId="20" xfId="56" applyNumberFormat="1" applyFont="1" applyFill="1" applyBorder="1" applyAlignment="1"/>
    <xf numFmtId="170" fontId="38" fillId="0" borderId="20" xfId="56" applyNumberFormat="1" applyFont="1" applyFill="1" applyBorder="1" applyAlignment="1">
      <alignment horizontal="right"/>
    </xf>
    <xf numFmtId="3" fontId="38" fillId="0" borderId="11" xfId="0" applyNumberFormat="1" applyFont="1" applyBorder="1" applyAlignment="1">
      <alignment horizontal="right"/>
    </xf>
    <xf numFmtId="165" fontId="38" fillId="0" borderId="20" xfId="0" applyNumberFormat="1" applyFont="1" applyBorder="1" applyAlignment="1">
      <alignment horizontal="right"/>
    </xf>
    <xf numFmtId="3" fontId="38" fillId="0" borderId="20" xfId="0" applyNumberFormat="1" applyFont="1" applyBorder="1" applyAlignment="1" applyProtection="1">
      <alignment horizontal="center"/>
      <protection locked="0"/>
    </xf>
    <xf numFmtId="169" fontId="38" fillId="0" borderId="20" xfId="0" applyNumberFormat="1" applyFont="1" applyBorder="1" applyAlignment="1" applyProtection="1">
      <alignment horizontal="right"/>
      <protection locked="0"/>
    </xf>
    <xf numFmtId="10" fontId="38" fillId="0" borderId="20" xfId="92" applyNumberFormat="1" applyFont="1" applyFill="1" applyBorder="1" applyAlignment="1" applyProtection="1">
      <alignment horizontal="right"/>
      <protection locked="0"/>
    </xf>
    <xf numFmtId="170" fontId="38" fillId="0" borderId="20" xfId="56" applyNumberFormat="1" applyFont="1" applyFill="1" applyBorder="1" applyAlignment="1" applyProtection="1">
      <protection locked="0"/>
    </xf>
    <xf numFmtId="170" fontId="38" fillId="0" borderId="20" xfId="56" applyNumberFormat="1" applyFont="1" applyFill="1" applyBorder="1" applyAlignment="1" applyProtection="1">
      <alignment horizontal="right"/>
      <protection locked="0"/>
    </xf>
    <xf numFmtId="165" fontId="0" fillId="0" borderId="11" xfId="0" applyNumberFormat="1" applyBorder="1" applyAlignment="1">
      <alignment horizontal="right"/>
    </xf>
    <xf numFmtId="169" fontId="0" fillId="0" borderId="12" xfId="0" applyNumberFormat="1" applyBorder="1" applyAlignment="1" applyProtection="1">
      <alignment horizontal="right"/>
      <protection locked="0"/>
    </xf>
    <xf numFmtId="0" fontId="38" fillId="0" borderId="12" xfId="0" applyFont="1" applyBorder="1" applyAlignment="1">
      <alignment horizontal="center" wrapText="1"/>
    </xf>
    <xf numFmtId="0" fontId="38" fillId="0" borderId="20" xfId="0" applyFont="1" applyBorder="1" applyAlignment="1">
      <alignment horizontal="right"/>
    </xf>
    <xf numFmtId="0" fontId="38" fillId="0" borderId="11" xfId="0" applyFont="1" applyBorder="1" applyAlignment="1">
      <alignment horizontal="center"/>
    </xf>
    <xf numFmtId="170" fontId="0" fillId="0" borderId="23" xfId="56" applyNumberFormat="1" applyFont="1" applyFill="1" applyBorder="1" applyAlignment="1">
      <alignment horizontal="right"/>
    </xf>
    <xf numFmtId="170" fontId="0" fillId="0" borderId="12" xfId="56" applyNumberFormat="1" applyFont="1" applyFill="1" applyBorder="1" applyAlignment="1">
      <alignment horizontal="right"/>
    </xf>
    <xf numFmtId="166" fontId="38" fillId="0" borderId="11" xfId="56" applyNumberFormat="1" applyFont="1" applyFill="1" applyBorder="1" applyAlignment="1" applyProtection="1">
      <alignment horizontal="right"/>
      <protection locked="0"/>
    </xf>
    <xf numFmtId="165" fontId="38" fillId="0" borderId="11" xfId="0" applyNumberFormat="1" applyFont="1" applyBorder="1" applyAlignment="1">
      <alignment horizontal="right"/>
    </xf>
    <xf numFmtId="10" fontId="26" fillId="0" borderId="20" xfId="92" applyNumberFormat="1" applyFont="1" applyFill="1" applyBorder="1" applyAlignment="1">
      <alignment horizontal="right"/>
    </xf>
    <xf numFmtId="170" fontId="26" fillId="0" borderId="20" xfId="56" applyNumberFormat="1" applyFont="1" applyFill="1" applyBorder="1" applyAlignment="1"/>
    <xf numFmtId="170" fontId="26" fillId="0" borderId="20" xfId="56" applyNumberFormat="1" applyFont="1" applyFill="1" applyBorder="1" applyAlignment="1">
      <alignment horizontal="right"/>
    </xf>
    <xf numFmtId="0" fontId="38" fillId="0" borderId="30" xfId="0" applyFont="1" applyBorder="1" applyAlignment="1">
      <alignment horizontal="right"/>
    </xf>
    <xf numFmtId="3" fontId="38" fillId="0" borderId="30" xfId="0" applyNumberFormat="1" applyFont="1" applyBorder="1" applyAlignment="1" applyProtection="1">
      <alignment horizontal="center"/>
      <protection locked="0"/>
    </xf>
    <xf numFmtId="169" fontId="38" fillId="0" borderId="30" xfId="0" applyNumberFormat="1" applyFont="1" applyBorder="1" applyAlignment="1" applyProtection="1">
      <alignment horizontal="right"/>
      <protection locked="0"/>
    </xf>
    <xf numFmtId="10" fontId="38" fillId="0" borderId="30" xfId="92" applyNumberFormat="1" applyFont="1" applyFill="1" applyBorder="1" applyAlignment="1" applyProtection="1">
      <alignment horizontal="right"/>
      <protection locked="0"/>
    </xf>
    <xf numFmtId="170" fontId="38" fillId="0" borderId="30" xfId="56" applyNumberFormat="1" applyFont="1" applyFill="1" applyBorder="1" applyAlignment="1" applyProtection="1">
      <protection locked="0"/>
    </xf>
    <xf numFmtId="170" fontId="38" fillId="0" borderId="30" xfId="56" applyNumberFormat="1" applyFont="1" applyFill="1" applyBorder="1" applyAlignment="1" applyProtection="1">
      <alignment horizontal="right"/>
      <protection locked="0"/>
    </xf>
    <xf numFmtId="166" fontId="38" fillId="0" borderId="30" xfId="56" applyNumberFormat="1" applyFont="1" applyFill="1" applyBorder="1" applyAlignment="1" applyProtection="1">
      <alignment horizontal="right"/>
      <protection locked="0"/>
    </xf>
    <xf numFmtId="165" fontId="0" fillId="0" borderId="30" xfId="0" applyNumberFormat="1" applyBorder="1" applyAlignment="1">
      <alignment horizontal="right"/>
    </xf>
    <xf numFmtId="0" fontId="39" fillId="0" borderId="0" xfId="0" applyFont="1"/>
    <xf numFmtId="3" fontId="26" fillId="0" borderId="12" xfId="0" applyNumberFormat="1" applyFont="1" applyBorder="1"/>
    <xf numFmtId="3" fontId="38" fillId="24" borderId="12" xfId="0" applyNumberFormat="1" applyFont="1" applyFill="1" applyBorder="1"/>
    <xf numFmtId="3" fontId="39" fillId="0" borderId="11" xfId="0" applyNumberFormat="1" applyFont="1" applyBorder="1"/>
    <xf numFmtId="0" fontId="34" fillId="26" borderId="11" xfId="0" applyFont="1" applyFill="1" applyBorder="1" applyAlignment="1">
      <alignment horizontal="center" wrapText="1"/>
    </xf>
    <xf numFmtId="165" fontId="39" fillId="0" borderId="11" xfId="0" applyNumberFormat="1" applyFont="1" applyBorder="1"/>
    <xf numFmtId="3" fontId="39" fillId="0" borderId="11" xfId="0" quotePrefix="1" applyNumberFormat="1" applyFont="1" applyBorder="1" applyAlignment="1">
      <alignment horizontal="right"/>
    </xf>
    <xf numFmtId="0" fontId="46" fillId="0" borderId="0" xfId="0" applyFont="1" applyAlignment="1">
      <alignment horizontal="left"/>
    </xf>
    <xf numFmtId="165" fontId="34" fillId="0" borderId="0" xfId="0" applyNumberFormat="1" applyFont="1" applyAlignment="1">
      <alignment wrapText="1"/>
    </xf>
    <xf numFmtId="165" fontId="39" fillId="24" borderId="11" xfId="0" applyNumberFormat="1" applyFont="1" applyFill="1" applyBorder="1"/>
    <xf numFmtId="0" fontId="40" fillId="0" borderId="0" xfId="0" applyFont="1" applyAlignment="1">
      <alignment horizontal="left"/>
    </xf>
    <xf numFmtId="165" fontId="40" fillId="24" borderId="11" xfId="0" applyNumberFormat="1" applyFont="1" applyFill="1" applyBorder="1"/>
    <xf numFmtId="3" fontId="40" fillId="24" borderId="11" xfId="0" applyNumberFormat="1" applyFont="1" applyFill="1" applyBorder="1"/>
    <xf numFmtId="0" fontId="40" fillId="24" borderId="12" xfId="0" applyFont="1" applyFill="1" applyBorder="1" applyAlignment="1">
      <alignment horizontal="left"/>
    </xf>
    <xf numFmtId="165" fontId="39" fillId="24" borderId="20" xfId="0" applyNumberFormat="1" applyFont="1" applyFill="1" applyBorder="1" applyAlignment="1">
      <alignment wrapText="1"/>
    </xf>
    <xf numFmtId="3" fontId="39" fillId="0" borderId="17" xfId="0" quotePrefix="1" applyNumberFormat="1" applyFont="1" applyBorder="1" applyAlignment="1">
      <alignment horizontal="right"/>
    </xf>
    <xf numFmtId="3" fontId="38" fillId="24" borderId="17" xfId="0" applyNumberFormat="1" applyFont="1" applyFill="1" applyBorder="1"/>
    <xf numFmtId="0" fontId="38" fillId="24" borderId="21" xfId="0" applyFont="1" applyFill="1" applyBorder="1"/>
    <xf numFmtId="0" fontId="38" fillId="24" borderId="22" xfId="0" applyFont="1" applyFill="1" applyBorder="1"/>
    <xf numFmtId="0" fontId="38" fillId="24" borderId="13" xfId="0" applyFont="1" applyFill="1" applyBorder="1" applyAlignment="1">
      <alignment horizontal="left"/>
    </xf>
    <xf numFmtId="164" fontId="39" fillId="0" borderId="17" xfId="0" applyNumberFormat="1" applyFont="1" applyBorder="1" applyAlignment="1">
      <alignment horizontal="right" wrapText="1"/>
    </xf>
    <xf numFmtId="0" fontId="40" fillId="24" borderId="23" xfId="0" applyFont="1" applyFill="1" applyBorder="1" applyAlignment="1">
      <alignment horizontal="left" vertical="center" wrapText="1"/>
    </xf>
    <xf numFmtId="0" fontId="38" fillId="0" borderId="40" xfId="0" applyFont="1" applyBorder="1" applyAlignment="1">
      <alignment horizontal="right"/>
    </xf>
    <xf numFmtId="0" fontId="38" fillId="0" borderId="41" xfId="0" applyFont="1" applyBorder="1" applyAlignment="1">
      <alignment horizontal="right"/>
    </xf>
    <xf numFmtId="0" fontId="0" fillId="0" borderId="41" xfId="0" applyBorder="1" applyAlignment="1">
      <alignment horizontal="right"/>
    </xf>
    <xf numFmtId="0" fontId="38" fillId="0" borderId="41" xfId="0" applyFont="1" applyBorder="1" applyAlignment="1">
      <alignment horizontal="center" wrapText="1"/>
    </xf>
    <xf numFmtId="0" fontId="38" fillId="0" borderId="41" xfId="0" applyFont="1" applyBorder="1" applyAlignment="1">
      <alignment horizontal="center"/>
    </xf>
    <xf numFmtId="0" fontId="0" fillId="0" borderId="42" xfId="0" applyBorder="1"/>
    <xf numFmtId="0" fontId="38" fillId="0" borderId="43" xfId="0" applyFont="1" applyBorder="1" applyAlignment="1">
      <alignment horizontal="right"/>
    </xf>
    <xf numFmtId="0" fontId="38" fillId="0" borderId="0" xfId="0" applyFont="1" applyAlignment="1">
      <alignment horizontal="right"/>
    </xf>
    <xf numFmtId="0" fontId="0" fillId="0" borderId="44" xfId="0" applyBorder="1"/>
    <xf numFmtId="0" fontId="0" fillId="0" borderId="43" xfId="0" applyBorder="1" applyAlignment="1">
      <alignment horizontal="right"/>
    </xf>
    <xf numFmtId="0" fontId="0" fillId="0" borderId="43" xfId="0" applyBorder="1" applyAlignment="1">
      <alignment horizontal="right" vertical="center"/>
    </xf>
    <xf numFmtId="0" fontId="0" fillId="0" borderId="0" xfId="0" applyAlignment="1">
      <alignment horizontal="right" vertical="center"/>
    </xf>
    <xf numFmtId="169" fontId="0" fillId="0" borderId="0" xfId="0" applyNumberFormat="1" applyAlignment="1" applyProtection="1">
      <alignment horizontal="right"/>
      <protection locked="0"/>
    </xf>
    <xf numFmtId="3" fontId="0" fillId="0" borderId="0" xfId="0" applyNumberFormat="1" applyAlignment="1" applyProtection="1">
      <alignment horizontal="right"/>
      <protection locked="0"/>
    </xf>
    <xf numFmtId="9" fontId="0" fillId="0" borderId="0" xfId="0" applyNumberFormat="1" applyAlignment="1">
      <alignment horizontal="right"/>
    </xf>
    <xf numFmtId="0" fontId="0" fillId="0" borderId="43" xfId="0" applyBorder="1"/>
    <xf numFmtId="0" fontId="38" fillId="0" borderId="45" xfId="0" applyFont="1" applyBorder="1" applyAlignment="1">
      <alignment horizontal="right"/>
    </xf>
    <xf numFmtId="166" fontId="38" fillId="0" borderId="46" xfId="56" applyNumberFormat="1" applyFont="1" applyFill="1" applyBorder="1" applyAlignment="1" applyProtection="1">
      <alignment horizontal="right"/>
      <protection locked="0"/>
    </xf>
    <xf numFmtId="165" fontId="0" fillId="0" borderId="47" xfId="0" applyNumberFormat="1" applyBorder="1" applyAlignment="1">
      <alignment horizontal="right"/>
    </xf>
    <xf numFmtId="165" fontId="38" fillId="0" borderId="39" xfId="0" applyNumberFormat="1" applyFont="1" applyBorder="1" applyAlignment="1">
      <alignment horizontal="right"/>
    </xf>
    <xf numFmtId="0" fontId="0" fillId="0" borderId="48" xfId="0" applyBorder="1"/>
    <xf numFmtId="0" fontId="0" fillId="0" borderId="40" xfId="0" applyBorder="1" applyAlignment="1">
      <alignment horizontal="right"/>
    </xf>
    <xf numFmtId="0" fontId="0" fillId="0" borderId="41" xfId="0" applyBorder="1" applyAlignment="1">
      <alignment horizontal="center"/>
    </xf>
    <xf numFmtId="169" fontId="0" fillId="0" borderId="41" xfId="0" applyNumberFormat="1" applyBorder="1" applyAlignment="1">
      <alignment horizontal="right"/>
    </xf>
    <xf numFmtId="10" fontId="0" fillId="0" borderId="41" xfId="92" applyNumberFormat="1" applyFont="1" applyFill="1" applyBorder="1" applyAlignment="1">
      <alignment horizontal="right"/>
    </xf>
    <xf numFmtId="170" fontId="0" fillId="0" borderId="41" xfId="56" applyNumberFormat="1" applyFont="1" applyFill="1" applyBorder="1" applyAlignment="1"/>
    <xf numFmtId="170" fontId="0" fillId="0" borderId="41" xfId="56" applyNumberFormat="1" applyFont="1" applyFill="1" applyBorder="1" applyAlignment="1">
      <alignment horizontal="right"/>
    </xf>
    <xf numFmtId="9" fontId="0" fillId="0" borderId="41" xfId="0" applyNumberFormat="1" applyBorder="1" applyAlignment="1">
      <alignment horizontal="right"/>
    </xf>
    <xf numFmtId="0" fontId="0" fillId="0" borderId="45" xfId="0" applyBorder="1" applyAlignment="1">
      <alignment horizontal="right"/>
    </xf>
    <xf numFmtId="0" fontId="0" fillId="0" borderId="11" xfId="0" applyBorder="1" applyAlignment="1">
      <alignment wrapText="1"/>
    </xf>
    <xf numFmtId="164" fontId="39" fillId="28" borderId="11" xfId="82" applyNumberFormat="1" applyFont="1" applyFill="1" applyBorder="1" applyProtection="1">
      <protection locked="0"/>
    </xf>
    <xf numFmtId="3" fontId="39" fillId="28" borderId="11" xfId="82" applyNumberFormat="1" applyFont="1" applyFill="1" applyBorder="1" applyProtection="1">
      <protection locked="0"/>
    </xf>
    <xf numFmtId="0" fontId="0" fillId="0" borderId="11" xfId="0" applyBorder="1" applyAlignment="1">
      <alignment horizontal="center" wrapText="1"/>
    </xf>
    <xf numFmtId="164" fontId="0" fillId="0" borderId="11" xfId="0" applyNumberFormat="1" applyBorder="1" applyAlignment="1" applyProtection="1">
      <alignment horizontal="right"/>
      <protection locked="0"/>
    </xf>
    <xf numFmtId="0" fontId="38" fillId="0" borderId="15" xfId="0" applyFont="1" applyBorder="1" applyAlignment="1">
      <alignment horizontal="center" wrapText="1"/>
    </xf>
    <xf numFmtId="169" fontId="38" fillId="0" borderId="10" xfId="0" applyNumberFormat="1" applyFont="1" applyBorder="1" applyAlignment="1">
      <alignment horizontal="right"/>
    </xf>
    <xf numFmtId="0" fontId="0" fillId="0" borderId="49" xfId="0" applyBorder="1" applyAlignment="1">
      <alignment horizontal="center"/>
    </xf>
    <xf numFmtId="169" fontId="38" fillId="0" borderId="50" xfId="0" applyNumberFormat="1" applyFont="1" applyBorder="1" applyAlignment="1">
      <alignment horizontal="right"/>
    </xf>
    <xf numFmtId="3" fontId="0" fillId="0" borderId="49" xfId="0" applyNumberFormat="1" applyBorder="1"/>
    <xf numFmtId="170" fontId="0" fillId="0" borderId="11" xfId="56" applyNumberFormat="1" applyFont="1" applyFill="1" applyBorder="1" applyAlignment="1" applyProtection="1">
      <alignment horizontal="center"/>
      <protection locked="0"/>
    </xf>
    <xf numFmtId="170" fontId="0" fillId="0" borderId="17" xfId="56" applyNumberFormat="1" applyFont="1" applyFill="1" applyBorder="1" applyAlignment="1">
      <alignment horizontal="center"/>
    </xf>
    <xf numFmtId="170" fontId="0" fillId="0" borderId="31" xfId="56" applyNumberFormat="1" applyFont="1" applyFill="1" applyBorder="1" applyAlignment="1">
      <alignment horizontal="center"/>
    </xf>
    <xf numFmtId="6" fontId="0" fillId="0" borderId="0" xfId="0" applyNumberFormat="1"/>
    <xf numFmtId="0" fontId="38" fillId="0" borderId="44" xfId="0" applyFont="1" applyBorder="1" applyAlignment="1">
      <alignment horizontal="center"/>
    </xf>
    <xf numFmtId="170" fontId="35" fillId="26" borderId="20" xfId="56" applyNumberFormat="1" applyFont="1" applyFill="1" applyBorder="1" applyAlignment="1">
      <alignment horizontal="center" vertical="center"/>
    </xf>
    <xf numFmtId="170" fontId="0" fillId="0" borderId="0" xfId="56" applyNumberFormat="1" applyFont="1" applyFill="1" applyBorder="1" applyAlignment="1">
      <alignment horizontal="center"/>
    </xf>
    <xf numFmtId="170" fontId="38" fillId="0" borderId="41" xfId="56" applyNumberFormat="1" applyFont="1" applyBorder="1" applyAlignment="1">
      <alignment horizontal="center"/>
    </xf>
    <xf numFmtId="170" fontId="38" fillId="0" borderId="0" xfId="56" applyNumberFormat="1" applyFont="1" applyBorder="1" applyAlignment="1">
      <alignment horizontal="center"/>
    </xf>
    <xf numFmtId="49" fontId="0" fillId="0" borderId="0" xfId="0" applyNumberFormat="1"/>
    <xf numFmtId="0" fontId="0" fillId="0" borderId="49" xfId="0" applyBorder="1"/>
    <xf numFmtId="0" fontId="0" fillId="0" borderId="52" xfId="0" applyBorder="1"/>
    <xf numFmtId="0" fontId="0" fillId="0" borderId="52" xfId="0" applyBorder="1" applyAlignment="1">
      <alignment horizontal="right"/>
    </xf>
    <xf numFmtId="0" fontId="0" fillId="0" borderId="53" xfId="0" applyBorder="1"/>
    <xf numFmtId="0" fontId="0" fillId="0" borderId="51" xfId="0" applyBorder="1"/>
    <xf numFmtId="0" fontId="0" fillId="0" borderId="51" xfId="0" applyBorder="1" applyAlignment="1">
      <alignment horizontal="right"/>
    </xf>
    <xf numFmtId="0" fontId="0" fillId="0" borderId="50" xfId="0" applyBorder="1"/>
    <xf numFmtId="170" fontId="0" fillId="0" borderId="0" xfId="56" applyNumberFormat="1" applyFont="1" applyAlignment="1">
      <alignment horizontal="center"/>
    </xf>
    <xf numFmtId="0" fontId="0" fillId="0" borderId="14" xfId="0" applyBorder="1" applyAlignment="1">
      <alignment vertical="top"/>
    </xf>
    <xf numFmtId="0" fontId="0" fillId="0" borderId="0" xfId="0" applyAlignment="1">
      <alignment horizontal="left" vertical="top" wrapText="1"/>
    </xf>
    <xf numFmtId="0" fontId="0" fillId="0" borderId="18" xfId="0" applyBorder="1" applyAlignment="1">
      <alignment horizontal="left" vertical="top" wrapText="1"/>
    </xf>
    <xf numFmtId="0" fontId="28" fillId="0" borderId="23" xfId="0" applyFont="1" applyBorder="1"/>
    <xf numFmtId="9" fontId="0" fillId="0" borderId="19" xfId="92" applyFont="1" applyBorder="1"/>
    <xf numFmtId="169" fontId="0" fillId="0" borderId="11" xfId="92" applyNumberFormat="1" applyFont="1" applyBorder="1"/>
    <xf numFmtId="3" fontId="0" fillId="0" borderId="11" xfId="92" applyNumberFormat="1" applyFont="1" applyBorder="1"/>
    <xf numFmtId="10" fontId="0" fillId="0" borderId="11" xfId="92" applyNumberFormat="1" applyFont="1" applyBorder="1"/>
    <xf numFmtId="171" fontId="0" fillId="0" borderId="0" xfId="0" applyNumberFormat="1"/>
    <xf numFmtId="2" fontId="0" fillId="0" borderId="0" xfId="0" applyNumberFormat="1"/>
    <xf numFmtId="170" fontId="0" fillId="0" borderId="19" xfId="56" applyNumberFormat="1" applyFont="1" applyFill="1" applyBorder="1" applyAlignment="1">
      <alignment horizontal="center"/>
    </xf>
    <xf numFmtId="170" fontId="0" fillId="0" borderId="16" xfId="56" applyNumberFormat="1" applyFont="1" applyFill="1" applyBorder="1" applyAlignment="1">
      <alignment horizontal="center"/>
    </xf>
    <xf numFmtId="170" fontId="0" fillId="0" borderId="11" xfId="56" applyNumberFormat="1" applyFont="1" applyFill="1" applyBorder="1" applyAlignment="1">
      <alignment horizontal="center"/>
    </xf>
    <xf numFmtId="165" fontId="0" fillId="0" borderId="10" xfId="0" applyNumberFormat="1" applyBorder="1" applyAlignment="1">
      <alignment horizontal="right"/>
    </xf>
    <xf numFmtId="170" fontId="0" fillId="0" borderId="32" xfId="56" applyNumberFormat="1" applyFont="1" applyBorder="1" applyAlignment="1">
      <alignment horizontal="center"/>
    </xf>
    <xf numFmtId="170" fontId="0" fillId="0" borderId="10" xfId="56" applyNumberFormat="1" applyFont="1" applyBorder="1" applyAlignment="1">
      <alignment horizontal="center"/>
    </xf>
    <xf numFmtId="170" fontId="0" fillId="24" borderId="32" xfId="56" applyNumberFormat="1" applyFont="1" applyFill="1" applyBorder="1" applyAlignment="1">
      <alignment horizontal="center"/>
    </xf>
    <xf numFmtId="170" fontId="27" fillId="0" borderId="20" xfId="56" applyNumberFormat="1" applyFont="1" applyFill="1" applyBorder="1" applyAlignment="1" applyProtection="1">
      <alignment horizontal="center"/>
    </xf>
    <xf numFmtId="170" fontId="27" fillId="0" borderId="0" xfId="56" applyNumberFormat="1" applyFont="1" applyBorder="1" applyAlignment="1" applyProtection="1">
      <alignment horizontal="center" wrapText="1"/>
    </xf>
    <xf numFmtId="170" fontId="0" fillId="0" borderId="0" xfId="56" applyNumberFormat="1" applyFont="1" applyBorder="1" applyAlignment="1">
      <alignment horizontal="center"/>
    </xf>
    <xf numFmtId="170" fontId="38" fillId="0" borderId="30" xfId="56" applyNumberFormat="1" applyFont="1" applyBorder="1" applyAlignment="1">
      <alignment horizontal="center"/>
    </xf>
    <xf numFmtId="170" fontId="0" fillId="0" borderId="41" xfId="56" applyNumberFormat="1" applyFont="1" applyBorder="1" applyAlignment="1">
      <alignment horizontal="center"/>
    </xf>
    <xf numFmtId="170" fontId="0" fillId="0" borderId="30" xfId="56" applyNumberFormat="1" applyFont="1" applyBorder="1" applyAlignment="1">
      <alignment horizontal="center"/>
    </xf>
    <xf numFmtId="0" fontId="0" fillId="0" borderId="0" xfId="0" applyAlignment="1">
      <alignment horizontal="center" vertical="top" wrapText="1"/>
    </xf>
    <xf numFmtId="170" fontId="0" fillId="24" borderId="0" xfId="56" applyNumberFormat="1" applyFont="1" applyFill="1" applyBorder="1" applyAlignment="1">
      <alignment horizontal="center"/>
    </xf>
    <xf numFmtId="170" fontId="0" fillId="24" borderId="0" xfId="56" applyNumberFormat="1" applyFont="1" applyFill="1" applyAlignment="1">
      <alignment horizontal="center"/>
    </xf>
    <xf numFmtId="0" fontId="29" fillId="0" borderId="14" xfId="0" applyFont="1" applyBorder="1"/>
    <xf numFmtId="0" fontId="29" fillId="24" borderId="12" xfId="0" applyFont="1" applyFill="1" applyBorder="1"/>
    <xf numFmtId="0" fontId="0" fillId="24" borderId="17" xfId="0" applyFill="1" applyBorder="1"/>
    <xf numFmtId="0" fontId="0" fillId="24" borderId="20" xfId="0" applyFill="1" applyBorder="1"/>
    <xf numFmtId="169" fontId="38" fillId="24" borderId="11" xfId="0" applyNumberFormat="1" applyFont="1" applyFill="1" applyBorder="1"/>
    <xf numFmtId="170" fontId="0" fillId="0" borderId="31" xfId="56" applyNumberFormat="1" applyFont="1" applyBorder="1" applyAlignment="1">
      <alignment horizontal="center"/>
    </xf>
    <xf numFmtId="9" fontId="0" fillId="0" borderId="20" xfId="0" applyNumberFormat="1" applyBorder="1" applyAlignment="1">
      <alignment horizontal="right"/>
    </xf>
    <xf numFmtId="170" fontId="0" fillId="0" borderId="54" xfId="56" applyNumberFormat="1" applyFont="1" applyBorder="1" applyAlignment="1">
      <alignment horizontal="center"/>
    </xf>
    <xf numFmtId="0" fontId="29" fillId="0" borderId="12" xfId="0" applyFont="1" applyBorder="1"/>
    <xf numFmtId="0" fontId="38" fillId="0" borderId="20" xfId="0" applyFont="1" applyBorder="1"/>
    <xf numFmtId="169" fontId="38" fillId="0" borderId="11" xfId="92" applyNumberFormat="1" applyFont="1" applyBorder="1"/>
    <xf numFmtId="0" fontId="0" fillId="28" borderId="31" xfId="0" applyFill="1" applyBorder="1" applyAlignment="1" applyProtection="1">
      <alignment horizontal="right"/>
      <protection locked="0"/>
    </xf>
    <xf numFmtId="0" fontId="0" fillId="28" borderId="50" xfId="0" applyFill="1" applyBorder="1" applyAlignment="1" applyProtection="1">
      <alignment horizontal="right"/>
      <protection locked="0"/>
    </xf>
    <xf numFmtId="6" fontId="0" fillId="28" borderId="31" xfId="0" applyNumberFormat="1" applyFill="1" applyBorder="1" applyProtection="1">
      <protection locked="0"/>
    </xf>
    <xf numFmtId="10" fontId="26" fillId="28" borderId="11" xfId="92" applyNumberFormat="1" applyFont="1" applyFill="1" applyBorder="1" applyAlignment="1" applyProtection="1">
      <alignment horizontal="right"/>
      <protection locked="0"/>
    </xf>
    <xf numFmtId="10" fontId="26" fillId="28" borderId="19" xfId="92" applyNumberFormat="1" applyFont="1" applyFill="1" applyBorder="1" applyAlignment="1" applyProtection="1">
      <alignment horizontal="right"/>
      <protection locked="0"/>
    </xf>
    <xf numFmtId="10" fontId="26" fillId="28" borderId="18" xfId="92" applyNumberFormat="1" applyFont="1" applyFill="1" applyBorder="1" applyAlignment="1" applyProtection="1">
      <alignment horizontal="right"/>
      <protection locked="0"/>
    </xf>
    <xf numFmtId="3" fontId="0" fillId="28" borderId="19" xfId="0" applyNumberFormat="1" applyFill="1" applyBorder="1" applyProtection="1">
      <protection locked="0"/>
    </xf>
    <xf numFmtId="0" fontId="45" fillId="0" borderId="23" xfId="72" applyFont="1" applyFill="1" applyBorder="1" applyAlignment="1" applyProtection="1"/>
    <xf numFmtId="170" fontId="27" fillId="0" borderId="10" xfId="56" applyNumberFormat="1" applyFont="1" applyFill="1" applyBorder="1" applyAlignment="1" applyProtection="1">
      <alignment horizontal="center"/>
    </xf>
    <xf numFmtId="10" fontId="0" fillId="0" borderId="17" xfId="92" applyNumberFormat="1" applyFont="1" applyFill="1" applyBorder="1" applyProtection="1">
      <protection locked="0"/>
    </xf>
    <xf numFmtId="0" fontId="0" fillId="0" borderId="10" xfId="0" applyBorder="1" applyAlignment="1">
      <alignment horizontal="right" vertical="center"/>
    </xf>
    <xf numFmtId="0" fontId="0" fillId="0" borderId="15" xfId="0" applyBorder="1"/>
    <xf numFmtId="10" fontId="26" fillId="0" borderId="17" xfId="92" applyNumberFormat="1" applyFont="1" applyFill="1" applyBorder="1"/>
    <xf numFmtId="3" fontId="0" fillId="0" borderId="17" xfId="0" applyNumberFormat="1" applyBorder="1" applyAlignment="1">
      <alignment horizontal="right"/>
    </xf>
    <xf numFmtId="9" fontId="0" fillId="28" borderId="11" xfId="0" applyNumberFormat="1" applyFill="1" applyBorder="1" applyProtection="1">
      <protection locked="0"/>
    </xf>
    <xf numFmtId="0" fontId="0" fillId="0" borderId="12" xfId="0" applyBorder="1" applyAlignment="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0" fillId="0" borderId="0" xfId="0" applyAlignment="1">
      <alignment horizontal="left" vertical="top" wrapText="1"/>
    </xf>
    <xf numFmtId="0" fontId="0" fillId="0" borderId="18" xfId="0" applyBorder="1" applyAlignment="1">
      <alignment horizontal="left" vertical="top" wrapText="1"/>
    </xf>
    <xf numFmtId="0" fontId="38" fillId="32" borderId="12" xfId="82" applyFont="1" applyFill="1" applyBorder="1" applyAlignment="1">
      <alignment horizontal="center" vertical="center"/>
    </xf>
    <xf numFmtId="0" fontId="38" fillId="32" borderId="20" xfId="82" applyFont="1" applyFill="1" applyBorder="1" applyAlignment="1">
      <alignment horizontal="center" vertical="center"/>
    </xf>
    <xf numFmtId="0" fontId="38" fillId="32" borderId="17" xfId="82" applyFont="1" applyFill="1" applyBorder="1" applyAlignment="1">
      <alignment horizontal="center" vertical="center"/>
    </xf>
    <xf numFmtId="0" fontId="46" fillId="30" borderId="23" xfId="82" applyFont="1" applyFill="1" applyBorder="1" applyAlignment="1">
      <alignment horizontal="center"/>
    </xf>
    <xf numFmtId="0" fontId="46" fillId="30" borderId="10" xfId="82" applyFont="1" applyFill="1" applyBorder="1" applyAlignment="1">
      <alignment horizontal="center"/>
    </xf>
    <xf numFmtId="0" fontId="46" fillId="30"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0"/>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Medical%20technologies/In%20development/MT582%20Kurin%20Lock%20for%20blood%20collection/Workings/Kurin%20lock%2023.04.24.xlsx" TargetMode="External"/><Relationship Id="rId1" Type="http://schemas.openxmlformats.org/officeDocument/2006/relationships/externalLinkPath" Target="https://niceuk.sharepoint.com/sites/Resource_Impact_Assessment/Shared%20Documents/Medical%20technologies/In%20development/MT582%20Kurin%20Lock%20for%20blood%20collection/Publication/Kurin%20lock%2023.04.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Inputs and eligible population"/>
      <sheetName val="Summary"/>
      <sheetName val="Unit costs"/>
      <sheetName val="Population selection"/>
      <sheetName val="Financial impact (cash)"/>
      <sheetName val="Capacity (local prices)"/>
      <sheetName val="Capacity (national prices)"/>
      <sheetName val="payscales"/>
    </sheetNames>
    <sheetDataSet>
      <sheetData sheetId="0"/>
      <sheetData sheetId="1"/>
      <sheetData sheetId="2">
        <row r="66">
          <cell r="D66" t="str">
            <v>People without bacteria growth from blood culture initiated with empirical antibiotics</v>
          </cell>
        </row>
      </sheetData>
      <sheetData sheetId="3"/>
      <sheetData sheetId="4">
        <row r="1">
          <cell r="B1" t="str">
            <v>Kurin Lock for Blood Culture Collection</v>
          </cell>
        </row>
      </sheetData>
      <sheetData sheetId="5">
        <row r="5">
          <cell r="L5" t="str">
            <v>Per 100,000 population</v>
          </cell>
        </row>
        <row r="539">
          <cell r="B539" t="str">
            <v>Antrim and Newtownabbey</v>
          </cell>
        </row>
        <row r="540">
          <cell r="B540" t="str">
            <v>Ards and North Down</v>
          </cell>
        </row>
        <row r="541">
          <cell r="B541" t="str">
            <v>Armagh City, Banbridge and Craigavon</v>
          </cell>
        </row>
        <row r="542">
          <cell r="B542" t="str">
            <v>Belfast</v>
          </cell>
        </row>
        <row r="543">
          <cell r="B543" t="str">
            <v>Causeway Coast and Glens</v>
          </cell>
        </row>
        <row r="544">
          <cell r="B544" t="str">
            <v>Derry City and Strabane</v>
          </cell>
        </row>
        <row r="545">
          <cell r="B545" t="str">
            <v>Fermanagh and Omagh</v>
          </cell>
        </row>
        <row r="546">
          <cell r="B546" t="str">
            <v>Lisburn and Castlereagh</v>
          </cell>
        </row>
        <row r="547">
          <cell r="B547" t="str">
            <v>Mid and East Antrim</v>
          </cell>
        </row>
        <row r="548">
          <cell r="B548" t="str">
            <v>Mid Ulster</v>
          </cell>
        </row>
        <row r="549">
          <cell r="B549" t="str">
            <v>Newry, Mourne and Down</v>
          </cell>
        </row>
      </sheetData>
      <sheetData sheetId="6">
        <row r="19">
          <cell r="B19" t="str">
            <v>People receiving antibiotics for 10 days</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projections/bulletins/nationalpopulationprojections/2021basedinteri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4224-AAB4-4C58-AB50-858F88D35C5C}">
  <sheetPr>
    <tabColor theme="1" tint="0.14999847407452621"/>
    <pageSetUpPr fitToPage="1"/>
  </sheetPr>
  <dimension ref="B2:O25"/>
  <sheetViews>
    <sheetView showGridLines="0" tabSelected="1" zoomScale="80" zoomScaleNormal="80" zoomScaleSheetLayoutView="80" workbookViewId="0">
      <selection activeCell="C2" sqref="C2"/>
    </sheetView>
  </sheetViews>
  <sheetFormatPr defaultRowHeight="14.5"/>
  <cols>
    <col min="1" max="1" width="1.453125" customWidth="1"/>
    <col min="2" max="2" width="1.81640625" customWidth="1"/>
    <col min="14" max="14" width="8.81640625" customWidth="1"/>
    <col min="15" max="15" width="1.54296875" customWidth="1"/>
    <col min="16" max="16" width="1.453125" customWidth="1"/>
    <col min="21" max="21" width="31" customWidth="1"/>
  </cols>
  <sheetData>
    <row r="2" spans="2:15">
      <c r="B2" s="27"/>
      <c r="C2" s="66"/>
      <c r="D2" s="66"/>
      <c r="E2" s="66"/>
      <c r="F2" s="66"/>
      <c r="G2" s="66"/>
      <c r="H2" s="66"/>
      <c r="I2" s="66"/>
      <c r="J2" s="66"/>
      <c r="K2" s="66"/>
      <c r="L2" s="66"/>
      <c r="M2" s="66"/>
      <c r="N2" s="66"/>
      <c r="O2" s="17"/>
    </row>
    <row r="3" spans="2:15">
      <c r="B3" s="20"/>
      <c r="C3" s="28"/>
      <c r="D3" s="28"/>
      <c r="E3" s="28"/>
      <c r="F3" s="28"/>
      <c r="G3" s="28"/>
      <c r="H3" s="28"/>
      <c r="I3" s="28"/>
      <c r="J3" s="28"/>
      <c r="K3" s="28"/>
      <c r="L3" s="28"/>
      <c r="M3" s="28"/>
      <c r="N3" s="28"/>
      <c r="O3" s="19"/>
    </row>
    <row r="4" spans="2:15" ht="31">
      <c r="B4" s="20"/>
      <c r="C4" s="29" t="s">
        <v>0</v>
      </c>
      <c r="D4" s="28"/>
      <c r="E4" s="28"/>
      <c r="F4" s="28"/>
      <c r="G4" s="28"/>
      <c r="H4" s="28"/>
      <c r="I4" s="28"/>
      <c r="J4" s="28"/>
      <c r="K4" s="28"/>
      <c r="L4" s="28"/>
      <c r="M4" s="28"/>
      <c r="N4" s="28"/>
      <c r="O4" s="19"/>
    </row>
    <row r="5" spans="2:15">
      <c r="B5" s="20"/>
      <c r="C5" s="28"/>
      <c r="D5" s="28"/>
      <c r="E5" s="28"/>
      <c r="F5" s="28"/>
      <c r="G5" s="28"/>
      <c r="H5" s="28"/>
      <c r="I5" s="28"/>
      <c r="J5" s="28"/>
      <c r="K5" s="28"/>
      <c r="L5" s="28"/>
      <c r="M5" s="28"/>
      <c r="N5" s="28"/>
      <c r="O5" s="19"/>
    </row>
    <row r="6" spans="2:15">
      <c r="B6" s="20"/>
      <c r="O6" s="19"/>
    </row>
    <row r="7" spans="2:15" ht="31">
      <c r="B7" s="20"/>
      <c r="C7" s="31" t="s">
        <v>1</v>
      </c>
      <c r="O7" s="19"/>
    </row>
    <row r="8" spans="2:15" ht="31">
      <c r="B8" s="20"/>
      <c r="C8" s="70" t="s">
        <v>237</v>
      </c>
      <c r="O8" s="19"/>
    </row>
    <row r="9" spans="2:15" ht="31">
      <c r="B9" s="20"/>
      <c r="C9" s="70" t="s">
        <v>238</v>
      </c>
      <c r="O9" s="19"/>
    </row>
    <row r="10" spans="2:15" ht="31">
      <c r="B10" s="20"/>
      <c r="C10" s="70"/>
      <c r="O10" s="19"/>
    </row>
    <row r="11" spans="2:15" ht="31">
      <c r="B11" s="20"/>
      <c r="C11" s="179" t="s">
        <v>239</v>
      </c>
      <c r="D11" s="180"/>
      <c r="E11" s="181"/>
      <c r="F11" s="181"/>
      <c r="G11" s="181"/>
      <c r="H11" s="181"/>
      <c r="I11" s="181"/>
      <c r="J11" s="181"/>
      <c r="K11" s="181"/>
      <c r="L11" s="181"/>
      <c r="M11" s="181"/>
      <c r="N11" s="181"/>
      <c r="O11" s="182"/>
    </row>
    <row r="12" spans="2:15" ht="31">
      <c r="B12" s="20"/>
      <c r="D12" s="32"/>
      <c r="O12" s="19"/>
    </row>
    <row r="13" spans="2:15" ht="31">
      <c r="B13" s="20"/>
      <c r="C13" s="30" t="s">
        <v>240</v>
      </c>
      <c r="D13" s="32"/>
      <c r="O13" s="19"/>
    </row>
    <row r="14" spans="2:15" ht="23.25" customHeight="1">
      <c r="B14" s="20"/>
      <c r="C14" s="30"/>
      <c r="D14" s="32"/>
      <c r="O14" s="19"/>
    </row>
    <row r="15" spans="2:15" ht="21.75" customHeight="1">
      <c r="B15" s="20"/>
      <c r="C15" s="30" t="s">
        <v>330</v>
      </c>
      <c r="D15" s="32"/>
      <c r="O15" s="19"/>
    </row>
    <row r="16" spans="2:15" ht="31">
      <c r="B16" s="20"/>
      <c r="D16" s="32"/>
      <c r="O16" s="19"/>
    </row>
    <row r="17" spans="2:15">
      <c r="B17" s="20"/>
      <c r="C17" s="12" t="s">
        <v>2</v>
      </c>
      <c r="D17" s="38"/>
      <c r="E17" s="25"/>
      <c r="F17" s="52" t="s">
        <v>241</v>
      </c>
      <c r="G17" s="38"/>
      <c r="H17" s="38"/>
      <c r="I17" s="38"/>
      <c r="J17" s="38"/>
      <c r="K17" s="38"/>
      <c r="L17" s="38"/>
      <c r="M17" s="25"/>
      <c r="O17" s="19"/>
    </row>
    <row r="18" spans="2:15">
      <c r="B18" s="20"/>
      <c r="C18" s="12" t="s">
        <v>3</v>
      </c>
      <c r="D18" s="38"/>
      <c r="E18" s="25"/>
      <c r="F18" s="52" t="s">
        <v>242</v>
      </c>
      <c r="G18" s="38"/>
      <c r="H18" s="38"/>
      <c r="I18" s="38"/>
      <c r="J18" s="38"/>
      <c r="K18" s="38"/>
      <c r="L18" s="38"/>
      <c r="M18" s="25"/>
      <c r="O18" s="19"/>
    </row>
    <row r="19" spans="2:15">
      <c r="B19" s="20"/>
      <c r="C19" s="12" t="s">
        <v>4</v>
      </c>
      <c r="D19" s="38"/>
      <c r="E19" s="25"/>
      <c r="F19" s="52" t="s">
        <v>243</v>
      </c>
      <c r="G19" s="38"/>
      <c r="H19" s="38"/>
      <c r="I19" s="38"/>
      <c r="J19" s="38"/>
      <c r="K19" s="38"/>
      <c r="L19" s="38"/>
      <c r="M19" s="25"/>
      <c r="O19" s="19"/>
    </row>
    <row r="20" spans="2:15">
      <c r="B20" s="20"/>
      <c r="C20" s="12" t="s">
        <v>5</v>
      </c>
      <c r="D20" s="38"/>
      <c r="E20" s="25"/>
      <c r="F20" s="52" t="s">
        <v>244</v>
      </c>
      <c r="G20" s="38"/>
      <c r="H20" s="38"/>
      <c r="I20" s="38"/>
      <c r="J20" s="38"/>
      <c r="K20" s="38"/>
      <c r="L20" s="38"/>
      <c r="M20" s="25"/>
      <c r="O20" s="19"/>
    </row>
    <row r="21" spans="2:15">
      <c r="B21" s="20"/>
      <c r="C21" s="52" t="s">
        <v>6</v>
      </c>
      <c r="D21" s="38"/>
      <c r="E21" s="25"/>
      <c r="F21" s="52" t="s">
        <v>245</v>
      </c>
      <c r="G21" s="38"/>
      <c r="H21" s="38"/>
      <c r="I21" s="38"/>
      <c r="J21" s="38"/>
      <c r="K21" s="38"/>
      <c r="L21" s="38"/>
      <c r="M21" s="25"/>
      <c r="O21" s="19"/>
    </row>
    <row r="22" spans="2:15">
      <c r="B22" s="20"/>
      <c r="C22" s="12" t="s">
        <v>7</v>
      </c>
      <c r="D22" s="38"/>
      <c r="E22" s="25"/>
      <c r="F22" s="52" t="s">
        <v>246</v>
      </c>
      <c r="G22" s="38"/>
      <c r="H22" s="38"/>
      <c r="I22" s="38"/>
      <c r="J22" s="38"/>
      <c r="K22" s="38"/>
      <c r="L22" s="38"/>
      <c r="M22" s="25"/>
      <c r="O22" s="19"/>
    </row>
    <row r="23" spans="2:15">
      <c r="B23" s="20"/>
      <c r="C23" s="12" t="s">
        <v>8</v>
      </c>
      <c r="D23" s="38"/>
      <c r="E23" s="25"/>
      <c r="F23" s="52" t="s">
        <v>247</v>
      </c>
      <c r="G23" s="38"/>
      <c r="H23" s="38"/>
      <c r="I23" s="38"/>
      <c r="J23" s="38"/>
      <c r="K23" s="38"/>
      <c r="L23" s="38"/>
      <c r="M23" s="25"/>
      <c r="O23" s="19"/>
    </row>
    <row r="24" spans="2:15">
      <c r="B24" s="20"/>
      <c r="C24" s="12" t="s">
        <v>9</v>
      </c>
      <c r="D24" s="38"/>
      <c r="E24" s="25"/>
      <c r="F24" s="52" t="s">
        <v>248</v>
      </c>
      <c r="G24" s="38"/>
      <c r="H24" s="38"/>
      <c r="I24" s="38"/>
      <c r="J24" s="38"/>
      <c r="K24" s="38"/>
      <c r="L24" s="38"/>
      <c r="M24" s="25"/>
      <c r="O24" s="19"/>
    </row>
    <row r="25" spans="2:15">
      <c r="B25" s="21"/>
      <c r="C25" s="22"/>
      <c r="D25" s="22"/>
      <c r="E25" s="22"/>
      <c r="F25" s="22"/>
      <c r="G25" s="22"/>
      <c r="H25" s="22"/>
      <c r="I25" s="22"/>
      <c r="J25" s="22"/>
      <c r="K25" s="22"/>
      <c r="L25" s="22"/>
      <c r="M25" s="22"/>
      <c r="N25" s="22"/>
      <c r="O25" s="23"/>
    </row>
  </sheetData>
  <sheetProtection algorithmName="SHA-512" hashValue="8/l/zEZpPIHS2fmuF11iYkyzuw7qffCUmVIvuV2jaO5hegSzqYcY2yeTcujppO49ZWgim7qDlihIyIUeyCbu2g==" saltValue="K6AJGxAg984/x6u4uxz7mw==" spinCount="100000" sheet="1" objects="1" scenarios="1"/>
  <pageMargins left="0.23622047244094491" right="0.23622047244094491" top="0.74803149606299213" bottom="0.74803149606299213" header="0.31496062992125984" footer="0.31496062992125984"/>
  <pageSetup paperSize="9" scale="87" fitToHeight="2" orientation="portrait" verticalDpi="300" r:id="rId1"/>
  <headerFooter>
    <oddHeader>&amp;R&amp;G</oddHeader>
    <oddFooter>&amp;CDraft.  Subject to change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c r="B2" s="89" t="s">
        <v>10</v>
      </c>
      <c r="C2" s="87"/>
      <c r="D2" s="87"/>
      <c r="E2" s="87"/>
      <c r="F2" s="87"/>
      <c r="G2" s="87"/>
      <c r="H2" s="87"/>
      <c r="I2" s="87"/>
      <c r="J2" s="87"/>
      <c r="K2" s="87"/>
      <c r="L2" s="87"/>
      <c r="M2" s="87"/>
      <c r="N2" s="87"/>
      <c r="O2" s="87"/>
      <c r="P2" s="88"/>
    </row>
    <row r="5" spans="2:17">
      <c r="B5" s="44" t="s">
        <v>219</v>
      </c>
      <c r="C5" s="90"/>
      <c r="D5" s="90"/>
      <c r="E5" s="90"/>
      <c r="F5" s="90"/>
      <c r="G5" s="90"/>
      <c r="H5" s="90"/>
      <c r="I5" s="90"/>
      <c r="J5" s="90"/>
      <c r="K5" s="90"/>
      <c r="L5" s="90"/>
      <c r="M5" s="90"/>
      <c r="N5" s="90"/>
      <c r="O5" s="90"/>
      <c r="P5" s="45"/>
    </row>
    <row r="6" spans="2:17">
      <c r="B6" s="49" t="s">
        <v>220</v>
      </c>
      <c r="C6" s="43"/>
      <c r="D6" s="43"/>
      <c r="E6" s="43"/>
      <c r="F6" s="43"/>
      <c r="G6" s="43"/>
      <c r="H6" s="43"/>
      <c r="I6" s="43"/>
      <c r="J6" s="43"/>
      <c r="K6" s="43"/>
      <c r="L6" s="43"/>
      <c r="M6" s="43"/>
      <c r="N6" s="43"/>
      <c r="O6" s="43"/>
      <c r="P6" s="50"/>
    </row>
    <row r="7" spans="2:17">
      <c r="B7" s="47" t="s">
        <v>218</v>
      </c>
      <c r="C7" s="46"/>
      <c r="D7" s="46"/>
      <c r="E7" s="46"/>
      <c r="F7" s="46"/>
      <c r="G7" s="46"/>
      <c r="H7" s="46"/>
      <c r="I7" s="46"/>
      <c r="J7" s="46"/>
      <c r="K7" s="46"/>
      <c r="L7" s="46"/>
      <c r="M7" s="46"/>
      <c r="N7" s="46"/>
      <c r="O7" s="46"/>
      <c r="P7" s="48"/>
    </row>
    <row r="9" spans="2:17">
      <c r="N9" s="95"/>
      <c r="O9" s="95"/>
      <c r="P9" s="95"/>
    </row>
    <row r="10" spans="2:17">
      <c r="B10" s="44"/>
      <c r="C10" s="90"/>
      <c r="D10" s="90"/>
      <c r="E10" s="90"/>
      <c r="F10" s="90"/>
      <c r="G10" s="90"/>
      <c r="H10" s="45"/>
      <c r="J10" s="44"/>
      <c r="K10" s="90"/>
      <c r="L10" s="90"/>
      <c r="M10" s="90"/>
      <c r="N10" s="43"/>
      <c r="O10" s="43"/>
      <c r="P10" s="43"/>
      <c r="Q10" s="20"/>
    </row>
    <row r="11" spans="2:17" ht="46.5">
      <c r="B11" s="49"/>
      <c r="C11" s="82" t="s">
        <v>11</v>
      </c>
      <c r="D11" s="98"/>
      <c r="E11" s="82" t="s">
        <v>12</v>
      </c>
      <c r="F11" s="98"/>
      <c r="G11" s="94" t="s">
        <v>13</v>
      </c>
      <c r="H11" s="99"/>
      <c r="I11" s="83"/>
      <c r="J11" s="102"/>
      <c r="K11" s="84" t="s">
        <v>14</v>
      </c>
      <c r="L11" s="102"/>
      <c r="M11" s="84" t="s">
        <v>15</v>
      </c>
      <c r="N11" s="98"/>
      <c r="O11" s="84" t="s">
        <v>16</v>
      </c>
      <c r="P11" s="98"/>
      <c r="Q11" s="20"/>
    </row>
    <row r="12" spans="2:17">
      <c r="B12" s="49"/>
      <c r="C12" s="43"/>
      <c r="D12" s="43"/>
      <c r="E12" s="43"/>
      <c r="F12" s="43"/>
      <c r="G12" s="43"/>
      <c r="H12" s="50"/>
      <c r="J12" s="49"/>
      <c r="K12" s="43"/>
      <c r="L12" s="43"/>
      <c r="M12" s="43"/>
      <c r="N12" s="43"/>
      <c r="O12" s="43"/>
      <c r="P12" s="43"/>
      <c r="Q12" s="20"/>
    </row>
    <row r="13" spans="2:17" ht="40" customHeight="1">
      <c r="B13" s="49"/>
      <c r="C13" s="96"/>
      <c r="D13" s="38"/>
      <c r="E13" s="158" t="s">
        <v>17</v>
      </c>
      <c r="F13" s="38"/>
      <c r="G13" s="97"/>
      <c r="H13" s="50"/>
      <c r="J13" s="49"/>
      <c r="K13" s="96"/>
      <c r="L13" s="38"/>
      <c r="M13" s="159" t="s">
        <v>18</v>
      </c>
      <c r="N13" s="38"/>
      <c r="O13" s="97"/>
      <c r="P13" s="43"/>
      <c r="Q13" s="20"/>
    </row>
    <row r="14" spans="2:17">
      <c r="B14" s="49"/>
      <c r="C14" s="43"/>
      <c r="D14" s="43"/>
      <c r="E14" s="43"/>
      <c r="F14" s="43"/>
      <c r="G14" s="43"/>
      <c r="H14" s="50"/>
      <c r="J14" s="49"/>
      <c r="K14" s="43"/>
      <c r="L14" s="43"/>
      <c r="M14" s="43"/>
      <c r="N14" s="43"/>
      <c r="O14" s="43"/>
      <c r="P14" s="43"/>
      <c r="Q14" s="20"/>
    </row>
    <row r="15" spans="2:17" ht="213.75" customHeight="1">
      <c r="B15" s="49"/>
      <c r="C15" s="79" t="s">
        <v>19</v>
      </c>
      <c r="D15" s="100"/>
      <c r="E15" s="80" t="s">
        <v>20</v>
      </c>
      <c r="F15" s="100"/>
      <c r="G15" s="78" t="s">
        <v>21</v>
      </c>
      <c r="H15" s="101"/>
      <c r="I15" s="54"/>
      <c r="J15" s="103"/>
      <c r="K15" s="81" t="s">
        <v>22</v>
      </c>
      <c r="L15" s="103"/>
      <c r="M15" s="92" t="s">
        <v>23</v>
      </c>
      <c r="N15" s="100"/>
      <c r="O15" s="92" t="s">
        <v>24</v>
      </c>
      <c r="P15" s="100"/>
      <c r="Q15" s="20"/>
    </row>
    <row r="16" spans="2:17">
      <c r="B16" s="47"/>
      <c r="C16" s="46"/>
      <c r="D16" s="46"/>
      <c r="E16" s="46"/>
      <c r="F16" s="46"/>
      <c r="G16" s="46"/>
      <c r="H16" s="48"/>
      <c r="J16" s="47"/>
      <c r="K16" s="46"/>
      <c r="L16" s="104"/>
      <c r="M16" s="104"/>
      <c r="N16" s="104"/>
      <c r="O16" s="104"/>
      <c r="P16" s="104"/>
      <c r="Q16" s="20"/>
    </row>
    <row r="19" spans="2:16">
      <c r="B19" s="44"/>
      <c r="C19" s="90"/>
      <c r="D19" s="90"/>
      <c r="E19" s="90"/>
      <c r="F19" s="90"/>
      <c r="G19" s="90"/>
      <c r="H19" s="90"/>
      <c r="I19" s="90"/>
      <c r="J19" s="90"/>
      <c r="K19" s="90"/>
      <c r="L19" s="90"/>
      <c r="M19" s="90"/>
      <c r="N19" s="90"/>
      <c r="O19" s="90"/>
      <c r="P19" s="45"/>
    </row>
    <row r="20" spans="2:16">
      <c r="B20" s="49" t="s">
        <v>25</v>
      </c>
      <c r="C20" s="43"/>
      <c r="D20" s="43"/>
      <c r="E20" s="43"/>
      <c r="F20" s="43"/>
      <c r="G20" s="43"/>
      <c r="H20" s="43"/>
      <c r="I20" s="43"/>
      <c r="J20" s="43"/>
      <c r="K20" s="43"/>
      <c r="L20" s="43"/>
      <c r="M20" s="43"/>
      <c r="N20" s="43"/>
      <c r="O20" s="43"/>
      <c r="P20" s="50"/>
    </row>
    <row r="21" spans="2:16">
      <c r="B21" s="105" t="s">
        <v>26</v>
      </c>
      <c r="C21" s="43"/>
      <c r="D21" s="43"/>
      <c r="E21" s="43"/>
      <c r="F21" s="43"/>
      <c r="G21" s="43"/>
      <c r="H21" s="43"/>
      <c r="I21" s="43"/>
      <c r="J21" s="43"/>
      <c r="K21" s="43"/>
      <c r="L21" s="43"/>
      <c r="M21" s="43"/>
      <c r="N21" s="43"/>
      <c r="O21" s="43"/>
      <c r="P21" s="50"/>
    </row>
    <row r="22" spans="2:16">
      <c r="B22" s="106" t="s">
        <v>27</v>
      </c>
      <c r="C22" s="43"/>
      <c r="D22" s="43"/>
      <c r="E22" s="43"/>
      <c r="F22" s="43"/>
      <c r="G22" s="43"/>
      <c r="H22" s="43"/>
      <c r="I22" s="43"/>
      <c r="J22" s="43"/>
      <c r="K22" s="43"/>
      <c r="L22" s="43"/>
      <c r="M22" s="43"/>
      <c r="N22" s="43"/>
      <c r="O22" s="43"/>
      <c r="P22" s="50"/>
    </row>
    <row r="23" spans="2:16">
      <c r="B23" s="107" t="s">
        <v>28</v>
      </c>
      <c r="C23" s="43"/>
      <c r="D23" s="43"/>
      <c r="E23" s="43"/>
      <c r="F23" s="43"/>
      <c r="G23" s="43"/>
      <c r="H23" s="43"/>
      <c r="I23" s="43"/>
      <c r="J23" s="43"/>
      <c r="K23" s="43"/>
      <c r="L23" s="43"/>
      <c r="M23" s="43"/>
      <c r="N23" s="43"/>
      <c r="O23" s="43"/>
      <c r="P23" s="50"/>
    </row>
    <row r="24" spans="2:16">
      <c r="B24" s="106" t="s">
        <v>29</v>
      </c>
      <c r="C24" s="43"/>
      <c r="D24" s="43"/>
      <c r="E24" s="43"/>
      <c r="F24" s="43"/>
      <c r="G24" s="43"/>
      <c r="H24" s="43"/>
      <c r="I24" s="43"/>
      <c r="J24" s="43"/>
      <c r="K24" s="43"/>
      <c r="L24" s="43"/>
      <c r="M24" s="43"/>
      <c r="N24" s="43"/>
      <c r="O24" s="43"/>
      <c r="P24" s="50"/>
    </row>
    <row r="25" spans="2:16">
      <c r="B25" s="106" t="s">
        <v>30</v>
      </c>
      <c r="C25" s="43"/>
      <c r="D25" s="43"/>
      <c r="E25" s="43"/>
      <c r="F25" s="43"/>
      <c r="G25" s="43"/>
      <c r="H25" s="43"/>
      <c r="I25" s="43"/>
      <c r="J25" s="43"/>
      <c r="K25" s="43"/>
      <c r="L25" s="43"/>
      <c r="M25" s="43"/>
      <c r="N25" s="43"/>
      <c r="O25" s="43"/>
      <c r="P25" s="50"/>
    </row>
    <row r="26" spans="2:16">
      <c r="B26" s="49"/>
      <c r="C26" s="43"/>
      <c r="D26" s="43"/>
      <c r="E26" s="43"/>
      <c r="F26" s="43"/>
      <c r="G26" s="43"/>
      <c r="H26" s="43"/>
      <c r="I26" s="43"/>
      <c r="J26" s="43"/>
      <c r="K26" s="43"/>
      <c r="L26" s="43"/>
      <c r="M26" s="43"/>
      <c r="N26" s="43"/>
      <c r="O26" s="43"/>
      <c r="P26" s="50"/>
    </row>
    <row r="27" spans="2:16">
      <c r="B27" s="108" t="s">
        <v>31</v>
      </c>
      <c r="C27" s="43"/>
      <c r="D27" s="43"/>
      <c r="E27" s="43"/>
      <c r="F27" s="43"/>
      <c r="G27" s="43"/>
      <c r="H27" s="43"/>
      <c r="I27" s="43"/>
      <c r="J27" s="43"/>
      <c r="K27" s="43"/>
      <c r="L27" s="43"/>
      <c r="M27" s="43"/>
      <c r="N27" s="43"/>
      <c r="O27" s="43"/>
      <c r="P27" s="50"/>
    </row>
    <row r="28" spans="2:16">
      <c r="B28" s="47"/>
      <c r="C28" s="46"/>
      <c r="D28" s="46"/>
      <c r="E28" s="46"/>
      <c r="F28" s="46"/>
      <c r="G28" s="46"/>
      <c r="H28" s="46"/>
      <c r="I28" s="46"/>
      <c r="J28" s="46"/>
      <c r="K28" s="46"/>
      <c r="L28" s="46"/>
      <c r="M28" s="46"/>
      <c r="N28" s="46"/>
      <c r="O28" s="46"/>
      <c r="P28" s="48"/>
    </row>
  </sheetData>
  <sheetProtection algorithmName="SHA-512" hashValue="sWF7c5Chk/0TZHmBFZoUhJ1suXJ5gzWPgBLAUuwF3UyiXdF0DGk1BAu/fyQ5jMIIOtTdW/8JP1/fhyZnyB3tRA==" saltValue="81/4tGLjsqLjtOjA5Kl/bg==" spinCount="100000" sheet="1" objects="1" scenarios="1"/>
  <hyperlinks>
    <hyperlink ref="B27" r:id="rId1" xr:uid="{A9028629-3EA9-424F-9115-3A028530777C}"/>
  </hyperlinks>
  <pageMargins left="0.7" right="0.7" top="0.75" bottom="0.75" header="0.3" footer="0.3"/>
  <pageSetup paperSize="9" scale="54"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U98"/>
  <sheetViews>
    <sheetView showGridLines="0" zoomScaleNormal="100" workbookViewId="0"/>
  </sheetViews>
  <sheetFormatPr defaultRowHeight="14.5"/>
  <cols>
    <col min="1" max="1" width="2.453125" customWidth="1"/>
    <col min="2" max="2" width="5.81640625" customWidth="1"/>
    <col min="3" max="3" width="22" customWidth="1"/>
    <col min="4" max="4" width="36.7265625" customWidth="1"/>
    <col min="5" max="5" width="13.54296875" customWidth="1"/>
    <col min="6" max="6" width="29.26953125" customWidth="1"/>
    <col min="7" max="8" width="13.453125" customWidth="1"/>
    <col min="9" max="12" width="15.7265625" customWidth="1"/>
    <col min="13" max="13" width="8.7265625" style="395" customWidth="1"/>
    <col min="14" max="14" width="0.26953125" customWidth="1"/>
  </cols>
  <sheetData>
    <row r="1" spans="2:14" ht="30" customHeight="1">
      <c r="B1" s="166" t="s">
        <v>237</v>
      </c>
    </row>
    <row r="2" spans="2:14" ht="30" customHeight="1">
      <c r="B2" s="15" t="s">
        <v>32</v>
      </c>
      <c r="C2" s="15"/>
      <c r="D2" s="14"/>
      <c r="E2" s="26"/>
      <c r="F2" s="14"/>
      <c r="G2" s="14"/>
      <c r="H2" s="14"/>
      <c r="I2" s="14"/>
      <c r="J2" s="14"/>
      <c r="K2" s="14"/>
      <c r="L2" s="14"/>
      <c r="M2" s="383"/>
      <c r="N2" s="14"/>
    </row>
    <row r="4" spans="2:14">
      <c r="B4" s="16" t="s">
        <v>33</v>
      </c>
      <c r="C4" s="66"/>
      <c r="D4" s="66"/>
      <c r="E4" s="66"/>
      <c r="F4" s="66"/>
      <c r="G4" s="66"/>
      <c r="H4" s="66"/>
      <c r="I4" s="66"/>
      <c r="J4" s="66"/>
      <c r="K4" s="66"/>
      <c r="L4" s="66"/>
      <c r="M4" s="410"/>
      <c r="N4" s="17"/>
    </row>
    <row r="5" spans="2:14">
      <c r="B5" s="20"/>
      <c r="C5" t="s">
        <v>34</v>
      </c>
      <c r="N5" s="19"/>
    </row>
    <row r="6" spans="2:14">
      <c r="B6" s="20"/>
      <c r="C6" t="s">
        <v>35</v>
      </c>
      <c r="N6" s="19"/>
    </row>
    <row r="7" spans="2:14">
      <c r="B7" s="20"/>
      <c r="C7" t="s">
        <v>36</v>
      </c>
      <c r="N7" s="19"/>
    </row>
    <row r="8" spans="2:14">
      <c r="B8" s="21"/>
      <c r="C8" s="22"/>
      <c r="D8" s="22"/>
      <c r="E8" s="22"/>
      <c r="F8" s="22"/>
      <c r="G8" s="22"/>
      <c r="H8" s="22"/>
      <c r="I8" s="22"/>
      <c r="J8" s="22"/>
      <c r="K8" s="22"/>
      <c r="L8" s="22"/>
      <c r="M8" s="411"/>
      <c r="N8" s="23"/>
    </row>
    <row r="10" spans="2:14">
      <c r="B10" s="16" t="s">
        <v>37</v>
      </c>
      <c r="C10" s="66"/>
      <c r="D10" s="66"/>
      <c r="E10" s="66"/>
      <c r="F10" s="66"/>
      <c r="G10" s="66"/>
      <c r="H10" s="66"/>
      <c r="I10" s="66"/>
      <c r="J10" s="66"/>
      <c r="K10" s="66"/>
      <c r="L10" s="66"/>
      <c r="M10" s="410"/>
      <c r="N10" s="17"/>
    </row>
    <row r="11" spans="2:14" ht="96.75" customHeight="1">
      <c r="B11" s="18"/>
      <c r="C11" s="27" t="s">
        <v>327</v>
      </c>
      <c r="D11" s="66"/>
      <c r="E11" s="66"/>
      <c r="F11" s="53" t="s">
        <v>269</v>
      </c>
      <c r="G11" s="44" t="s">
        <v>38</v>
      </c>
      <c r="H11" s="90"/>
      <c r="I11" s="90"/>
      <c r="J11" s="90"/>
      <c r="K11" s="90"/>
      <c r="L11" s="90"/>
      <c r="M11" s="412"/>
      <c r="N11" s="45"/>
    </row>
    <row r="12" spans="2:14">
      <c r="B12" s="20"/>
      <c r="C12" s="52" t="s">
        <v>324</v>
      </c>
      <c r="D12" s="38"/>
      <c r="E12" s="442"/>
      <c r="F12" s="196">
        <v>10000</v>
      </c>
      <c r="G12" s="272" t="s">
        <v>249</v>
      </c>
      <c r="H12" s="183"/>
      <c r="I12" s="183"/>
      <c r="J12" s="183"/>
      <c r="K12" s="183"/>
      <c r="L12" s="183"/>
      <c r="M12" s="413"/>
      <c r="N12" s="25"/>
    </row>
    <row r="13" spans="2:14">
      <c r="B13" s="20"/>
      <c r="C13" s="21" t="s">
        <v>325</v>
      </c>
      <c r="D13" s="22"/>
      <c r="E13" s="442"/>
      <c r="F13" s="439">
        <v>0</v>
      </c>
      <c r="G13" s="440"/>
      <c r="H13" s="189"/>
      <c r="I13" s="189"/>
      <c r="J13" s="189"/>
      <c r="K13" s="189"/>
      <c r="L13" s="189"/>
      <c r="M13" s="441"/>
      <c r="N13" s="23"/>
    </row>
    <row r="14" spans="2:14">
      <c r="B14" s="21"/>
      <c r="C14" s="270" t="s">
        <v>224</v>
      </c>
      <c r="D14" s="38"/>
      <c r="E14" s="445"/>
      <c r="F14" s="271">
        <f>F12</f>
        <v>10000</v>
      </c>
      <c r="G14" s="185"/>
      <c r="H14" s="184"/>
      <c r="I14" s="184"/>
      <c r="J14" s="184"/>
      <c r="K14" s="186"/>
      <c r="L14" s="22"/>
      <c r="M14" s="411"/>
      <c r="N14" s="23"/>
    </row>
    <row r="17" spans="2:14">
      <c r="B17" s="16" t="s">
        <v>39</v>
      </c>
      <c r="C17" s="66"/>
      <c r="D17" s="66"/>
      <c r="E17" s="66"/>
      <c r="F17" s="66"/>
      <c r="G17" s="66"/>
      <c r="H17" s="66"/>
      <c r="I17" s="66"/>
      <c r="J17" s="66"/>
      <c r="K17" s="66"/>
      <c r="L17" s="66"/>
      <c r="M17" s="410"/>
      <c r="N17" s="17"/>
    </row>
    <row r="18" spans="2:14" ht="48" customHeight="1">
      <c r="B18" s="20"/>
      <c r="C18" s="39" t="s">
        <v>250</v>
      </c>
      <c r="D18" s="42" t="s">
        <v>251</v>
      </c>
      <c r="E18" s="40"/>
      <c r="F18" s="40"/>
      <c r="G18" s="40"/>
      <c r="H18" s="371" t="s">
        <v>293</v>
      </c>
      <c r="I18" s="368" t="s">
        <v>294</v>
      </c>
      <c r="J18" s="41" t="s">
        <v>292</v>
      </c>
      <c r="K18" s="24" t="s">
        <v>40</v>
      </c>
      <c r="L18" s="41" t="s">
        <v>41</v>
      </c>
      <c r="M18" s="384"/>
      <c r="N18" s="19"/>
    </row>
    <row r="19" spans="2:14" ht="56.25" customHeight="1">
      <c r="B19" s="20"/>
      <c r="C19" s="71" t="s">
        <v>252</v>
      </c>
      <c r="D19" s="448" t="s">
        <v>253</v>
      </c>
      <c r="E19" s="449"/>
      <c r="F19" s="449"/>
      <c r="G19" s="450"/>
      <c r="H19" s="369">
        <v>19.5</v>
      </c>
      <c r="I19" s="370">
        <v>2</v>
      </c>
      <c r="J19" s="197">
        <f>H19*I19</f>
        <v>39</v>
      </c>
      <c r="K19" s="198"/>
      <c r="L19" s="187" t="s">
        <v>254</v>
      </c>
      <c r="M19" s="414"/>
      <c r="N19" s="19"/>
    </row>
    <row r="20" spans="2:14" ht="51.75" customHeight="1">
      <c r="B20" s="20"/>
      <c r="C20" s="71" t="s">
        <v>255</v>
      </c>
      <c r="D20" s="448" t="s">
        <v>279</v>
      </c>
      <c r="E20" s="449"/>
      <c r="F20" s="449"/>
      <c r="G20" s="450"/>
      <c r="H20" s="369">
        <v>0.48</v>
      </c>
      <c r="I20" s="370">
        <v>2</v>
      </c>
      <c r="J20" s="197">
        <f>H20*I20</f>
        <v>0.96</v>
      </c>
      <c r="K20" s="198"/>
      <c r="L20" s="187" t="s">
        <v>256</v>
      </c>
      <c r="M20" s="414"/>
      <c r="N20" s="19"/>
    </row>
    <row r="21" spans="2:14">
      <c r="B21" s="21"/>
      <c r="C21" s="22"/>
      <c r="D21" s="22"/>
      <c r="E21" s="22"/>
      <c r="F21" s="22"/>
      <c r="G21" s="22"/>
      <c r="H21" s="22"/>
      <c r="I21" s="22"/>
      <c r="J21" s="22"/>
      <c r="K21" s="22"/>
      <c r="L21" s="22"/>
      <c r="M21" s="411"/>
      <c r="N21" s="23"/>
    </row>
    <row r="22" spans="2:14">
      <c r="B22" s="20"/>
      <c r="C22" s="11" t="s">
        <v>276</v>
      </c>
      <c r="E22" s="13"/>
      <c r="F22" s="13"/>
      <c r="N22" s="19"/>
    </row>
    <row r="23" spans="2:14">
      <c r="B23" s="20"/>
      <c r="C23" s="388" t="s">
        <v>313</v>
      </c>
      <c r="D23" s="389"/>
      <c r="E23" s="389"/>
      <c r="F23" s="390"/>
      <c r="G23" s="389"/>
      <c r="H23" s="391"/>
      <c r="I23" s="433">
        <v>7</v>
      </c>
      <c r="N23" s="19"/>
    </row>
    <row r="24" spans="2:14">
      <c r="B24" s="20"/>
      <c r="C24" s="388" t="s">
        <v>297</v>
      </c>
      <c r="D24" s="388"/>
      <c r="E24" s="392"/>
      <c r="F24" s="393"/>
      <c r="G24" s="392"/>
      <c r="H24" s="394"/>
      <c r="I24" s="434">
        <v>5</v>
      </c>
      <c r="N24" s="19"/>
    </row>
    <row r="25" spans="2:14">
      <c r="B25" s="20"/>
      <c r="C25" s="388" t="s">
        <v>298</v>
      </c>
      <c r="D25" s="392"/>
      <c r="E25" s="393"/>
      <c r="F25" s="393"/>
      <c r="G25" s="392"/>
      <c r="H25" s="392"/>
      <c r="I25" s="392"/>
      <c r="J25" s="394"/>
      <c r="K25" s="435">
        <v>692</v>
      </c>
      <c r="L25" t="s">
        <v>328</v>
      </c>
      <c r="N25" s="19"/>
    </row>
    <row r="26" spans="2:14">
      <c r="B26" s="20"/>
      <c r="C26" s="11"/>
      <c r="E26" s="13"/>
      <c r="F26" s="13"/>
      <c r="K26" s="381"/>
      <c r="N26" s="19"/>
    </row>
    <row r="27" spans="2:14">
      <c r="B27" s="20"/>
      <c r="C27" t="s">
        <v>329</v>
      </c>
      <c r="E27" s="13"/>
      <c r="F27" s="13"/>
      <c r="K27" s="381"/>
      <c r="N27" s="19"/>
    </row>
    <row r="28" spans="2:14">
      <c r="B28" s="20"/>
      <c r="E28" s="13"/>
      <c r="F28" s="13"/>
      <c r="K28" s="381"/>
      <c r="N28" s="19"/>
    </row>
    <row r="29" spans="2:14">
      <c r="B29" s="20"/>
      <c r="C29" s="11" t="s">
        <v>318</v>
      </c>
      <c r="E29" s="13"/>
      <c r="F29" s="13"/>
      <c r="K29" s="381"/>
      <c r="N29" s="19"/>
    </row>
    <row r="30" spans="2:14">
      <c r="B30" s="20"/>
      <c r="C30" s="11" t="s">
        <v>316</v>
      </c>
      <c r="E30" s="13"/>
      <c r="F30" s="13"/>
      <c r="K30" s="381"/>
      <c r="N30" s="19"/>
    </row>
    <row r="31" spans="2:14" ht="15" thickBot="1">
      <c r="B31" s="20"/>
      <c r="C31" s="11"/>
      <c r="E31" s="13"/>
      <c r="F31" s="13"/>
      <c r="N31" s="19"/>
    </row>
    <row r="32" spans="2:14">
      <c r="B32" s="20"/>
      <c r="C32" s="339"/>
      <c r="D32" s="340" t="s">
        <v>266</v>
      </c>
      <c r="E32" s="341"/>
      <c r="F32" s="342"/>
      <c r="G32" s="343"/>
      <c r="H32" s="340"/>
      <c r="I32" s="343"/>
      <c r="J32" s="343"/>
      <c r="K32" s="343"/>
      <c r="L32" s="343"/>
      <c r="M32" s="385"/>
      <c r="N32" s="344"/>
    </row>
    <row r="33" spans="2:14" ht="29">
      <c r="B33" s="20"/>
      <c r="C33" s="345"/>
      <c r="D33" s="346"/>
      <c r="E33" s="299"/>
      <c r="F33" s="300" t="s">
        <v>280</v>
      </c>
      <c r="G33" s="444" t="s">
        <v>326</v>
      </c>
      <c r="H33" s="241" t="s">
        <v>269</v>
      </c>
      <c r="I33" s="221"/>
      <c r="J33" s="247"/>
      <c r="K33" s="373" t="s">
        <v>292</v>
      </c>
      <c r="L33" s="301" t="s">
        <v>271</v>
      </c>
      <c r="M33" s="386" t="s">
        <v>301</v>
      </c>
      <c r="N33" s="382"/>
    </row>
    <row r="34" spans="2:14" ht="20.149999999999999" customHeight="1">
      <c r="B34" s="20"/>
      <c r="C34" s="348"/>
      <c r="D34" s="13"/>
      <c r="E34" s="277"/>
      <c r="F34" s="218" t="s">
        <v>252</v>
      </c>
      <c r="G34" s="447">
        <v>0</v>
      </c>
      <c r="H34" s="446">
        <f>F14*G34</f>
        <v>0</v>
      </c>
      <c r="I34" s="298"/>
      <c r="J34" s="261"/>
      <c r="K34" s="372">
        <f>J19</f>
        <v>39</v>
      </c>
      <c r="L34" s="238">
        <f>H34*K34</f>
        <v>0</v>
      </c>
      <c r="M34" s="415"/>
      <c r="N34" s="347"/>
    </row>
    <row r="35" spans="2:14" ht="20.149999999999999" customHeight="1">
      <c r="B35" s="20"/>
      <c r="C35" s="349"/>
      <c r="D35" s="350"/>
      <c r="E35" s="275"/>
      <c r="F35" s="443" t="s">
        <v>255</v>
      </c>
      <c r="G35" s="447">
        <v>1</v>
      </c>
      <c r="H35" s="446">
        <f>F14*G35</f>
        <v>10000</v>
      </c>
      <c r="I35" s="275"/>
      <c r="J35" s="266"/>
      <c r="K35" s="372">
        <f>J20</f>
        <v>0.96</v>
      </c>
      <c r="L35" s="238">
        <f>H35*K35</f>
        <v>9600</v>
      </c>
      <c r="M35" s="415"/>
      <c r="N35" s="347"/>
    </row>
    <row r="36" spans="2:14">
      <c r="B36" s="20"/>
      <c r="C36" s="349"/>
      <c r="D36" s="37"/>
      <c r="E36" s="199"/>
      <c r="F36" s="351"/>
      <c r="G36" s="352"/>
      <c r="H36" s="351"/>
      <c r="I36" s="202"/>
      <c r="J36" s="351"/>
      <c r="K36" s="351"/>
      <c r="L36" s="353"/>
      <c r="N36" s="347"/>
    </row>
    <row r="37" spans="2:14" ht="29">
      <c r="B37" s="20"/>
      <c r="C37" s="345"/>
      <c r="D37" s="228" t="s">
        <v>267</v>
      </c>
      <c r="E37" s="229"/>
      <c r="F37" s="242"/>
      <c r="G37" s="243" t="s">
        <v>268</v>
      </c>
      <c r="H37" s="244" t="s">
        <v>269</v>
      </c>
      <c r="I37" s="245" t="s">
        <v>265</v>
      </c>
      <c r="J37" s="246" t="s">
        <v>270</v>
      </c>
      <c r="K37" s="247" t="s">
        <v>257</v>
      </c>
      <c r="L37" s="248" t="s">
        <v>271</v>
      </c>
      <c r="M37" s="386"/>
      <c r="N37" s="347"/>
    </row>
    <row r="38" spans="2:14" ht="20.149999999999999" customHeight="1">
      <c r="B38" s="20"/>
      <c r="C38" s="345"/>
      <c r="D38" s="85" t="s">
        <v>252</v>
      </c>
      <c r="E38" s="218"/>
      <c r="F38" s="219"/>
      <c r="G38" s="284"/>
      <c r="H38" s="219"/>
      <c r="I38" s="220"/>
      <c r="J38" s="221"/>
      <c r="K38" s="221"/>
      <c r="L38" s="224"/>
      <c r="M38" s="386"/>
      <c r="N38" s="347"/>
    </row>
    <row r="39" spans="2:14" ht="20.149999999999999" customHeight="1">
      <c r="B39" s="20"/>
      <c r="C39" s="348"/>
      <c r="D39" s="230" t="s">
        <v>315</v>
      </c>
      <c r="E39" s="249"/>
      <c r="F39" s="250"/>
      <c r="G39" s="282">
        <v>0.105</v>
      </c>
      <c r="H39" s="223">
        <f>G39*H34</f>
        <v>0</v>
      </c>
      <c r="I39" s="251"/>
      <c r="J39" s="250"/>
      <c r="K39" s="250"/>
      <c r="L39" s="236"/>
      <c r="M39" s="427">
        <v>1</v>
      </c>
      <c r="N39" s="347"/>
    </row>
    <row r="40" spans="2:14" ht="20.149999999999999" customHeight="1">
      <c r="B40" s="20"/>
      <c r="C40" s="349"/>
      <c r="D40" s="233" t="s">
        <v>314</v>
      </c>
      <c r="E40" s="239"/>
      <c r="F40" s="273"/>
      <c r="G40" s="283">
        <v>0.70440000000000003</v>
      </c>
      <c r="H40" s="274">
        <f>G40*H39</f>
        <v>0</v>
      </c>
      <c r="I40" s="379">
        <f>I23</f>
        <v>7</v>
      </c>
      <c r="J40" s="237">
        <f>I40*H40</f>
        <v>0</v>
      </c>
      <c r="K40" s="238">
        <f>K25</f>
        <v>692</v>
      </c>
      <c r="L40" s="238">
        <f>K40*J40</f>
        <v>0</v>
      </c>
      <c r="M40" s="427">
        <v>2</v>
      </c>
      <c r="N40" s="347"/>
    </row>
    <row r="41" spans="2:14" ht="20.149999999999999" customHeight="1">
      <c r="B41" s="20"/>
      <c r="C41" s="354"/>
      <c r="D41" s="230" t="s">
        <v>275</v>
      </c>
      <c r="E41" s="231"/>
      <c r="F41" s="236"/>
      <c r="G41" s="282">
        <v>0.29559999999999997</v>
      </c>
      <c r="H41" s="260">
        <f>G41*H39</f>
        <v>0</v>
      </c>
      <c r="I41" s="380">
        <f>I24</f>
        <v>5</v>
      </c>
      <c r="J41" s="225">
        <f t="shared" ref="J41:J45" si="0">I41*H41</f>
        <v>0</v>
      </c>
      <c r="K41" s="226">
        <f>K25</f>
        <v>692</v>
      </c>
      <c r="L41" s="226">
        <f>K41*J41</f>
        <v>0</v>
      </c>
      <c r="M41" s="427">
        <v>3</v>
      </c>
      <c r="N41" s="347"/>
    </row>
    <row r="42" spans="2:14" ht="20.149999999999999" customHeight="1">
      <c r="B42" s="20"/>
      <c r="C42" s="348"/>
      <c r="D42" s="85" t="s">
        <v>264</v>
      </c>
      <c r="E42" s="239"/>
      <c r="F42" s="253"/>
      <c r="G42" s="254"/>
      <c r="H42" s="255"/>
      <c r="I42" s="263"/>
      <c r="J42" s="256"/>
      <c r="K42" s="257"/>
      <c r="L42" s="238"/>
      <c r="M42" s="415"/>
      <c r="N42" s="347"/>
    </row>
    <row r="43" spans="2:14" ht="20.149999999999999" customHeight="1">
      <c r="B43" s="20"/>
      <c r="C43" s="348"/>
      <c r="D43" s="230" t="s">
        <v>315</v>
      </c>
      <c r="E43" s="249"/>
      <c r="F43" s="250"/>
      <c r="G43" s="282">
        <v>0.16400000000000001</v>
      </c>
      <c r="H43" s="223">
        <f>G43*H35</f>
        <v>1640</v>
      </c>
      <c r="I43" s="252"/>
      <c r="J43" s="225">
        <f t="shared" si="0"/>
        <v>0</v>
      </c>
      <c r="K43" s="226"/>
      <c r="L43" s="409"/>
      <c r="M43" s="427">
        <v>4</v>
      </c>
      <c r="N43" s="347"/>
    </row>
    <row r="44" spans="2:14" ht="20.149999999999999" customHeight="1">
      <c r="B44" s="20"/>
      <c r="C44" s="345"/>
      <c r="D44" s="233" t="s">
        <v>314</v>
      </c>
      <c r="E44" s="239"/>
      <c r="F44" s="240"/>
      <c r="G44" s="436">
        <v>0.45119999999999999</v>
      </c>
      <c r="H44" s="234">
        <f>G44*H43</f>
        <v>739.96799999999996</v>
      </c>
      <c r="I44" s="379">
        <f>I23</f>
        <v>7</v>
      </c>
      <c r="J44" s="237">
        <f t="shared" si="0"/>
        <v>5179.7759999999998</v>
      </c>
      <c r="K44" s="227">
        <f>$K$25</f>
        <v>692</v>
      </c>
      <c r="L44" s="257">
        <f>K44*J44</f>
        <v>3584404.9920000001</v>
      </c>
      <c r="M44" s="427">
        <v>5</v>
      </c>
      <c r="N44" s="347"/>
    </row>
    <row r="45" spans="2:14" ht="20.149999999999999" customHeight="1">
      <c r="B45" s="20"/>
      <c r="C45" s="345"/>
      <c r="D45" s="230" t="s">
        <v>275</v>
      </c>
      <c r="E45" s="231"/>
      <c r="F45" s="232"/>
      <c r="G45" s="437">
        <v>0.54879999999999995</v>
      </c>
      <c r="H45" s="267">
        <f>G45*H43</f>
        <v>900.03199999999993</v>
      </c>
      <c r="I45" s="380">
        <f>I24</f>
        <v>5</v>
      </c>
      <c r="J45" s="225">
        <f t="shared" si="0"/>
        <v>4500.16</v>
      </c>
      <c r="K45" s="227">
        <f>$K$25</f>
        <v>692</v>
      </c>
      <c r="L45" s="409">
        <f>K45*J45</f>
        <v>3114110.7199999997</v>
      </c>
      <c r="M45" s="427">
        <v>6</v>
      </c>
      <c r="N45" s="347"/>
    </row>
    <row r="46" spans="2:14" ht="15" thickBot="1">
      <c r="B46" s="20"/>
      <c r="C46" s="355"/>
      <c r="D46" s="309"/>
      <c r="E46" s="310"/>
      <c r="F46" s="311"/>
      <c r="G46" s="312"/>
      <c r="H46" s="313"/>
      <c r="I46" s="309" t="s">
        <v>272</v>
      </c>
      <c r="J46" s="356">
        <f>SUM(J38:J45)</f>
        <v>9679.9359999999997</v>
      </c>
      <c r="K46" s="357"/>
      <c r="L46" s="358">
        <f>SUM(L38:L45)</f>
        <v>6698515.7119999994</v>
      </c>
      <c r="M46" s="416"/>
      <c r="N46" s="359"/>
    </row>
    <row r="47" spans="2:14" ht="15" thickBot="1">
      <c r="B47" s="20"/>
      <c r="C47" s="13"/>
      <c r="D47" s="13"/>
      <c r="E47" s="199"/>
      <c r="F47" s="200"/>
      <c r="G47" s="201"/>
      <c r="H47" s="204"/>
      <c r="I47" s="203"/>
      <c r="J47" s="200"/>
      <c r="K47" s="200"/>
      <c r="L47" s="353"/>
      <c r="N47" s="19"/>
    </row>
    <row r="48" spans="2:14">
      <c r="B48" s="20"/>
      <c r="C48" s="360"/>
      <c r="D48" s="341"/>
      <c r="E48" s="361"/>
      <c r="F48" s="362"/>
      <c r="G48" s="363"/>
      <c r="H48" s="364"/>
      <c r="I48" s="365"/>
      <c r="J48" s="362"/>
      <c r="K48" s="362"/>
      <c r="L48" s="366"/>
      <c r="M48" s="417"/>
      <c r="N48" s="344"/>
    </row>
    <row r="49" spans="2:21">
      <c r="B49" s="20"/>
      <c r="C49" s="345"/>
      <c r="D49" s="346" t="s">
        <v>274</v>
      </c>
      <c r="E49" s="199"/>
      <c r="F49" s="200"/>
      <c r="G49" s="201"/>
      <c r="H49" s="204"/>
      <c r="I49" s="203"/>
      <c r="J49" s="200"/>
      <c r="K49" s="200"/>
      <c r="L49" s="353"/>
      <c r="N49" s="347"/>
    </row>
    <row r="50" spans="2:21" ht="29">
      <c r="B50" s="20"/>
      <c r="C50" s="345"/>
      <c r="D50" s="346"/>
      <c r="E50" s="299"/>
      <c r="F50" s="300" t="s">
        <v>280</v>
      </c>
      <c r="G50" s="12" t="s">
        <v>326</v>
      </c>
      <c r="H50" s="132" t="s">
        <v>269</v>
      </c>
      <c r="I50" s="221"/>
      <c r="J50" s="221"/>
      <c r="K50" s="371" t="s">
        <v>292</v>
      </c>
      <c r="L50" s="301" t="s">
        <v>271</v>
      </c>
      <c r="M50" s="386"/>
      <c r="N50" s="347"/>
    </row>
    <row r="51" spans="2:21" ht="20.149999999999999" customHeight="1">
      <c r="B51" s="20"/>
      <c r="C51" s="348"/>
      <c r="D51" s="13"/>
      <c r="E51" s="280"/>
      <c r="F51" s="278" t="s">
        <v>252</v>
      </c>
      <c r="G51" s="447">
        <v>0.1</v>
      </c>
      <c r="H51" s="75">
        <f>F14*G51</f>
        <v>1000</v>
      </c>
      <c r="I51" s="303"/>
      <c r="J51" s="253"/>
      <c r="K51" s="372">
        <f>J19</f>
        <v>39</v>
      </c>
      <c r="L51" s="297">
        <f>H51*K51</f>
        <v>39000</v>
      </c>
      <c r="M51" s="415"/>
      <c r="N51" s="347"/>
    </row>
    <row r="52" spans="2:21" ht="20.149999999999999" customHeight="1">
      <c r="B52" s="20"/>
      <c r="C52" s="348"/>
      <c r="D52" s="13"/>
      <c r="E52" s="279"/>
      <c r="F52" s="276" t="s">
        <v>255</v>
      </c>
      <c r="G52" s="447">
        <v>0.9</v>
      </c>
      <c r="H52" s="75">
        <f>F14*G52</f>
        <v>9000</v>
      </c>
      <c r="I52" s="302"/>
      <c r="J52" s="258"/>
      <c r="K52" s="372">
        <f>J20</f>
        <v>0.96</v>
      </c>
      <c r="L52" s="297">
        <f>H52*K52</f>
        <v>8640</v>
      </c>
      <c r="M52" s="415"/>
      <c r="N52" s="347"/>
    </row>
    <row r="53" spans="2:21">
      <c r="B53" s="20"/>
      <c r="C53" s="348"/>
      <c r="D53" s="13"/>
      <c r="E53" s="199"/>
      <c r="F53" s="200"/>
      <c r="G53" s="201"/>
      <c r="H53" s="204"/>
      <c r="I53" s="203"/>
      <c r="J53" s="200"/>
      <c r="K53" s="200"/>
      <c r="L53" s="353"/>
      <c r="N53" s="347"/>
    </row>
    <row r="54" spans="2:21" ht="29">
      <c r="B54" s="20"/>
      <c r="C54" s="348"/>
      <c r="D54" s="85" t="s">
        <v>267</v>
      </c>
      <c r="E54" s="218"/>
      <c r="F54" s="241"/>
      <c r="G54" s="213" t="s">
        <v>268</v>
      </c>
      <c r="H54" s="219" t="s">
        <v>269</v>
      </c>
      <c r="I54" s="214" t="s">
        <v>265</v>
      </c>
      <c r="J54" s="221" t="s">
        <v>270</v>
      </c>
      <c r="K54" s="215" t="s">
        <v>257</v>
      </c>
      <c r="L54" s="222" t="s">
        <v>271</v>
      </c>
      <c r="M54" s="386"/>
      <c r="N54" s="347"/>
    </row>
    <row r="55" spans="2:21" ht="20.149999999999999" customHeight="1">
      <c r="B55" s="20"/>
      <c r="C55" s="348"/>
      <c r="D55" s="85" t="s">
        <v>252</v>
      </c>
      <c r="E55" s="218"/>
      <c r="F55" s="219"/>
      <c r="G55" s="284"/>
      <c r="H55" s="219"/>
      <c r="I55" s="220"/>
      <c r="J55" s="221"/>
      <c r="K55" s="253"/>
      <c r="L55" s="235"/>
      <c r="M55" s="415"/>
      <c r="N55" s="347"/>
    </row>
    <row r="56" spans="2:21" ht="20.149999999999999" customHeight="1">
      <c r="B56" s="20"/>
      <c r="C56" s="348"/>
      <c r="D56" s="230" t="s">
        <v>315</v>
      </c>
      <c r="E56" s="218"/>
      <c r="F56" s="261"/>
      <c r="G56" s="283">
        <v>0.105</v>
      </c>
      <c r="H56" s="262">
        <f>G56*H51</f>
        <v>105</v>
      </c>
      <c r="I56" s="216"/>
      <c r="J56" s="261"/>
      <c r="K56" s="217"/>
      <c r="L56" s="428"/>
      <c r="M56" s="427">
        <v>1</v>
      </c>
      <c r="N56" s="347"/>
      <c r="P56" s="387"/>
      <c r="Q56" s="387"/>
      <c r="R56" s="387"/>
      <c r="S56" s="387"/>
      <c r="T56" s="387"/>
      <c r="U56" s="387"/>
    </row>
    <row r="57" spans="2:21" ht="20.149999999999999" customHeight="1">
      <c r="B57" s="20"/>
      <c r="C57" s="348"/>
      <c r="D57" s="233" t="s">
        <v>314</v>
      </c>
      <c r="E57" s="231"/>
      <c r="F57" s="231"/>
      <c r="G57" s="282">
        <v>0.70440000000000003</v>
      </c>
      <c r="H57" s="260">
        <f>G57*H56</f>
        <v>73.962000000000003</v>
      </c>
      <c r="I57" s="406">
        <f>I23</f>
        <v>7</v>
      </c>
      <c r="J57" s="184">
        <f>I57*H57</f>
        <v>517.73400000000004</v>
      </c>
      <c r="K57" s="227">
        <f>$K$25</f>
        <v>692</v>
      </c>
      <c r="L57" s="409">
        <f>K57*J57</f>
        <v>358271.92800000001</v>
      </c>
      <c r="M57" s="427">
        <v>2</v>
      </c>
      <c r="N57" s="347"/>
      <c r="P57" s="387"/>
      <c r="Q57" s="387"/>
      <c r="R57" s="387"/>
      <c r="S57" s="387"/>
      <c r="T57" s="387"/>
      <c r="U57" s="387"/>
    </row>
    <row r="58" spans="2:21" ht="20.149999999999999" customHeight="1">
      <c r="B58" s="20"/>
      <c r="C58" s="348"/>
      <c r="D58" s="230" t="s">
        <v>275</v>
      </c>
      <c r="E58" s="231"/>
      <c r="F58" s="264"/>
      <c r="G58" s="282">
        <v>0.29559999999999997</v>
      </c>
      <c r="H58" s="260">
        <f>G58*H56</f>
        <v>31.037999999999997</v>
      </c>
      <c r="I58" s="406">
        <f>I24</f>
        <v>5</v>
      </c>
      <c r="J58" s="184">
        <f t="shared" ref="J58" si="1">I58*H58</f>
        <v>155.19</v>
      </c>
      <c r="K58" s="227">
        <f>$K$25</f>
        <v>692</v>
      </c>
      <c r="L58" s="409">
        <f>K58*J58</f>
        <v>107391.48</v>
      </c>
      <c r="M58" s="427">
        <v>3</v>
      </c>
      <c r="N58" s="347"/>
      <c r="P58" s="387"/>
      <c r="Q58" s="387"/>
      <c r="R58" s="387"/>
      <c r="S58" s="387"/>
      <c r="T58" s="387"/>
      <c r="U58" s="387"/>
    </row>
    <row r="59" spans="2:21" ht="20.149999999999999" customHeight="1">
      <c r="B59" s="20"/>
      <c r="C59" s="348"/>
      <c r="D59" s="285" t="s">
        <v>264</v>
      </c>
      <c r="E59" s="231"/>
      <c r="F59" s="258"/>
      <c r="G59" s="265"/>
      <c r="H59" s="260"/>
      <c r="I59" s="263"/>
      <c r="J59" s="184"/>
      <c r="K59" s="409"/>
      <c r="L59" s="409"/>
      <c r="M59" s="429"/>
      <c r="N59" s="347"/>
      <c r="P59" s="387"/>
      <c r="Q59" s="387"/>
      <c r="R59" s="387"/>
      <c r="S59" s="387"/>
      <c r="T59" s="387"/>
      <c r="U59" s="387"/>
    </row>
    <row r="60" spans="2:21" ht="20.149999999999999" customHeight="1">
      <c r="B60" s="20"/>
      <c r="C60" s="348"/>
      <c r="D60" s="230" t="s">
        <v>315</v>
      </c>
      <c r="E60" s="13"/>
      <c r="F60" s="351"/>
      <c r="G60" s="283">
        <v>0.16400000000000001</v>
      </c>
      <c r="H60" s="267">
        <f>G60*H52</f>
        <v>1476</v>
      </c>
      <c r="I60" s="378"/>
      <c r="J60" s="184"/>
      <c r="K60" s="212"/>
      <c r="L60" s="409"/>
      <c r="M60" s="427">
        <v>4</v>
      </c>
      <c r="N60" s="347"/>
      <c r="P60" s="387"/>
      <c r="Q60" s="387"/>
      <c r="R60" s="387"/>
      <c r="S60" s="387"/>
      <c r="T60" s="387"/>
      <c r="U60" s="387"/>
    </row>
    <row r="61" spans="2:21" ht="20.149999999999999" customHeight="1">
      <c r="B61" s="20"/>
      <c r="C61" s="348"/>
      <c r="D61" s="233" t="s">
        <v>314</v>
      </c>
      <c r="E61" s="375"/>
      <c r="F61" s="376"/>
      <c r="G61" s="438">
        <v>0.45119999999999999</v>
      </c>
      <c r="H61" s="205">
        <f>G61*H60</f>
        <v>665.97119999999995</v>
      </c>
      <c r="I61" s="407">
        <f>I23</f>
        <v>7</v>
      </c>
      <c r="J61" s="377">
        <f t="shared" ref="J61:J62" si="2">I61*H61</f>
        <v>4661.7983999999997</v>
      </c>
      <c r="K61" s="297">
        <f>$K$25</f>
        <v>692</v>
      </c>
      <c r="L61" s="212">
        <f>K61*J61</f>
        <v>3225964.4927999997</v>
      </c>
      <c r="M61" s="427">
        <v>5</v>
      </c>
      <c r="N61" s="347"/>
      <c r="P61" s="387"/>
      <c r="Q61" s="387"/>
      <c r="R61" s="387"/>
      <c r="S61" s="387"/>
      <c r="T61" s="387"/>
      <c r="U61" s="387"/>
    </row>
    <row r="62" spans="2:21" ht="20.149999999999999" customHeight="1">
      <c r="B62" s="20"/>
      <c r="C62" s="348"/>
      <c r="D62" s="230" t="s">
        <v>275</v>
      </c>
      <c r="E62" s="231"/>
      <c r="F62" s="374"/>
      <c r="G62" s="436">
        <v>0.54879999999999995</v>
      </c>
      <c r="H62" s="262">
        <f>G62*H60</f>
        <v>810.02879999999993</v>
      </c>
      <c r="I62" s="408">
        <f>I24</f>
        <v>5</v>
      </c>
      <c r="J62" s="377">
        <f t="shared" si="2"/>
        <v>4050.1439999999998</v>
      </c>
      <c r="K62" s="227">
        <f>$K$25</f>
        <v>692</v>
      </c>
      <c r="L62" s="257">
        <f>K62*J62</f>
        <v>2802699.648</v>
      </c>
      <c r="M62" s="427">
        <v>6</v>
      </c>
      <c r="N62" s="347"/>
      <c r="P62" s="387"/>
      <c r="Q62" s="387"/>
      <c r="R62" s="387"/>
      <c r="S62" s="387"/>
      <c r="T62" s="387"/>
      <c r="U62" s="387"/>
    </row>
    <row r="63" spans="2:21">
      <c r="B63" s="20"/>
      <c r="C63" s="348"/>
      <c r="D63" s="346"/>
      <c r="E63" s="206"/>
      <c r="F63" s="207"/>
      <c r="G63" s="208"/>
      <c r="H63" s="209"/>
      <c r="I63" s="210" t="s">
        <v>273</v>
      </c>
      <c r="J63" s="268">
        <f>SUM(J55:J62)</f>
        <v>9384.866399999999</v>
      </c>
      <c r="K63" s="227"/>
      <c r="L63" s="281">
        <f>SUM(L55:L62)</f>
        <v>6494327.5487999991</v>
      </c>
      <c r="M63" s="386"/>
      <c r="N63" s="347"/>
      <c r="P63" s="387"/>
      <c r="Q63" s="387"/>
      <c r="R63" s="387"/>
      <c r="S63" s="387"/>
      <c r="T63" s="387"/>
      <c r="U63" s="387"/>
    </row>
    <row r="64" spans="2:21" ht="15" thickBot="1">
      <c r="B64" s="20"/>
      <c r="C64" s="367"/>
      <c r="D64" s="309"/>
      <c r="E64" s="310"/>
      <c r="F64" s="311"/>
      <c r="G64" s="312"/>
      <c r="H64" s="313"/>
      <c r="I64" s="314"/>
      <c r="J64" s="315"/>
      <c r="K64" s="316"/>
      <c r="L64" s="316"/>
      <c r="M64" s="418"/>
      <c r="N64" s="359"/>
      <c r="P64" s="387"/>
      <c r="Q64" s="387"/>
      <c r="R64" s="387"/>
      <c r="S64" s="387"/>
      <c r="T64" s="387"/>
      <c r="U64" s="387"/>
    </row>
    <row r="65" spans="2:21" ht="26.25" customHeight="1">
      <c r="B65" s="20"/>
      <c r="C65" s="13"/>
      <c r="D65" s="11" t="s">
        <v>281</v>
      </c>
      <c r="E65" s="206"/>
      <c r="F65" s="207"/>
      <c r="G65" s="208"/>
      <c r="H65" s="209"/>
      <c r="I65" s="210"/>
      <c r="J65" s="211"/>
      <c r="K65" s="212"/>
      <c r="L65" s="212"/>
      <c r="N65" s="19"/>
      <c r="P65" s="387"/>
      <c r="Q65" s="387"/>
      <c r="R65" s="387"/>
      <c r="S65" s="387"/>
      <c r="T65" s="387"/>
      <c r="U65" s="387"/>
    </row>
    <row r="66" spans="2:21">
      <c r="B66" s="20"/>
      <c r="C66" s="13"/>
      <c r="D66" s="52" t="s">
        <v>299</v>
      </c>
      <c r="E66" s="292"/>
      <c r="F66" s="293"/>
      <c r="G66" s="294"/>
      <c r="H66" s="295"/>
      <c r="I66" s="296"/>
      <c r="J66" s="304"/>
      <c r="K66" s="257"/>
      <c r="L66" s="297">
        <f>L52-L35</f>
        <v>-960</v>
      </c>
      <c r="M66" s="415"/>
      <c r="N66" s="19"/>
      <c r="P66" s="387"/>
      <c r="Q66" s="387"/>
      <c r="R66" s="387"/>
      <c r="S66" s="387"/>
      <c r="T66" s="387"/>
      <c r="U66" s="387"/>
    </row>
    <row r="67" spans="2:21">
      <c r="B67" s="20"/>
      <c r="C67" s="13"/>
      <c r="D67" s="52" t="s">
        <v>300</v>
      </c>
      <c r="E67" s="292"/>
      <c r="F67" s="293"/>
      <c r="G67" s="294"/>
      <c r="H67" s="295"/>
      <c r="I67" s="296"/>
      <c r="J67" s="304"/>
      <c r="K67" s="257"/>
      <c r="L67" s="297">
        <f>L51-L34</f>
        <v>39000</v>
      </c>
      <c r="M67" s="415"/>
      <c r="N67" s="19"/>
      <c r="P67" s="387"/>
      <c r="Q67" s="387"/>
      <c r="R67" s="387"/>
      <c r="S67" s="387"/>
      <c r="T67" s="387"/>
      <c r="U67" s="387"/>
    </row>
    <row r="68" spans="2:21">
      <c r="B68" s="20"/>
      <c r="C68" s="13"/>
      <c r="D68" s="233" t="s">
        <v>277</v>
      </c>
      <c r="E68" s="239"/>
      <c r="F68" s="253"/>
      <c r="G68" s="306"/>
      <c r="H68" s="307"/>
      <c r="I68" s="308"/>
      <c r="J68" s="75">
        <f>J63-J46</f>
        <v>-295.06960000000072</v>
      </c>
      <c r="K68" s="257">
        <f>K25</f>
        <v>692</v>
      </c>
      <c r="L68" s="297">
        <f>L63-L46</f>
        <v>-204188.1632000003</v>
      </c>
      <c r="M68" s="415"/>
      <c r="N68" s="19"/>
      <c r="P68" s="387"/>
      <c r="Q68" s="387"/>
      <c r="R68" s="387"/>
      <c r="S68" s="387"/>
      <c r="T68" s="387"/>
      <c r="U68" s="387"/>
    </row>
    <row r="69" spans="2:21">
      <c r="B69" s="20"/>
      <c r="C69" s="13"/>
      <c r="D69" s="85" t="s">
        <v>282</v>
      </c>
      <c r="E69" s="221"/>
      <c r="F69" s="269"/>
      <c r="G69" s="287"/>
      <c r="H69" s="288"/>
      <c r="I69" s="289"/>
      <c r="J69" s="290">
        <f>SUM(J66:J68)</f>
        <v>-295.06960000000072</v>
      </c>
      <c r="K69" s="291"/>
      <c r="L69" s="305">
        <f>SUM(L66:L68)</f>
        <v>-166148.1632000003</v>
      </c>
      <c r="M69" s="386"/>
      <c r="N69" s="19"/>
      <c r="P69" s="387"/>
      <c r="Q69" s="387"/>
      <c r="R69" s="387"/>
      <c r="S69" s="387"/>
      <c r="T69" s="387"/>
      <c r="U69" s="387"/>
    </row>
    <row r="70" spans="2:21">
      <c r="B70" s="20"/>
      <c r="C70" s="13"/>
      <c r="D70" s="13"/>
      <c r="E70" s="13"/>
      <c r="F70" s="199"/>
      <c r="G70" s="200"/>
      <c r="H70" s="201"/>
      <c r="I70" s="204"/>
      <c r="J70" s="203"/>
      <c r="K70" s="200"/>
      <c r="L70" s="200"/>
      <c r="N70" s="19"/>
    </row>
    <row r="71" spans="2:21">
      <c r="B71" s="20"/>
      <c r="C71" s="286" t="s">
        <v>278</v>
      </c>
      <c r="D71" s="13"/>
      <c r="E71" s="13"/>
      <c r="F71" s="199"/>
      <c r="G71" s="200"/>
      <c r="H71" s="201"/>
      <c r="I71" s="204"/>
      <c r="J71" s="203"/>
      <c r="K71" s="200"/>
      <c r="L71" s="200"/>
      <c r="N71" s="19"/>
    </row>
    <row r="72" spans="2:21" ht="32.25" customHeight="1">
      <c r="B72" s="396">
        <v>1</v>
      </c>
      <c r="C72" s="451" t="s">
        <v>307</v>
      </c>
      <c r="D72" s="451"/>
      <c r="E72" s="451"/>
      <c r="F72" s="451"/>
      <c r="G72" s="451"/>
      <c r="H72" s="451"/>
      <c r="I72" s="451"/>
      <c r="J72" s="451"/>
      <c r="K72" s="451"/>
      <c r="L72" s="451"/>
      <c r="M72" s="451"/>
      <c r="N72" s="452"/>
    </row>
    <row r="73" spans="2:21">
      <c r="B73" s="396">
        <v>2</v>
      </c>
      <c r="C73" s="37" t="s">
        <v>308</v>
      </c>
      <c r="D73" s="13"/>
      <c r="E73" s="13"/>
      <c r="F73" s="199"/>
      <c r="G73" s="200"/>
      <c r="H73" s="201"/>
      <c r="I73" s="204"/>
      <c r="J73" s="203"/>
      <c r="K73" s="200"/>
      <c r="L73" s="200"/>
      <c r="N73" s="19"/>
    </row>
    <row r="74" spans="2:21">
      <c r="B74" s="396">
        <v>3</v>
      </c>
      <c r="C74" s="37" t="s">
        <v>309</v>
      </c>
      <c r="D74" s="13"/>
      <c r="E74" s="13"/>
      <c r="F74" s="199"/>
      <c r="G74" s="200"/>
      <c r="H74" s="201"/>
      <c r="I74" s="204"/>
      <c r="J74" s="203"/>
      <c r="K74" s="200"/>
      <c r="L74" s="200"/>
      <c r="N74" s="19"/>
    </row>
    <row r="75" spans="2:21" ht="33" customHeight="1">
      <c r="B75" s="396">
        <v>4</v>
      </c>
      <c r="C75" s="451" t="s">
        <v>310</v>
      </c>
      <c r="D75" s="451"/>
      <c r="E75" s="451"/>
      <c r="F75" s="451"/>
      <c r="G75" s="451"/>
      <c r="H75" s="451"/>
      <c r="I75" s="451"/>
      <c r="J75" s="451"/>
      <c r="K75" s="451"/>
      <c r="L75" s="451"/>
      <c r="M75" s="451"/>
      <c r="N75" s="452"/>
    </row>
    <row r="76" spans="2:21">
      <c r="B76" s="396">
        <v>5</v>
      </c>
      <c r="C76" s="37" t="s">
        <v>311</v>
      </c>
      <c r="D76" s="13"/>
      <c r="E76" s="13"/>
      <c r="F76" s="199"/>
      <c r="G76" s="200"/>
      <c r="H76" s="201"/>
      <c r="I76" s="204"/>
      <c r="J76" s="397"/>
      <c r="K76" s="397"/>
      <c r="L76" s="397"/>
      <c r="M76" s="419"/>
      <c r="N76" s="398"/>
    </row>
    <row r="77" spans="2:21">
      <c r="B77" s="20">
        <v>6</v>
      </c>
      <c r="C77" s="37" t="s">
        <v>312</v>
      </c>
      <c r="D77" s="13"/>
      <c r="E77" s="13"/>
      <c r="F77" s="199"/>
      <c r="G77" s="200"/>
      <c r="H77" s="201"/>
      <c r="I77" s="204"/>
      <c r="J77" s="203"/>
      <c r="K77" s="200"/>
      <c r="L77" s="200"/>
      <c r="N77" s="19"/>
    </row>
    <row r="78" spans="2:21">
      <c r="B78" s="21"/>
      <c r="C78" s="22"/>
      <c r="D78" s="22"/>
      <c r="E78" s="264"/>
      <c r="F78" s="264"/>
      <c r="G78" s="264"/>
      <c r="H78" s="259"/>
      <c r="I78" s="260"/>
      <c r="J78" s="264"/>
      <c r="K78" s="264"/>
      <c r="L78" s="264"/>
      <c r="M78" s="411"/>
      <c r="N78" s="23"/>
    </row>
    <row r="79" spans="2:21">
      <c r="D79" s="13"/>
      <c r="E79" s="13"/>
      <c r="F79" s="13"/>
      <c r="G79" s="13"/>
    </row>
    <row r="80" spans="2:21" hidden="1">
      <c r="B80" s="91" t="s">
        <v>47</v>
      </c>
      <c r="C80" s="90"/>
      <c r="D80" s="90"/>
      <c r="E80" s="90"/>
      <c r="F80" s="90"/>
      <c r="G80" s="90"/>
      <c r="H80" s="90"/>
      <c r="I80" s="90"/>
      <c r="J80" s="90"/>
      <c r="K80" s="90"/>
      <c r="L80" s="90"/>
      <c r="M80" s="420"/>
    </row>
    <row r="81" spans="2:13" hidden="1">
      <c r="B81" s="49"/>
      <c r="C81" s="43"/>
      <c r="D81" s="43"/>
      <c r="E81" s="43"/>
      <c r="F81" s="43"/>
      <c r="G81" s="43"/>
      <c r="H81" s="43"/>
      <c r="I81" s="43"/>
      <c r="J81" s="43"/>
      <c r="K81" s="43"/>
      <c r="L81" s="43"/>
      <c r="M81" s="421"/>
    </row>
    <row r="82" spans="2:13" hidden="1">
      <c r="B82" s="49"/>
      <c r="C82" s="176" t="s">
        <v>225</v>
      </c>
      <c r="D82" s="43"/>
      <c r="E82" s="43"/>
      <c r="F82" s="43"/>
      <c r="G82" s="43"/>
      <c r="H82" s="43"/>
      <c r="I82" s="43"/>
      <c r="J82" s="43"/>
      <c r="K82" s="43"/>
      <c r="L82" s="43"/>
      <c r="M82" s="421"/>
    </row>
    <row r="83" spans="2:13" hidden="1">
      <c r="B83" s="49"/>
      <c r="C83" s="177" t="s">
        <v>236</v>
      </c>
      <c r="D83" s="43"/>
      <c r="E83" s="43"/>
      <c r="F83" s="43"/>
      <c r="G83" s="43"/>
      <c r="H83" s="43"/>
      <c r="I83" s="43"/>
      <c r="J83" s="43"/>
      <c r="K83" s="43"/>
      <c r="L83" s="43"/>
      <c r="M83" s="421"/>
    </row>
    <row r="84" spans="2:13" hidden="1">
      <c r="B84" s="49"/>
      <c r="C84" s="178" t="s">
        <v>226</v>
      </c>
      <c r="D84" s="43"/>
      <c r="E84" s="43"/>
      <c r="F84" s="43"/>
      <c r="G84" s="43"/>
      <c r="H84" s="43"/>
      <c r="I84" s="43"/>
      <c r="J84" s="43"/>
      <c r="K84" s="43"/>
      <c r="L84" s="43"/>
      <c r="M84" s="421"/>
    </row>
    <row r="85" spans="2:13" hidden="1">
      <c r="B85" s="49"/>
      <c r="C85" s="4"/>
      <c r="D85" s="43"/>
      <c r="E85" s="43"/>
      <c r="F85" s="43"/>
      <c r="G85" s="43"/>
      <c r="H85" s="43"/>
      <c r="I85" s="43"/>
      <c r="J85" s="43"/>
      <c r="K85" s="43"/>
      <c r="L85" s="43"/>
      <c r="M85" s="421"/>
    </row>
    <row r="86" spans="2:13" hidden="1">
      <c r="B86" s="49"/>
      <c r="C86" s="177" t="s">
        <v>227</v>
      </c>
      <c r="D86" s="43"/>
      <c r="E86" s="43"/>
      <c r="F86" s="43"/>
      <c r="G86" s="43"/>
      <c r="H86" s="43"/>
      <c r="I86" s="43"/>
      <c r="J86" s="43"/>
      <c r="K86" s="43"/>
      <c r="L86" s="43"/>
      <c r="M86" s="421"/>
    </row>
    <row r="87" spans="2:13" hidden="1">
      <c r="B87" s="49"/>
      <c r="C87" s="178" t="s">
        <v>228</v>
      </c>
      <c r="D87" s="43"/>
      <c r="E87" s="43"/>
      <c r="F87" s="43"/>
      <c r="G87" s="43"/>
      <c r="H87" s="43"/>
      <c r="I87" s="43"/>
      <c r="J87" s="43"/>
      <c r="K87" s="43"/>
      <c r="L87" s="43"/>
      <c r="M87" s="421"/>
    </row>
    <row r="88" spans="2:13" hidden="1">
      <c r="B88" s="49"/>
      <c r="C88" s="4"/>
      <c r="D88" s="43"/>
      <c r="E88" s="43"/>
      <c r="F88" s="43"/>
      <c r="G88" s="43"/>
      <c r="H88" s="43"/>
      <c r="I88" s="43"/>
      <c r="J88" s="43"/>
      <c r="K88" s="43"/>
      <c r="L88" s="43"/>
      <c r="M88" s="421"/>
    </row>
    <row r="89" spans="2:13" hidden="1">
      <c r="B89" s="49"/>
      <c r="C89" s="4" t="s">
        <v>229</v>
      </c>
      <c r="D89" s="43"/>
      <c r="E89" s="43"/>
      <c r="F89" s="43"/>
      <c r="G89" s="43"/>
      <c r="H89" s="43"/>
      <c r="I89" s="43"/>
      <c r="J89" s="43"/>
      <c r="K89" s="43"/>
      <c r="L89" s="43"/>
      <c r="M89" s="421"/>
    </row>
    <row r="90" spans="2:13" hidden="1">
      <c r="B90" s="49"/>
      <c r="C90" s="4" t="s">
        <v>230</v>
      </c>
      <c r="D90" s="43"/>
      <c r="E90" s="43"/>
      <c r="F90" s="43"/>
      <c r="G90" s="43"/>
      <c r="H90" s="43"/>
      <c r="I90" s="43"/>
      <c r="J90" s="43"/>
      <c r="K90" s="43"/>
      <c r="L90" s="43"/>
      <c r="M90" s="421"/>
    </row>
    <row r="91" spans="2:13" hidden="1">
      <c r="B91" s="49"/>
      <c r="C91" s="4"/>
      <c r="D91" s="43"/>
      <c r="E91" s="43"/>
      <c r="F91" s="43"/>
      <c r="G91" s="43"/>
      <c r="H91" s="43"/>
      <c r="I91" s="43"/>
      <c r="J91" s="43"/>
      <c r="K91" s="43"/>
      <c r="L91" s="43"/>
      <c r="M91" s="421"/>
    </row>
    <row r="92" spans="2:13" hidden="1">
      <c r="B92" s="49"/>
      <c r="C92" s="4" t="s">
        <v>263</v>
      </c>
      <c r="D92" s="43"/>
      <c r="E92" s="43"/>
      <c r="F92" s="43"/>
      <c r="G92" s="43"/>
      <c r="H92" s="43"/>
      <c r="I92" s="43"/>
      <c r="J92" s="43"/>
      <c r="K92" s="43"/>
      <c r="L92" s="43"/>
      <c r="M92" s="421"/>
    </row>
    <row r="93" spans="2:13" hidden="1">
      <c r="B93" s="49"/>
      <c r="C93" s="177" t="s">
        <v>231</v>
      </c>
      <c r="D93" s="43"/>
      <c r="E93" s="43"/>
      <c r="F93" s="43"/>
      <c r="G93" s="43"/>
      <c r="H93" s="43"/>
      <c r="I93" s="43"/>
      <c r="J93" s="43"/>
      <c r="K93" s="43"/>
      <c r="L93" s="43"/>
      <c r="M93" s="421"/>
    </row>
    <row r="94" spans="2:13" hidden="1">
      <c r="B94" s="49"/>
      <c r="C94" s="178" t="s">
        <v>232</v>
      </c>
      <c r="D94" s="43"/>
      <c r="E94" s="43"/>
      <c r="F94" s="43"/>
      <c r="G94" s="43"/>
      <c r="H94" s="43"/>
      <c r="I94" s="43"/>
      <c r="J94" s="43"/>
      <c r="K94" s="43"/>
      <c r="L94" s="43"/>
      <c r="M94" s="421"/>
    </row>
    <row r="95" spans="2:13" hidden="1">
      <c r="B95" s="49"/>
      <c r="C95" s="4" t="s">
        <v>233</v>
      </c>
      <c r="D95" s="43"/>
      <c r="E95" s="43"/>
      <c r="F95" s="43"/>
      <c r="G95" s="43"/>
      <c r="H95" s="43"/>
      <c r="I95" s="43"/>
      <c r="J95" s="43"/>
      <c r="K95" s="43"/>
      <c r="L95" s="43"/>
      <c r="M95" s="421"/>
    </row>
    <row r="96" spans="2:13" hidden="1">
      <c r="B96" s="49"/>
      <c r="C96" s="4" t="s">
        <v>234</v>
      </c>
      <c r="D96" s="43"/>
      <c r="E96" s="43"/>
      <c r="F96" s="43"/>
      <c r="G96" s="43"/>
      <c r="H96" s="43"/>
      <c r="I96" s="43"/>
      <c r="J96" s="43"/>
      <c r="K96" s="43"/>
      <c r="L96" s="43"/>
      <c r="M96" s="421"/>
    </row>
    <row r="97" spans="2:13" hidden="1">
      <c r="B97" s="49"/>
      <c r="C97" s="4" t="s">
        <v>235</v>
      </c>
      <c r="D97" s="43"/>
      <c r="E97" s="43"/>
      <c r="F97" s="43"/>
      <c r="G97" s="43"/>
      <c r="H97" s="43"/>
      <c r="I97" s="43"/>
      <c r="J97" s="43"/>
      <c r="K97" s="43"/>
      <c r="L97" s="43"/>
      <c r="M97" s="421"/>
    </row>
    <row r="98" spans="2:13" hidden="1">
      <c r="B98" s="47"/>
      <c r="C98" s="51"/>
      <c r="D98" s="46"/>
      <c r="E98" s="46"/>
      <c r="F98" s="46"/>
      <c r="G98" s="46"/>
      <c r="H98" s="46"/>
      <c r="I98" s="46"/>
      <c r="J98" s="46"/>
      <c r="K98" s="46"/>
      <c r="L98" s="46"/>
      <c r="M98" s="420"/>
    </row>
  </sheetData>
  <sheetProtection algorithmName="SHA-512" hashValue="oGBRweo9MxSSXFf3CJOBDFBoCXbinVCwt4BDC52ujtgOHCH2TRN28RJvTCH6I+kpExLoC5t/f1YxVVVFR6XfFA==" saltValue="XU9n0XsAJ6vj+fYcNuDqTg==" spinCount="100000" sheet="1" objects="1" scenarios="1"/>
  <protectedRanges>
    <protectedRange sqref="E12:F13 E14:J14 H12:J13" name="Range1_1"/>
    <protectedRange sqref="H19:K20" name="Range1_3"/>
  </protectedRanges>
  <mergeCells count="4">
    <mergeCell ref="D19:G19"/>
    <mergeCell ref="D20:G20"/>
    <mergeCell ref="C72:N72"/>
    <mergeCell ref="C75:N75"/>
  </mergeCells>
  <phoneticPr fontId="37" type="noConversion"/>
  <hyperlinks>
    <hyperlink ref="C94" r:id="rId1" xr:uid="{D437A207-70B8-4AD3-B4EF-AE1CCC50890A}"/>
    <hyperlink ref="C87" r:id="rId2" xr:uid="{19825AB5-AE27-49DC-ADE1-00694DF9F6D9}"/>
    <hyperlink ref="C84" r:id="rId3" xr:uid="{EFCC9E55-E11C-4C6A-A2A6-6DCC7F1CB831}"/>
  </hyperlinks>
  <pageMargins left="0.7" right="0.7" top="0.75" bottom="0.75" header="0.3" footer="0.3"/>
  <pageSetup paperSize="9" scale="24" orientation="portrait" r:id="rId4"/>
  <ignoredErrors>
    <ignoredError sqref="H39 J46 H56:H62 J63 H42:H45 K51:K52 K34:K36 J19:J20" unlockedFormula="1"/>
    <ignoredError sqref="K42:K43 K46 K63 K44:K45 K59:K60 K57:K58 K61:K62 K68 K40:K4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2074F-A279-4328-B0CE-F7BADEBBD59A}">
  <sheetPr>
    <tabColor theme="8" tint="-0.499984740745262"/>
    <pageSetUpPr fitToPage="1"/>
  </sheetPr>
  <dimension ref="B1:G48"/>
  <sheetViews>
    <sheetView showGridLines="0" zoomScale="80" zoomScaleNormal="80" zoomScaleSheetLayoutView="80" workbookViewId="0"/>
  </sheetViews>
  <sheetFormatPr defaultColWidth="8.81640625" defaultRowHeight="14.5"/>
  <cols>
    <col min="1" max="1" width="3.54296875" customWidth="1"/>
    <col min="2" max="2" width="65.453125" style="1" customWidth="1"/>
    <col min="3" max="3" width="11.54296875" customWidth="1"/>
    <col min="4" max="5" width="11.81640625" customWidth="1"/>
    <col min="6" max="7" width="10.81640625" customWidth="1"/>
    <col min="8" max="8" width="8.81640625" customWidth="1"/>
  </cols>
  <sheetData>
    <row r="1" spans="2:7" ht="28.75" customHeight="1">
      <c r="B1" s="10" t="str">
        <f>'Inputs and eligible population'!B1</f>
        <v>Kurin Lock for Blood Culture Collection</v>
      </c>
      <c r="C1" s="6"/>
      <c r="D1" s="6"/>
      <c r="E1" s="6"/>
      <c r="F1" s="6"/>
      <c r="G1" s="6"/>
    </row>
    <row r="2" spans="2:7" ht="38.15" customHeight="1">
      <c r="B2" s="86" t="s">
        <v>287</v>
      </c>
      <c r="C2" s="6" t="s">
        <v>48</v>
      </c>
      <c r="D2" s="6" t="s">
        <v>48</v>
      </c>
      <c r="E2" s="6"/>
      <c r="F2" s="6"/>
      <c r="G2" s="6"/>
    </row>
    <row r="3" spans="2:7">
      <c r="B3" s="8" t="s">
        <v>48</v>
      </c>
      <c r="C3" s="9" t="s">
        <v>48</v>
      </c>
      <c r="D3" s="9" t="s">
        <v>48</v>
      </c>
      <c r="E3" s="9"/>
      <c r="F3" s="9"/>
      <c r="G3" s="9"/>
    </row>
    <row r="4" spans="2:7" s="54" customFormat="1">
      <c r="B4" s="56" t="s">
        <v>295</v>
      </c>
      <c r="E4" s="9"/>
      <c r="F4" s="9"/>
      <c r="G4" s="9"/>
    </row>
    <row r="5" spans="2:7" s="54" customFormat="1">
      <c r="B5" s="56" t="s">
        <v>296</v>
      </c>
      <c r="E5" s="9"/>
      <c r="F5" s="9"/>
      <c r="G5" s="9"/>
    </row>
    <row r="6" spans="2:7" s="54" customFormat="1">
      <c r="B6" s="56"/>
      <c r="C6" s="9" t="s">
        <v>48</v>
      </c>
      <c r="D6" s="9" t="s">
        <v>48</v>
      </c>
      <c r="E6" s="9"/>
      <c r="F6" s="9"/>
      <c r="G6" s="9"/>
    </row>
    <row r="7" spans="2:7" s="54" customFormat="1">
      <c r="B7" s="67" t="s">
        <v>49</v>
      </c>
      <c r="C7" s="68"/>
      <c r="D7" s="69"/>
      <c r="F7" s="9"/>
      <c r="G7" s="9"/>
    </row>
    <row r="8" spans="2:7" s="54" customFormat="1">
      <c r="B8" s="55"/>
      <c r="C8" s="9"/>
      <c r="D8" s="9"/>
      <c r="F8" s="9"/>
      <c r="G8" s="9"/>
    </row>
    <row r="9" spans="2:7" s="54" customFormat="1" ht="43.5">
      <c r="B9" s="62" t="s">
        <v>258</v>
      </c>
      <c r="C9" s="58"/>
      <c r="D9" s="93" t="s">
        <v>320</v>
      </c>
      <c r="E9" s="321" t="s">
        <v>320</v>
      </c>
      <c r="F9" s="321" t="s">
        <v>302</v>
      </c>
      <c r="G9" s="9"/>
    </row>
    <row r="10" spans="2:7" s="54" customFormat="1">
      <c r="B10" s="72" t="s">
        <v>259</v>
      </c>
      <c r="C10" s="73"/>
      <c r="D10" s="59">
        <f>'Inputs and eligible population'!H34</f>
        <v>0</v>
      </c>
      <c r="E10" s="318">
        <f>'Inputs and eligible population'!H51</f>
        <v>1000</v>
      </c>
      <c r="F10" s="320">
        <f>E10-D10</f>
        <v>1000</v>
      </c>
      <c r="G10" s="9"/>
    </row>
    <row r="11" spans="2:7" s="54" customFormat="1">
      <c r="B11" s="72" t="s">
        <v>286</v>
      </c>
      <c r="C11" s="74"/>
      <c r="D11" s="59">
        <f>'Inputs and eligible population'!H35</f>
        <v>10000</v>
      </c>
      <c r="E11" s="318">
        <f>'Inputs and eligible population'!H52</f>
        <v>9000</v>
      </c>
      <c r="F11" s="320">
        <f>E11-D11</f>
        <v>-1000</v>
      </c>
      <c r="G11" s="9"/>
    </row>
    <row r="12" spans="2:7" s="54" customFormat="1">
      <c r="B12" s="63"/>
      <c r="C12" s="34"/>
      <c r="D12" s="35">
        <f>SUM(D10:D11)</f>
        <v>10000</v>
      </c>
      <c r="E12" s="319">
        <f>SUM(E10:E11)</f>
        <v>10000</v>
      </c>
      <c r="F12" s="329">
        <f>SUM(F10:F11)</f>
        <v>0</v>
      </c>
      <c r="G12" s="9"/>
    </row>
    <row r="13" spans="2:7" s="54" customFormat="1">
      <c r="B13" s="64"/>
      <c r="C13" s="9"/>
      <c r="D13" s="9"/>
      <c r="E13" s="9"/>
      <c r="F13" s="317"/>
      <c r="G13" s="9"/>
    </row>
    <row r="14" spans="2:7" s="54" customFormat="1">
      <c r="B14" s="65" t="s">
        <v>260</v>
      </c>
      <c r="C14" s="60" t="s">
        <v>54</v>
      </c>
      <c r="D14" s="61" t="s">
        <v>50</v>
      </c>
      <c r="E14" s="61" t="s">
        <v>50</v>
      </c>
      <c r="F14" s="61" t="s">
        <v>50</v>
      </c>
      <c r="G14" s="9"/>
    </row>
    <row r="15" spans="2:7" s="54" customFormat="1">
      <c r="B15" s="190" t="s">
        <v>261</v>
      </c>
      <c r="C15" s="191">
        <f>('Inputs and eligible population'!J19)*(1+'Inputs and eligible population'!$K$19)</f>
        <v>39</v>
      </c>
      <c r="D15" s="192">
        <f>D10*$C$15/1000</f>
        <v>0</v>
      </c>
      <c r="E15" s="192">
        <f>E10*$C$15/1000</f>
        <v>39</v>
      </c>
      <c r="F15" s="322">
        <f>E15-D15</f>
        <v>39</v>
      </c>
      <c r="G15" s="9"/>
    </row>
    <row r="16" spans="2:7" s="54" customFormat="1">
      <c r="B16" s="190" t="s">
        <v>264</v>
      </c>
      <c r="C16" s="191">
        <f>('Inputs and eligible population'!J20)*(1+'Inputs and eligible population'!$K$19)</f>
        <v>0.96</v>
      </c>
      <c r="D16" s="192">
        <f>D11*$C$16/1000</f>
        <v>9.6</v>
      </c>
      <c r="E16" s="192">
        <f>E11*$C$16/1000</f>
        <v>8.64</v>
      </c>
      <c r="F16" s="322">
        <f>E16-D16</f>
        <v>-0.95999999999999908</v>
      </c>
      <c r="G16" s="9"/>
    </row>
    <row r="17" spans="2:7" s="54" customFormat="1">
      <c r="B17" s="63" t="s">
        <v>262</v>
      </c>
      <c r="C17" s="188"/>
      <c r="D17" s="36">
        <f>SUM(D15:D16)</f>
        <v>9.6</v>
      </c>
      <c r="E17" s="36">
        <f>SUM(E15:E16)</f>
        <v>47.64</v>
      </c>
      <c r="F17" s="328">
        <f>SUM(F15:F16)</f>
        <v>38.04</v>
      </c>
      <c r="G17" s="9"/>
    </row>
    <row r="18" spans="2:7" s="54" customFormat="1">
      <c r="B18" s="193"/>
      <c r="C18" s="194"/>
      <c r="D18" s="195"/>
      <c r="F18" s="9"/>
      <c r="G18" s="9"/>
    </row>
    <row r="19" spans="2:7" s="54" customFormat="1">
      <c r="B19" s="67" t="s">
        <v>51</v>
      </c>
      <c r="C19" s="68"/>
      <c r="D19" s="69"/>
      <c r="F19" s="9"/>
      <c r="G19" s="9"/>
    </row>
    <row r="20" spans="2:7" s="54" customFormat="1">
      <c r="B20" s="324"/>
      <c r="C20" s="325"/>
      <c r="D20" s="9"/>
      <c r="F20" s="9"/>
      <c r="G20" s="9"/>
    </row>
    <row r="21" spans="2:7" s="54" customFormat="1">
      <c r="B21" s="65" t="s">
        <v>289</v>
      </c>
      <c r="C21" s="60" t="s">
        <v>54</v>
      </c>
      <c r="D21" s="61" t="s">
        <v>50</v>
      </c>
      <c r="E21" s="61" t="s">
        <v>50</v>
      </c>
      <c r="F21" s="61" t="s">
        <v>50</v>
      </c>
      <c r="G21" s="9"/>
    </row>
    <row r="22" spans="2:7" s="54" customFormat="1">
      <c r="B22" s="190" t="s">
        <v>284</v>
      </c>
      <c r="C22" s="191">
        <f>'Inputs and eligible population'!K44</f>
        <v>692</v>
      </c>
      <c r="D22" s="192">
        <f>D30*C22/1000</f>
        <v>0</v>
      </c>
      <c r="E22" s="192">
        <f>E30*C22/1000</f>
        <v>465.663408</v>
      </c>
      <c r="F22" s="322">
        <f>E22-D22</f>
        <v>465.663408</v>
      </c>
      <c r="G22" s="9"/>
    </row>
    <row r="23" spans="2:7" s="54" customFormat="1">
      <c r="B23" s="190" t="s">
        <v>285</v>
      </c>
      <c r="C23" s="191">
        <f>C22</f>
        <v>692</v>
      </c>
      <c r="D23" s="192">
        <f>D31*C23/1000</f>
        <v>6698.5157119999994</v>
      </c>
      <c r="E23" s="192">
        <f>E31*C23/1000</f>
        <v>6028.6641408000005</v>
      </c>
      <c r="F23" s="322">
        <f>E23-D23</f>
        <v>-669.85157119999894</v>
      </c>
      <c r="G23" s="9"/>
    </row>
    <row r="24" spans="2:7" s="54" customFormat="1">
      <c r="B24" s="63" t="s">
        <v>262</v>
      </c>
      <c r="C24" s="188"/>
      <c r="D24" s="36">
        <f>SUM(D22:D23)</f>
        <v>6698.5157119999994</v>
      </c>
      <c r="E24" s="36">
        <f>SUM(E22:E23)</f>
        <v>6494.3275488000008</v>
      </c>
      <c r="F24" s="326">
        <f>SUM(F22:F23)</f>
        <v>-204.18816319999894</v>
      </c>
      <c r="G24" s="9"/>
    </row>
    <row r="25" spans="2:7" s="54" customFormat="1">
      <c r="B25" s="324"/>
      <c r="C25" s="325"/>
      <c r="D25" s="9"/>
      <c r="F25" s="9"/>
      <c r="G25" s="9"/>
    </row>
    <row r="26" spans="2:7" s="54" customFormat="1">
      <c r="B26" s="330" t="s">
        <v>52</v>
      </c>
      <c r="C26" s="331"/>
      <c r="D26" s="328">
        <f>D24+D17</f>
        <v>6708.1157119999998</v>
      </c>
      <c r="E26" s="328">
        <f>E24+E17</f>
        <v>6541.9675488000012</v>
      </c>
      <c r="F26" s="328">
        <f>E26-D26</f>
        <v>-166.14816319999863</v>
      </c>
      <c r="G26" s="9"/>
    </row>
    <row r="27" spans="2:7" s="54" customFormat="1">
      <c r="B27" s="324"/>
      <c r="C27" s="325"/>
      <c r="D27" s="9"/>
      <c r="F27" s="9"/>
      <c r="G27" s="9"/>
    </row>
    <row r="28" spans="2:7" s="54" customFormat="1">
      <c r="B28" s="327" t="s">
        <v>319</v>
      </c>
      <c r="C28" s="325"/>
      <c r="D28" s="9"/>
      <c r="F28" s="9"/>
      <c r="G28" s="9"/>
    </row>
    <row r="29" spans="2:7" ht="43.5">
      <c r="B29" s="336" t="s">
        <v>290</v>
      </c>
      <c r="C29" s="334"/>
      <c r="D29" s="93" t="s">
        <v>320</v>
      </c>
      <c r="E29" s="321" t="s">
        <v>321</v>
      </c>
      <c r="F29" s="321" t="s">
        <v>283</v>
      </c>
    </row>
    <row r="30" spans="2:7" s="54" customFormat="1">
      <c r="B30" s="57" t="s">
        <v>291</v>
      </c>
      <c r="C30" s="337"/>
      <c r="D30" s="332">
        <f>SUM('Inputs and eligible population'!J40:J41)</f>
        <v>0</v>
      </c>
      <c r="E30" s="323">
        <f>SUM('Inputs and eligible population'!J57:J58)</f>
        <v>672.92399999999998</v>
      </c>
      <c r="F30" s="320">
        <f>E30-D30</f>
        <v>672.92399999999998</v>
      </c>
      <c r="G30" s="9"/>
    </row>
    <row r="31" spans="2:7" s="54" customFormat="1">
      <c r="B31" s="57" t="s">
        <v>288</v>
      </c>
      <c r="C31" s="337"/>
      <c r="D31" s="332">
        <f>SUM('Inputs and eligible population'!J44:J45)</f>
        <v>9679.9359999999997</v>
      </c>
      <c r="E31" s="323">
        <f>SUM('Inputs and eligible population'!J61:J62)</f>
        <v>8711.9423999999999</v>
      </c>
      <c r="F31" s="320">
        <f>E31-D31</f>
        <v>-967.99359999999979</v>
      </c>
      <c r="G31" s="9"/>
    </row>
    <row r="32" spans="2:7" s="54" customFormat="1">
      <c r="B32" s="338" t="str">
        <f>IF(F32&lt;0,"Reduction in bed days","Additional bed days")</f>
        <v>Reduction in bed days</v>
      </c>
      <c r="C32" s="335"/>
      <c r="D32" s="333">
        <f>SUM(D30:D31)</f>
        <v>9679.9359999999997</v>
      </c>
      <c r="E32" s="35">
        <f>SUM(E30:E31)</f>
        <v>9384.866399999999</v>
      </c>
      <c r="F32" s="329">
        <f>SUM(F30:F31)</f>
        <v>-295.06959999999981</v>
      </c>
      <c r="G32" s="9"/>
    </row>
    <row r="33" spans="2:7" ht="16.5" customHeight="1">
      <c r="E33" s="54"/>
    </row>
    <row r="34" spans="2:7" ht="24.75" customHeight="1">
      <c r="B34" s="5" t="s">
        <v>322</v>
      </c>
      <c r="E34" s="54"/>
    </row>
    <row r="35" spans="2:7" ht="44.25" customHeight="1">
      <c r="B35" s="423" t="s">
        <v>250</v>
      </c>
      <c r="C35" s="424"/>
      <c r="D35" s="93" t="s">
        <v>320</v>
      </c>
      <c r="E35" s="321" t="s">
        <v>321</v>
      </c>
      <c r="F35" s="321" t="s">
        <v>283</v>
      </c>
    </row>
    <row r="36" spans="2:7">
      <c r="B36" s="422" t="s">
        <v>303</v>
      </c>
      <c r="D36" s="33">
        <f>'Inputs and eligible population'!H35</f>
        <v>10000</v>
      </c>
      <c r="E36" s="33">
        <f>'Inputs and eligible population'!H52</f>
        <v>9000</v>
      </c>
      <c r="F36" s="33">
        <f>E36-D36</f>
        <v>-1000</v>
      </c>
    </row>
    <row r="37" spans="2:7">
      <c r="B37" s="175" t="s">
        <v>306</v>
      </c>
      <c r="C37" s="25"/>
      <c r="D37" s="7">
        <f>'Inputs and eligible population'!H43</f>
        <v>1640</v>
      </c>
      <c r="E37" s="7">
        <f>'Inputs and eligible population'!H60</f>
        <v>1476</v>
      </c>
      <c r="F37" s="402">
        <f>E37-D37</f>
        <v>-164</v>
      </c>
    </row>
    <row r="38" spans="2:7">
      <c r="B38" s="399" t="s">
        <v>305</v>
      </c>
      <c r="C38" s="23"/>
      <c r="D38" s="7">
        <f>'Inputs and eligible population'!H45</f>
        <v>900.03199999999993</v>
      </c>
      <c r="E38" s="7">
        <f>'Inputs and eligible population'!H62</f>
        <v>810.02879999999993</v>
      </c>
      <c r="F38" s="402">
        <f>E38-D38</f>
        <v>-90.003199999999993</v>
      </c>
    </row>
    <row r="39" spans="2:7">
      <c r="B39" s="399" t="s">
        <v>304</v>
      </c>
      <c r="C39" s="23"/>
      <c r="D39" s="401">
        <f>D38/D36</f>
        <v>9.0003199999999992E-2</v>
      </c>
      <c r="E39" s="403">
        <f>E38/E36</f>
        <v>9.0003199999999992E-2</v>
      </c>
      <c r="F39" s="400">
        <f>E39-D39</f>
        <v>0</v>
      </c>
    </row>
    <row r="40" spans="2:7">
      <c r="B40" s="423" t="s">
        <v>317</v>
      </c>
      <c r="C40" s="425"/>
      <c r="D40" s="425"/>
      <c r="E40" s="425"/>
      <c r="F40" s="426">
        <f>(D39-E39)/D39</f>
        <v>0</v>
      </c>
      <c r="G40" s="404"/>
    </row>
    <row r="42" spans="2:7" ht="29">
      <c r="B42" s="423" t="s">
        <v>250</v>
      </c>
      <c r="C42" s="424"/>
      <c r="D42" s="93" t="s">
        <v>264</v>
      </c>
      <c r="E42" s="321" t="s">
        <v>252</v>
      </c>
      <c r="F42" s="321" t="s">
        <v>302</v>
      </c>
      <c r="G42" s="405"/>
    </row>
    <row r="43" spans="2:7">
      <c r="B43" s="422" t="s">
        <v>303</v>
      </c>
      <c r="D43" s="33">
        <f>'Inputs and eligible population'!H34</f>
        <v>0</v>
      </c>
      <c r="E43" s="33">
        <f>'Inputs and eligible population'!H51</f>
        <v>1000</v>
      </c>
      <c r="F43" s="33">
        <f>E43-D43</f>
        <v>1000</v>
      </c>
    </row>
    <row r="44" spans="2:7">
      <c r="B44" s="175" t="s">
        <v>306</v>
      </c>
      <c r="C44" s="25"/>
      <c r="D44" s="7">
        <f>'Inputs and eligible population'!H39</f>
        <v>0</v>
      </c>
      <c r="E44" s="7">
        <f>'Inputs and eligible population'!H56</f>
        <v>105</v>
      </c>
      <c r="F44" s="402">
        <f>E44-D44</f>
        <v>105</v>
      </c>
    </row>
    <row r="45" spans="2:7">
      <c r="B45" s="399" t="s">
        <v>305</v>
      </c>
      <c r="C45" s="23"/>
      <c r="D45" s="7">
        <f>'Inputs and eligible population'!H41</f>
        <v>0</v>
      </c>
      <c r="E45" s="7">
        <f>'Inputs and eligible population'!H58</f>
        <v>31.037999999999997</v>
      </c>
      <c r="F45" s="402">
        <f>E45-D45</f>
        <v>31.037999999999997</v>
      </c>
    </row>
    <row r="46" spans="2:7">
      <c r="B46" s="399" t="s">
        <v>304</v>
      </c>
      <c r="C46" s="23"/>
      <c r="D46" s="403">
        <f>IFERROR(D45/D43,0)</f>
        <v>0</v>
      </c>
      <c r="E46" s="403">
        <f>E45/E43</f>
        <v>3.1037999999999996E-2</v>
      </c>
      <c r="F46" s="403">
        <f>E46-D46</f>
        <v>3.1037999999999996E-2</v>
      </c>
    </row>
    <row r="48" spans="2:7">
      <c r="B48" s="430" t="s">
        <v>323</v>
      </c>
      <c r="C48" s="431"/>
      <c r="D48" s="431"/>
      <c r="E48" s="431"/>
      <c r="F48" s="432">
        <f>(E39-E46)/E39</f>
        <v>0.65514559482329515</v>
      </c>
    </row>
  </sheetData>
  <sheetProtection algorithmName="SHA-512" hashValue="Z5OZvRbCJ7X16RyGT800e/eVc4emKk6rvVim6/lD+fZeF8gvzJjJM63NPpVITCimjqfEw6gS/535O+X97WGKvg==" saltValue="jEIdoCZLKL57u44y0+ha7Q==" spinCount="100000" sheet="1" objects="1" scenarios="1"/>
  <pageMargins left="0.23622047244094491" right="0.23622047244094491" top="0.74803149606299213" bottom="0.74803149606299213" header="0.31496062992125984" footer="0.31496062992125984"/>
  <pageSetup paperSize="9" scale="93" fitToHeight="2" orientation="portrait" horizontalDpi="4294967293" r:id="rId1"/>
  <headerFooter>
    <oddHeader>&amp;R&amp;G</oddHeader>
    <oddFooter>&amp;CDraft.  Subject to change</oddFooter>
  </headerFooter>
  <ignoredErrors>
    <ignoredError sqref="F40 D39:F39"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heetViews>
  <sheetFormatPr defaultColWidth="8.54296875" defaultRowHeight="14.5"/>
  <cols>
    <col min="1" max="1" width="13.54296875" customWidth="1"/>
    <col min="3" max="4" width="11.81640625" customWidth="1"/>
    <col min="5" max="5" width="10.453125" style="109" customWidth="1"/>
    <col min="6" max="6" width="11.81640625" customWidth="1"/>
    <col min="7" max="7" width="12.5429687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54296875" bestFit="1" customWidth="1"/>
    <col min="18" max="18" width="15.1796875" style="110" bestFit="1" customWidth="1"/>
    <col min="19" max="22" width="9" customWidth="1"/>
    <col min="23" max="23" width="17.81640625" customWidth="1"/>
    <col min="24" max="24" width="12.54296875" customWidth="1"/>
    <col min="25" max="25" width="23.1796875" customWidth="1"/>
    <col min="26" max="27" width="5.453125" customWidth="1"/>
    <col min="28" max="28" width="13.453125" customWidth="1"/>
    <col min="29" max="29" width="14.453125" customWidth="1"/>
    <col min="30" max="30" width="10.453125" customWidth="1"/>
  </cols>
  <sheetData>
    <row r="1" spans="1:22" ht="29.15" customHeight="1"/>
    <row r="3" spans="1:22" ht="15" thickBot="1">
      <c r="B3" s="453" t="s">
        <v>55</v>
      </c>
      <c r="C3" s="454"/>
      <c r="D3" s="454"/>
      <c r="E3" s="454"/>
      <c r="F3" s="454"/>
      <c r="G3" s="455"/>
      <c r="H3" s="456" t="s">
        <v>53</v>
      </c>
      <c r="I3" s="457"/>
      <c r="J3" s="457"/>
      <c r="K3" s="457"/>
      <c r="L3" s="457"/>
      <c r="M3" s="457"/>
      <c r="N3" s="458"/>
      <c r="O3" s="111"/>
      <c r="P3" s="111"/>
    </row>
    <row r="4" spans="1:22" ht="71.5" customHeight="1">
      <c r="A4" s="146" t="s">
        <v>56</v>
      </c>
      <c r="B4" s="154" t="s">
        <v>57</v>
      </c>
      <c r="C4" s="155" t="s">
        <v>58</v>
      </c>
      <c r="D4" s="155" t="s">
        <v>59</v>
      </c>
      <c r="E4" s="156" t="s">
        <v>60</v>
      </c>
      <c r="F4" s="155" t="s">
        <v>61</v>
      </c>
      <c r="G4" s="157" t="s">
        <v>62</v>
      </c>
      <c r="H4" s="149" t="s">
        <v>58</v>
      </c>
      <c r="I4" s="150" t="s">
        <v>63</v>
      </c>
      <c r="J4" s="150" t="s">
        <v>53</v>
      </c>
      <c r="K4" s="150" t="s">
        <v>59</v>
      </c>
      <c r="L4" s="150" t="s">
        <v>60</v>
      </c>
      <c r="M4" s="150" t="s">
        <v>61</v>
      </c>
      <c r="N4" s="151" t="s">
        <v>62</v>
      </c>
      <c r="O4" s="112"/>
      <c r="P4" s="131" t="s">
        <v>56</v>
      </c>
      <c r="Q4" s="134" t="s">
        <v>222</v>
      </c>
      <c r="R4" s="131" t="s">
        <v>62</v>
      </c>
      <c r="S4" s="132" t="s">
        <v>223</v>
      </c>
      <c r="T4" s="135" t="s">
        <v>66</v>
      </c>
      <c r="U4" s="132" t="s">
        <v>64</v>
      </c>
      <c r="V4" s="132" t="s">
        <v>65</v>
      </c>
    </row>
    <row r="5" spans="1:22">
      <c r="A5" s="147">
        <v>2</v>
      </c>
      <c r="B5" s="136" t="s">
        <v>67</v>
      </c>
      <c r="C5" s="172">
        <v>22383.9</v>
      </c>
      <c r="D5" s="113">
        <f>(C5-$B$110)*0.138</f>
        <v>1833.1782000000003</v>
      </c>
      <c r="E5" s="137">
        <f t="shared" ref="E5:E68" si="0">C5*0.005</f>
        <v>111.91950000000001</v>
      </c>
      <c r="F5" s="113">
        <f t="shared" ref="F5:F68" si="1">C5*0.2068</f>
        <v>4628.9905200000003</v>
      </c>
      <c r="G5" s="138">
        <f>SUM(C5:F5)</f>
        <v>28957.988220000003</v>
      </c>
      <c r="H5" s="152">
        <f t="shared" ref="H5:H68" si="2">C5</f>
        <v>22383.9</v>
      </c>
      <c r="I5" s="153">
        <v>5132.4000000000005</v>
      </c>
      <c r="J5" s="153">
        <f t="shared" ref="J5:J68" si="3">C5+I5</f>
        <v>27516.300000000003</v>
      </c>
      <c r="K5" s="153">
        <f t="shared" ref="K5:K36" si="4">(J5-$B$110)*0.138</f>
        <v>2541.4494000000004</v>
      </c>
      <c r="L5" s="153">
        <f t="shared" ref="L5:L68" si="5">J5*0.005</f>
        <v>137.58150000000001</v>
      </c>
      <c r="M5" s="153">
        <f t="shared" ref="M5:M68" si="6">J5*0.2068</f>
        <v>5690.3708400000005</v>
      </c>
      <c r="N5" s="153">
        <f t="shared" ref="N5:N68" si="7">SUM(J5:M5)</f>
        <v>35885.701740000004</v>
      </c>
      <c r="O5" s="114"/>
      <c r="P5" s="113" t="s">
        <v>68</v>
      </c>
      <c r="Q5" s="12" t="s">
        <v>69</v>
      </c>
      <c r="R5" s="128">
        <f>G5</f>
        <v>28957.988220000003</v>
      </c>
      <c r="S5" s="174">
        <v>1560</v>
      </c>
      <c r="T5" s="133">
        <f t="shared" ref="T5:T41" si="8">ROUND(R5/S5,2)</f>
        <v>18.559999999999999</v>
      </c>
      <c r="U5" s="129">
        <v>0.41</v>
      </c>
      <c r="V5" s="129">
        <v>0.83</v>
      </c>
    </row>
    <row r="6" spans="1:22">
      <c r="A6" s="147">
        <v>2</v>
      </c>
      <c r="B6" s="136" t="s">
        <v>70</v>
      </c>
      <c r="C6" s="172">
        <v>22383.9</v>
      </c>
      <c r="D6" s="113">
        <f t="shared" ref="D6:D36" si="9">(C6-$B$110)*0.138</f>
        <v>1833.1782000000003</v>
      </c>
      <c r="E6" s="137">
        <f t="shared" si="0"/>
        <v>111.91950000000001</v>
      </c>
      <c r="F6" s="113">
        <f t="shared" si="1"/>
        <v>4628.9905200000003</v>
      </c>
      <c r="G6" s="138">
        <f t="shared" ref="G6:G68" si="10">SUM(C6:F6)</f>
        <v>28957.988220000003</v>
      </c>
      <c r="H6" s="152">
        <f t="shared" si="2"/>
        <v>22383.9</v>
      </c>
      <c r="I6" s="153">
        <v>5132.4000000000005</v>
      </c>
      <c r="J6" s="153">
        <f t="shared" si="3"/>
        <v>27516.300000000003</v>
      </c>
      <c r="K6" s="153">
        <f t="shared" si="4"/>
        <v>2541.4494000000004</v>
      </c>
      <c r="L6" s="153">
        <f t="shared" si="5"/>
        <v>137.58150000000001</v>
      </c>
      <c r="M6" s="153">
        <f t="shared" si="6"/>
        <v>5690.3708400000005</v>
      </c>
      <c r="N6" s="153">
        <f>SUM(J6:M6)</f>
        <v>35885.701740000004</v>
      </c>
      <c r="O6" s="114"/>
      <c r="P6" s="113" t="s">
        <v>68</v>
      </c>
      <c r="Q6" s="12" t="s">
        <v>71</v>
      </c>
      <c r="R6" s="128">
        <f>G8</f>
        <v>28957.988220000003</v>
      </c>
      <c r="S6" s="174">
        <v>1560</v>
      </c>
      <c r="T6" s="133">
        <f t="shared" si="8"/>
        <v>18.559999999999999</v>
      </c>
      <c r="U6" s="129">
        <v>0.41</v>
      </c>
      <c r="V6" s="129">
        <v>0.83</v>
      </c>
    </row>
    <row r="7" spans="1:22">
      <c r="A7" s="147">
        <v>2</v>
      </c>
      <c r="B7" s="136" t="s">
        <v>72</v>
      </c>
      <c r="C7" s="172">
        <v>22383.9</v>
      </c>
      <c r="D7" s="113">
        <f t="shared" si="9"/>
        <v>1833.1782000000003</v>
      </c>
      <c r="E7" s="137">
        <f t="shared" si="0"/>
        <v>111.91950000000001</v>
      </c>
      <c r="F7" s="113">
        <f t="shared" si="1"/>
        <v>4628.9905200000003</v>
      </c>
      <c r="G7" s="138">
        <f t="shared" si="10"/>
        <v>28957.988220000003</v>
      </c>
      <c r="H7" s="152">
        <f t="shared" si="2"/>
        <v>22383.9</v>
      </c>
      <c r="I7" s="153">
        <v>5132.4000000000005</v>
      </c>
      <c r="J7" s="153">
        <f t="shared" si="3"/>
        <v>27516.300000000003</v>
      </c>
      <c r="K7" s="153">
        <f t="shared" si="4"/>
        <v>2541.4494000000004</v>
      </c>
      <c r="L7" s="153">
        <f t="shared" si="5"/>
        <v>137.58150000000001</v>
      </c>
      <c r="M7" s="153">
        <f t="shared" si="6"/>
        <v>5690.3708400000005</v>
      </c>
      <c r="N7" s="153">
        <f t="shared" si="7"/>
        <v>35885.701740000004</v>
      </c>
      <c r="O7" s="114"/>
      <c r="P7" s="113" t="s">
        <v>68</v>
      </c>
      <c r="Q7" s="12" t="s">
        <v>73</v>
      </c>
      <c r="R7" s="128">
        <f>G11</f>
        <v>28957.988220000003</v>
      </c>
      <c r="S7" s="174">
        <v>1560</v>
      </c>
      <c r="T7" s="133">
        <f t="shared" si="8"/>
        <v>18.559999999999999</v>
      </c>
      <c r="U7" s="129">
        <v>0.41</v>
      </c>
      <c r="V7" s="129">
        <v>0.83</v>
      </c>
    </row>
    <row r="8" spans="1:22">
      <c r="A8" s="147">
        <v>2</v>
      </c>
      <c r="B8" s="136" t="s">
        <v>74</v>
      </c>
      <c r="C8" s="172">
        <v>22383.9</v>
      </c>
      <c r="D8" s="113">
        <f t="shared" si="9"/>
        <v>1833.1782000000003</v>
      </c>
      <c r="E8" s="137">
        <f t="shared" si="0"/>
        <v>111.91950000000001</v>
      </c>
      <c r="F8" s="113">
        <f t="shared" si="1"/>
        <v>4628.9905200000003</v>
      </c>
      <c r="G8" s="138">
        <f t="shared" si="10"/>
        <v>28957.988220000003</v>
      </c>
      <c r="H8" s="152">
        <f t="shared" si="2"/>
        <v>22383.9</v>
      </c>
      <c r="I8" s="153">
        <v>5132.4000000000005</v>
      </c>
      <c r="J8" s="153">
        <f t="shared" si="3"/>
        <v>27516.300000000003</v>
      </c>
      <c r="K8" s="153">
        <f t="shared" si="4"/>
        <v>2541.4494000000004</v>
      </c>
      <c r="L8" s="153">
        <f t="shared" si="5"/>
        <v>137.58150000000001</v>
      </c>
      <c r="M8" s="153">
        <f t="shared" si="6"/>
        <v>5690.3708400000005</v>
      </c>
      <c r="N8" s="153">
        <f t="shared" si="7"/>
        <v>35885.701740000004</v>
      </c>
      <c r="O8" s="114"/>
      <c r="P8" s="113" t="s">
        <v>75</v>
      </c>
      <c r="Q8" s="12" t="s">
        <v>76</v>
      </c>
      <c r="R8" s="128">
        <f>G12</f>
        <v>29541.911700000001</v>
      </c>
      <c r="S8" s="174">
        <v>1560</v>
      </c>
      <c r="T8" s="133">
        <f t="shared" si="8"/>
        <v>18.940000000000001</v>
      </c>
      <c r="U8" s="129">
        <v>0.35</v>
      </c>
      <c r="V8" s="129">
        <v>0.69</v>
      </c>
    </row>
    <row r="9" spans="1:22">
      <c r="A9" s="147">
        <v>2</v>
      </c>
      <c r="B9" s="136" t="s">
        <v>77</v>
      </c>
      <c r="C9" s="172">
        <v>22383.9</v>
      </c>
      <c r="D9" s="113">
        <f t="shared" si="9"/>
        <v>1833.1782000000003</v>
      </c>
      <c r="E9" s="137">
        <f t="shared" si="0"/>
        <v>111.91950000000001</v>
      </c>
      <c r="F9" s="113">
        <f t="shared" si="1"/>
        <v>4628.9905200000003</v>
      </c>
      <c r="G9" s="138">
        <f t="shared" si="10"/>
        <v>28957.988220000003</v>
      </c>
      <c r="H9" s="152">
        <f t="shared" si="2"/>
        <v>22383.9</v>
      </c>
      <c r="I9" s="153">
        <v>5132.4000000000005</v>
      </c>
      <c r="J9" s="153">
        <f t="shared" si="3"/>
        <v>27516.300000000003</v>
      </c>
      <c r="K9" s="153">
        <f t="shared" si="4"/>
        <v>2541.4494000000004</v>
      </c>
      <c r="L9" s="153">
        <f t="shared" si="5"/>
        <v>137.58150000000001</v>
      </c>
      <c r="M9" s="153">
        <f t="shared" si="6"/>
        <v>5690.3708400000005</v>
      </c>
      <c r="N9" s="153">
        <f t="shared" si="7"/>
        <v>35885.701740000004</v>
      </c>
      <c r="O9" s="114"/>
      <c r="P9" s="113" t="s">
        <v>75</v>
      </c>
      <c r="Q9" s="12" t="s">
        <v>78</v>
      </c>
      <c r="R9" s="128">
        <f>G15</f>
        <v>31592.730330000006</v>
      </c>
      <c r="S9" s="174">
        <v>1560</v>
      </c>
      <c r="T9" s="133">
        <f t="shared" si="8"/>
        <v>20.25</v>
      </c>
      <c r="U9" s="129">
        <v>0.35</v>
      </c>
      <c r="V9" s="129">
        <v>0.69</v>
      </c>
    </row>
    <row r="10" spans="1:22">
      <c r="A10" s="147">
        <v>2</v>
      </c>
      <c r="B10" s="136" t="s">
        <v>79</v>
      </c>
      <c r="C10" s="172">
        <v>22383.9</v>
      </c>
      <c r="D10" s="113">
        <f t="shared" si="9"/>
        <v>1833.1782000000003</v>
      </c>
      <c r="E10" s="137">
        <f t="shared" si="0"/>
        <v>111.91950000000001</v>
      </c>
      <c r="F10" s="113">
        <f t="shared" si="1"/>
        <v>4628.9905200000003</v>
      </c>
      <c r="G10" s="138">
        <f t="shared" si="10"/>
        <v>28957.988220000003</v>
      </c>
      <c r="H10" s="152">
        <f t="shared" si="2"/>
        <v>22383.9</v>
      </c>
      <c r="I10" s="153">
        <v>5132.4000000000005</v>
      </c>
      <c r="J10" s="153">
        <f t="shared" si="3"/>
        <v>27516.300000000003</v>
      </c>
      <c r="K10" s="153">
        <f t="shared" si="4"/>
        <v>2541.4494000000004</v>
      </c>
      <c r="L10" s="153">
        <f t="shared" si="5"/>
        <v>137.58150000000001</v>
      </c>
      <c r="M10" s="153">
        <f t="shared" si="6"/>
        <v>5690.3708400000005</v>
      </c>
      <c r="N10" s="153">
        <f t="shared" si="7"/>
        <v>35885.701740000004</v>
      </c>
      <c r="O10" s="114"/>
      <c r="P10" s="113" t="s">
        <v>75</v>
      </c>
      <c r="Q10" s="12" t="s">
        <v>80</v>
      </c>
      <c r="R10" s="128">
        <f>G18</f>
        <v>31592.730330000006</v>
      </c>
      <c r="S10" s="174">
        <v>1560</v>
      </c>
      <c r="T10" s="133">
        <f t="shared" si="8"/>
        <v>20.25</v>
      </c>
      <c r="U10" s="129">
        <v>0.35</v>
      </c>
      <c r="V10" s="129">
        <v>0.69</v>
      </c>
    </row>
    <row r="11" spans="1:22">
      <c r="A11" s="147">
        <v>2</v>
      </c>
      <c r="B11" s="136" t="s">
        <v>81</v>
      </c>
      <c r="C11" s="172">
        <v>22383.9</v>
      </c>
      <c r="D11" s="113">
        <f t="shared" si="9"/>
        <v>1833.1782000000003</v>
      </c>
      <c r="E11" s="137">
        <f t="shared" si="0"/>
        <v>111.91950000000001</v>
      </c>
      <c r="F11" s="113">
        <f t="shared" si="1"/>
        <v>4628.9905200000003</v>
      </c>
      <c r="G11" s="138">
        <f t="shared" si="10"/>
        <v>28957.988220000003</v>
      </c>
      <c r="H11" s="152">
        <f t="shared" si="2"/>
        <v>22383.9</v>
      </c>
      <c r="I11" s="153">
        <v>5132.4000000000005</v>
      </c>
      <c r="J11" s="153">
        <f t="shared" si="3"/>
        <v>27516.300000000003</v>
      </c>
      <c r="K11" s="153">
        <f t="shared" si="4"/>
        <v>2541.4494000000004</v>
      </c>
      <c r="L11" s="153">
        <f t="shared" si="5"/>
        <v>137.58150000000001</v>
      </c>
      <c r="M11" s="153">
        <f t="shared" si="6"/>
        <v>5690.3708400000005</v>
      </c>
      <c r="N11" s="153">
        <f t="shared" si="7"/>
        <v>35885.701740000004</v>
      </c>
      <c r="O11" s="114"/>
      <c r="P11" s="113" t="s">
        <v>82</v>
      </c>
      <c r="Q11" s="12" t="s">
        <v>83</v>
      </c>
      <c r="R11" s="128">
        <f>G19</f>
        <v>32686.878210000003</v>
      </c>
      <c r="S11" s="174">
        <v>1560</v>
      </c>
      <c r="T11" s="133">
        <f t="shared" si="8"/>
        <v>20.95</v>
      </c>
      <c r="U11" s="129">
        <v>0.3</v>
      </c>
      <c r="V11" s="129">
        <v>0.6</v>
      </c>
    </row>
    <row r="12" spans="1:22">
      <c r="A12" s="147">
        <v>3</v>
      </c>
      <c r="B12" s="136" t="s">
        <v>84</v>
      </c>
      <c r="C12" s="172">
        <v>22816.5</v>
      </c>
      <c r="D12" s="113">
        <f t="shared" si="9"/>
        <v>1892.8770000000002</v>
      </c>
      <c r="E12" s="137">
        <f t="shared" si="0"/>
        <v>114.0825</v>
      </c>
      <c r="F12" s="113">
        <f t="shared" si="1"/>
        <v>4718.4522000000006</v>
      </c>
      <c r="G12" s="138">
        <f t="shared" si="10"/>
        <v>29541.911700000001</v>
      </c>
      <c r="H12" s="152">
        <f t="shared" si="2"/>
        <v>22816.5</v>
      </c>
      <c r="I12" s="153">
        <v>5132.4000000000005</v>
      </c>
      <c r="J12" s="153">
        <f t="shared" si="3"/>
        <v>27948.9</v>
      </c>
      <c r="K12" s="153">
        <f t="shared" si="4"/>
        <v>2601.1482000000005</v>
      </c>
      <c r="L12" s="153">
        <f t="shared" si="5"/>
        <v>139.74450000000002</v>
      </c>
      <c r="M12" s="153">
        <f t="shared" si="6"/>
        <v>5779.8325200000008</v>
      </c>
      <c r="N12" s="153">
        <f t="shared" si="7"/>
        <v>36469.625220000002</v>
      </c>
      <c r="O12" s="114"/>
      <c r="P12" s="113" t="s">
        <v>82</v>
      </c>
      <c r="Q12" s="12" t="s">
        <v>85</v>
      </c>
      <c r="R12" s="128">
        <f>G22</f>
        <v>35993.415780000003</v>
      </c>
      <c r="S12" s="174">
        <v>1560</v>
      </c>
      <c r="T12" s="133">
        <f t="shared" si="8"/>
        <v>23.07</v>
      </c>
      <c r="U12" s="129">
        <v>0.3</v>
      </c>
      <c r="V12" s="129">
        <v>0.6</v>
      </c>
    </row>
    <row r="13" spans="1:22">
      <c r="A13" s="147">
        <v>3</v>
      </c>
      <c r="B13" s="136" t="s">
        <v>86</v>
      </c>
      <c r="C13" s="172">
        <v>22816.5</v>
      </c>
      <c r="D13" s="113">
        <f t="shared" si="9"/>
        <v>1892.8770000000002</v>
      </c>
      <c r="E13" s="137">
        <f t="shared" si="0"/>
        <v>114.0825</v>
      </c>
      <c r="F13" s="113">
        <f t="shared" si="1"/>
        <v>4718.4522000000006</v>
      </c>
      <c r="G13" s="138">
        <f t="shared" si="10"/>
        <v>29541.911700000001</v>
      </c>
      <c r="H13" s="152">
        <f t="shared" si="2"/>
        <v>22816.5</v>
      </c>
      <c r="I13" s="153">
        <v>5132.4000000000005</v>
      </c>
      <c r="J13" s="153">
        <f t="shared" si="3"/>
        <v>27948.9</v>
      </c>
      <c r="K13" s="153">
        <f t="shared" si="4"/>
        <v>2601.1482000000005</v>
      </c>
      <c r="L13" s="153">
        <f t="shared" si="5"/>
        <v>139.74450000000002</v>
      </c>
      <c r="M13" s="153">
        <f t="shared" si="6"/>
        <v>5779.8325200000008</v>
      </c>
      <c r="N13" s="153">
        <f t="shared" si="7"/>
        <v>36469.625220000002</v>
      </c>
      <c r="O13" s="114"/>
      <c r="P13" s="113" t="s">
        <v>82</v>
      </c>
      <c r="Q13" s="12" t="s">
        <v>87</v>
      </c>
      <c r="R13" s="128">
        <f>G25</f>
        <v>35993.415780000003</v>
      </c>
      <c r="S13" s="174">
        <v>1560</v>
      </c>
      <c r="T13" s="133">
        <f t="shared" si="8"/>
        <v>23.07</v>
      </c>
      <c r="U13" s="129">
        <v>0.3</v>
      </c>
      <c r="V13" s="129">
        <v>0.6</v>
      </c>
    </row>
    <row r="14" spans="1:22">
      <c r="A14" s="147">
        <v>3</v>
      </c>
      <c r="B14" s="136" t="s">
        <v>88</v>
      </c>
      <c r="C14" s="172">
        <v>24335.850000000002</v>
      </c>
      <c r="D14" s="113">
        <f t="shared" si="9"/>
        <v>2102.5473000000006</v>
      </c>
      <c r="E14" s="137">
        <f t="shared" si="0"/>
        <v>121.67925000000001</v>
      </c>
      <c r="F14" s="113">
        <f t="shared" si="1"/>
        <v>5032.6537800000006</v>
      </c>
      <c r="G14" s="138">
        <f t="shared" si="10"/>
        <v>31592.730330000006</v>
      </c>
      <c r="H14" s="152">
        <f t="shared" si="2"/>
        <v>24335.850000000002</v>
      </c>
      <c r="I14" s="153">
        <v>5132.4000000000005</v>
      </c>
      <c r="J14" s="153">
        <f t="shared" si="3"/>
        <v>29468.250000000004</v>
      </c>
      <c r="K14" s="153">
        <f t="shared" si="4"/>
        <v>2810.8185000000008</v>
      </c>
      <c r="L14" s="153">
        <f t="shared" si="5"/>
        <v>147.34125000000003</v>
      </c>
      <c r="M14" s="153">
        <f t="shared" si="6"/>
        <v>6094.0341000000008</v>
      </c>
      <c r="N14" s="153">
        <f t="shared" si="7"/>
        <v>38520.443850000011</v>
      </c>
      <c r="O14" s="114"/>
      <c r="P14" s="113" t="s">
        <v>89</v>
      </c>
      <c r="Q14" s="12" t="s">
        <v>90</v>
      </c>
      <c r="R14" s="128">
        <f>G26</f>
        <v>37088.980949999997</v>
      </c>
      <c r="S14" s="174">
        <v>1560</v>
      </c>
      <c r="T14" s="133">
        <f t="shared" si="8"/>
        <v>23.77</v>
      </c>
      <c r="U14" s="129">
        <v>0.3</v>
      </c>
      <c r="V14" s="129">
        <v>0.6</v>
      </c>
    </row>
    <row r="15" spans="1:22">
      <c r="A15" s="147">
        <v>3</v>
      </c>
      <c r="B15" s="136" t="s">
        <v>91</v>
      </c>
      <c r="C15" s="172">
        <v>24335.850000000002</v>
      </c>
      <c r="D15" s="113">
        <f t="shared" si="9"/>
        <v>2102.5473000000006</v>
      </c>
      <c r="E15" s="137">
        <f t="shared" si="0"/>
        <v>121.67925000000001</v>
      </c>
      <c r="F15" s="113">
        <f t="shared" si="1"/>
        <v>5032.6537800000006</v>
      </c>
      <c r="G15" s="138">
        <f t="shared" si="10"/>
        <v>31592.730330000006</v>
      </c>
      <c r="H15" s="152">
        <f t="shared" si="2"/>
        <v>24335.850000000002</v>
      </c>
      <c r="I15" s="153">
        <v>5132.4000000000005</v>
      </c>
      <c r="J15" s="153">
        <f t="shared" si="3"/>
        <v>29468.250000000004</v>
      </c>
      <c r="K15" s="153">
        <f t="shared" si="4"/>
        <v>2810.8185000000008</v>
      </c>
      <c r="L15" s="153">
        <f t="shared" si="5"/>
        <v>147.34125000000003</v>
      </c>
      <c r="M15" s="153">
        <f t="shared" si="6"/>
        <v>6094.0341000000008</v>
      </c>
      <c r="N15" s="153">
        <f t="shared" si="7"/>
        <v>38520.443850000011</v>
      </c>
      <c r="O15" s="114"/>
      <c r="P15" s="113" t="s">
        <v>89</v>
      </c>
      <c r="Q15" s="12" t="s">
        <v>43</v>
      </c>
      <c r="R15" s="128">
        <f>G29</f>
        <v>40100.722199999997</v>
      </c>
      <c r="S15" s="174">
        <v>1560</v>
      </c>
      <c r="T15" s="133">
        <f t="shared" si="8"/>
        <v>25.71</v>
      </c>
      <c r="U15" s="129">
        <v>0.3</v>
      </c>
      <c r="V15" s="129">
        <v>0.6</v>
      </c>
    </row>
    <row r="16" spans="1:22">
      <c r="A16" s="147">
        <v>3</v>
      </c>
      <c r="B16" s="136" t="s">
        <v>92</v>
      </c>
      <c r="C16" s="172">
        <v>24335.850000000002</v>
      </c>
      <c r="D16" s="113">
        <f t="shared" si="9"/>
        <v>2102.5473000000006</v>
      </c>
      <c r="E16" s="137">
        <f t="shared" si="0"/>
        <v>121.67925000000001</v>
      </c>
      <c r="F16" s="113">
        <f t="shared" si="1"/>
        <v>5032.6537800000006</v>
      </c>
      <c r="G16" s="138">
        <f t="shared" si="10"/>
        <v>31592.730330000006</v>
      </c>
      <c r="H16" s="152">
        <f t="shared" si="2"/>
        <v>24335.850000000002</v>
      </c>
      <c r="I16" s="153">
        <v>5132.4000000000005</v>
      </c>
      <c r="J16" s="153">
        <f t="shared" si="3"/>
        <v>29468.250000000004</v>
      </c>
      <c r="K16" s="153">
        <f t="shared" si="4"/>
        <v>2810.8185000000008</v>
      </c>
      <c r="L16" s="153">
        <f t="shared" si="5"/>
        <v>147.34125000000003</v>
      </c>
      <c r="M16" s="153">
        <f t="shared" si="6"/>
        <v>6094.0341000000008</v>
      </c>
      <c r="N16" s="153">
        <f t="shared" si="7"/>
        <v>38520.443850000011</v>
      </c>
      <c r="O16" s="114"/>
      <c r="P16" s="113" t="s">
        <v>89</v>
      </c>
      <c r="Q16" s="12" t="s">
        <v>93</v>
      </c>
      <c r="R16" s="128">
        <f>G33</f>
        <v>45421.22886000001</v>
      </c>
      <c r="S16" s="174">
        <v>1560</v>
      </c>
      <c r="T16" s="133">
        <f t="shared" si="8"/>
        <v>29.12</v>
      </c>
      <c r="U16" s="129">
        <v>0.3</v>
      </c>
      <c r="V16" s="129">
        <v>0.6</v>
      </c>
    </row>
    <row r="17" spans="1:22">
      <c r="A17" s="147">
        <v>3</v>
      </c>
      <c r="B17" s="136" t="s">
        <v>94</v>
      </c>
      <c r="C17" s="172">
        <v>24335.850000000002</v>
      </c>
      <c r="D17" s="113">
        <f t="shared" si="9"/>
        <v>2102.5473000000006</v>
      </c>
      <c r="E17" s="137">
        <f t="shared" si="0"/>
        <v>121.67925000000001</v>
      </c>
      <c r="F17" s="113">
        <f t="shared" si="1"/>
        <v>5032.6537800000006</v>
      </c>
      <c r="G17" s="138">
        <f t="shared" si="10"/>
        <v>31592.730330000006</v>
      </c>
      <c r="H17" s="152">
        <f t="shared" si="2"/>
        <v>24335.850000000002</v>
      </c>
      <c r="I17" s="153">
        <v>5132.4000000000005</v>
      </c>
      <c r="J17" s="153">
        <f t="shared" si="3"/>
        <v>29468.250000000004</v>
      </c>
      <c r="K17" s="153">
        <f t="shared" si="4"/>
        <v>2810.8185000000008</v>
      </c>
      <c r="L17" s="153">
        <f t="shared" si="5"/>
        <v>147.34125000000003</v>
      </c>
      <c r="M17" s="153">
        <f t="shared" si="6"/>
        <v>6094.0341000000008</v>
      </c>
      <c r="N17" s="153">
        <f t="shared" si="7"/>
        <v>38520.443850000011</v>
      </c>
      <c r="O17" s="114"/>
      <c r="P17" s="113" t="s">
        <v>95</v>
      </c>
      <c r="Q17" s="12" t="s">
        <v>96</v>
      </c>
      <c r="R17" s="128">
        <f>G34</f>
        <v>46515.37674</v>
      </c>
      <c r="S17" s="174">
        <v>1560</v>
      </c>
      <c r="T17" s="133">
        <f t="shared" si="8"/>
        <v>29.82</v>
      </c>
      <c r="U17" s="129">
        <v>0.3</v>
      </c>
      <c r="V17" s="129">
        <v>0.6</v>
      </c>
    </row>
    <row r="18" spans="1:22">
      <c r="A18" s="147">
        <v>3</v>
      </c>
      <c r="B18" s="136" t="s">
        <v>97</v>
      </c>
      <c r="C18" s="172">
        <v>24335.850000000002</v>
      </c>
      <c r="D18" s="113">
        <f t="shared" si="9"/>
        <v>2102.5473000000006</v>
      </c>
      <c r="E18" s="137">
        <f t="shared" si="0"/>
        <v>121.67925000000001</v>
      </c>
      <c r="F18" s="113">
        <f t="shared" si="1"/>
        <v>5032.6537800000006</v>
      </c>
      <c r="G18" s="138">
        <f t="shared" si="10"/>
        <v>31592.730330000006</v>
      </c>
      <c r="H18" s="152">
        <f t="shared" si="2"/>
        <v>24335.850000000002</v>
      </c>
      <c r="I18" s="153">
        <v>5132.4000000000005</v>
      </c>
      <c r="J18" s="153">
        <f t="shared" si="3"/>
        <v>29468.250000000004</v>
      </c>
      <c r="K18" s="153">
        <f t="shared" si="4"/>
        <v>2810.8185000000008</v>
      </c>
      <c r="L18" s="153">
        <f t="shared" si="5"/>
        <v>147.34125000000003</v>
      </c>
      <c r="M18" s="153">
        <f t="shared" si="6"/>
        <v>6094.0341000000008</v>
      </c>
      <c r="N18" s="153">
        <f t="shared" si="7"/>
        <v>38520.443850000011</v>
      </c>
      <c r="O18" s="114"/>
      <c r="P18" s="113" t="s">
        <v>95</v>
      </c>
      <c r="Q18" s="12" t="s">
        <v>46</v>
      </c>
      <c r="R18" s="128">
        <f>G38</f>
        <v>49160.039879999989</v>
      </c>
      <c r="S18" s="174">
        <v>1560</v>
      </c>
      <c r="T18" s="133">
        <f t="shared" si="8"/>
        <v>31.51</v>
      </c>
      <c r="U18" s="129">
        <v>0.3</v>
      </c>
      <c r="V18" s="129">
        <v>0.6</v>
      </c>
    </row>
    <row r="19" spans="1:22">
      <c r="A19" s="147">
        <v>4</v>
      </c>
      <c r="B19" s="136" t="s">
        <v>98</v>
      </c>
      <c r="C19" s="172">
        <v>25146.45</v>
      </c>
      <c r="D19" s="113">
        <f t="shared" si="9"/>
        <v>2214.4101000000005</v>
      </c>
      <c r="E19" s="137">
        <f t="shared" si="0"/>
        <v>125.73225000000001</v>
      </c>
      <c r="F19" s="113">
        <f t="shared" si="1"/>
        <v>5200.2858600000009</v>
      </c>
      <c r="G19" s="138">
        <f t="shared" si="10"/>
        <v>32686.878210000003</v>
      </c>
      <c r="H19" s="152">
        <f t="shared" si="2"/>
        <v>25146.45</v>
      </c>
      <c r="I19" s="153">
        <v>5132.4000000000005</v>
      </c>
      <c r="J19" s="153">
        <f t="shared" si="3"/>
        <v>30278.850000000002</v>
      </c>
      <c r="K19" s="153">
        <f t="shared" si="4"/>
        <v>2922.6813000000006</v>
      </c>
      <c r="L19" s="153">
        <f t="shared" si="5"/>
        <v>151.39425000000003</v>
      </c>
      <c r="M19" s="153">
        <f t="shared" si="6"/>
        <v>6261.6661800000011</v>
      </c>
      <c r="N19" s="153">
        <f t="shared" si="7"/>
        <v>39614.59173</v>
      </c>
      <c r="O19" s="114"/>
      <c r="P19" s="113" t="s">
        <v>95</v>
      </c>
      <c r="Q19" s="12" t="s">
        <v>99</v>
      </c>
      <c r="R19" s="128">
        <f>G42</f>
        <v>56269.166519999999</v>
      </c>
      <c r="S19" s="174">
        <v>1560</v>
      </c>
      <c r="T19" s="133">
        <f t="shared" si="8"/>
        <v>36.07</v>
      </c>
      <c r="U19" s="129">
        <v>0.3</v>
      </c>
      <c r="V19" s="129">
        <v>0.6</v>
      </c>
    </row>
    <row r="20" spans="1:22">
      <c r="A20" s="147">
        <v>4</v>
      </c>
      <c r="B20" s="136" t="s">
        <v>100</v>
      </c>
      <c r="C20" s="172">
        <v>25146.45</v>
      </c>
      <c r="D20" s="113">
        <f t="shared" si="9"/>
        <v>2214.4101000000005</v>
      </c>
      <c r="E20" s="137">
        <f t="shared" si="0"/>
        <v>125.73225000000001</v>
      </c>
      <c r="F20" s="113">
        <f t="shared" si="1"/>
        <v>5200.2858600000009</v>
      </c>
      <c r="G20" s="138">
        <f t="shared" si="10"/>
        <v>32686.878210000003</v>
      </c>
      <c r="H20" s="152">
        <f t="shared" si="2"/>
        <v>25146.45</v>
      </c>
      <c r="I20" s="153">
        <v>5132.4000000000005</v>
      </c>
      <c r="J20" s="153">
        <f t="shared" si="3"/>
        <v>30278.850000000002</v>
      </c>
      <c r="K20" s="153">
        <f t="shared" si="4"/>
        <v>2922.6813000000006</v>
      </c>
      <c r="L20" s="153">
        <f t="shared" si="5"/>
        <v>151.39425000000003</v>
      </c>
      <c r="M20" s="153">
        <f t="shared" si="6"/>
        <v>6261.6661800000011</v>
      </c>
      <c r="N20" s="153">
        <f t="shared" si="7"/>
        <v>39614.59173</v>
      </c>
      <c r="O20" s="114"/>
      <c r="P20" s="113" t="s">
        <v>101</v>
      </c>
      <c r="Q20" s="12" t="s">
        <v>102</v>
      </c>
      <c r="R20" s="128">
        <f>G43</f>
        <v>57787.084110000011</v>
      </c>
      <c r="S20" s="174">
        <v>1560</v>
      </c>
      <c r="T20" s="133">
        <f t="shared" si="8"/>
        <v>37.04</v>
      </c>
      <c r="U20" s="129">
        <v>0.3</v>
      </c>
      <c r="V20" s="129">
        <v>0.6</v>
      </c>
    </row>
    <row r="21" spans="1:22">
      <c r="A21" s="147">
        <v>4</v>
      </c>
      <c r="B21" s="136" t="s">
        <v>103</v>
      </c>
      <c r="C21" s="172">
        <v>25146.45</v>
      </c>
      <c r="D21" s="113">
        <f t="shared" si="9"/>
        <v>2214.4101000000005</v>
      </c>
      <c r="E21" s="137">
        <f t="shared" si="0"/>
        <v>125.73225000000001</v>
      </c>
      <c r="F21" s="113">
        <f t="shared" si="1"/>
        <v>5200.2858600000009</v>
      </c>
      <c r="G21" s="138">
        <f t="shared" si="10"/>
        <v>32686.878210000003</v>
      </c>
      <c r="H21" s="152">
        <f t="shared" si="2"/>
        <v>25146.45</v>
      </c>
      <c r="I21" s="153">
        <v>5132.4000000000005</v>
      </c>
      <c r="J21" s="153">
        <f t="shared" si="3"/>
        <v>30278.850000000002</v>
      </c>
      <c r="K21" s="153">
        <f t="shared" si="4"/>
        <v>2922.6813000000006</v>
      </c>
      <c r="L21" s="153">
        <f t="shared" si="5"/>
        <v>151.39425000000003</v>
      </c>
      <c r="M21" s="153">
        <f t="shared" si="6"/>
        <v>6261.6661800000011</v>
      </c>
      <c r="N21" s="153">
        <f t="shared" si="7"/>
        <v>39614.59173</v>
      </c>
      <c r="O21" s="114"/>
      <c r="P21" s="113" t="s">
        <v>101</v>
      </c>
      <c r="Q21" s="12" t="s">
        <v>42</v>
      </c>
      <c r="R21" s="128">
        <f>G47</f>
        <v>60830.005740000008</v>
      </c>
      <c r="S21" s="174">
        <v>1560</v>
      </c>
      <c r="T21" s="133">
        <f t="shared" si="8"/>
        <v>38.99</v>
      </c>
      <c r="U21" s="129">
        <v>0.3</v>
      </c>
      <c r="V21" s="129">
        <v>0.6</v>
      </c>
    </row>
    <row r="22" spans="1:22">
      <c r="A22" s="147">
        <v>4</v>
      </c>
      <c r="B22" s="136" t="s">
        <v>104</v>
      </c>
      <c r="C22" s="172">
        <v>27596.100000000002</v>
      </c>
      <c r="D22" s="113">
        <f t="shared" si="9"/>
        <v>2552.4618000000005</v>
      </c>
      <c r="E22" s="137">
        <f t="shared" si="0"/>
        <v>137.98050000000001</v>
      </c>
      <c r="F22" s="113">
        <f t="shared" si="1"/>
        <v>5706.8734800000011</v>
      </c>
      <c r="G22" s="138">
        <f t="shared" si="10"/>
        <v>35993.415780000003</v>
      </c>
      <c r="H22" s="152">
        <f t="shared" si="2"/>
        <v>27596.100000000002</v>
      </c>
      <c r="I22" s="153">
        <v>5519.2200000000012</v>
      </c>
      <c r="J22" s="153">
        <f t="shared" si="3"/>
        <v>33115.320000000007</v>
      </c>
      <c r="K22" s="153">
        <f t="shared" si="4"/>
        <v>3314.1141600000014</v>
      </c>
      <c r="L22" s="153">
        <f t="shared" si="5"/>
        <v>165.57660000000004</v>
      </c>
      <c r="M22" s="153">
        <f t="shared" si="6"/>
        <v>6848.2481760000019</v>
      </c>
      <c r="N22" s="153">
        <f t="shared" si="7"/>
        <v>43443.258936000013</v>
      </c>
      <c r="O22" s="114"/>
      <c r="P22" s="113" t="s">
        <v>101</v>
      </c>
      <c r="Q22" s="12" t="s">
        <v>105</v>
      </c>
      <c r="R22" s="128">
        <f>G51</f>
        <v>66309.248879999999</v>
      </c>
      <c r="S22" s="174">
        <v>1560</v>
      </c>
      <c r="T22" s="133">
        <f t="shared" si="8"/>
        <v>42.51</v>
      </c>
      <c r="U22" s="129">
        <v>0.3</v>
      </c>
      <c r="V22" s="129">
        <v>0.6</v>
      </c>
    </row>
    <row r="23" spans="1:22">
      <c r="A23" s="147">
        <v>4</v>
      </c>
      <c r="B23" s="136" t="s">
        <v>106</v>
      </c>
      <c r="C23" s="172">
        <v>27596.100000000002</v>
      </c>
      <c r="D23" s="113">
        <f t="shared" si="9"/>
        <v>2552.4618000000005</v>
      </c>
      <c r="E23" s="137">
        <f t="shared" si="0"/>
        <v>137.98050000000001</v>
      </c>
      <c r="F23" s="113">
        <f t="shared" si="1"/>
        <v>5706.8734800000011</v>
      </c>
      <c r="G23" s="138">
        <f t="shared" si="10"/>
        <v>35993.415780000003</v>
      </c>
      <c r="H23" s="152">
        <f t="shared" si="2"/>
        <v>27596.100000000002</v>
      </c>
      <c r="I23" s="153">
        <v>5519.2200000000012</v>
      </c>
      <c r="J23" s="153">
        <f t="shared" si="3"/>
        <v>33115.320000000007</v>
      </c>
      <c r="K23" s="153">
        <f t="shared" si="4"/>
        <v>3314.1141600000014</v>
      </c>
      <c r="L23" s="153">
        <f t="shared" si="5"/>
        <v>165.57660000000004</v>
      </c>
      <c r="M23" s="153">
        <f t="shared" si="6"/>
        <v>6848.2481760000019</v>
      </c>
      <c r="N23" s="153">
        <f t="shared" si="7"/>
        <v>43443.258936000013</v>
      </c>
      <c r="O23" s="114"/>
      <c r="P23" s="113" t="s">
        <v>107</v>
      </c>
      <c r="Q23" s="12" t="s">
        <v>108</v>
      </c>
      <c r="R23" s="128">
        <f>G52</f>
        <v>67519.61454000001</v>
      </c>
      <c r="S23" s="174">
        <v>1560</v>
      </c>
      <c r="T23" s="133">
        <f t="shared" si="8"/>
        <v>43.28</v>
      </c>
      <c r="U23" s="129">
        <v>0.3</v>
      </c>
      <c r="V23" s="129">
        <v>0.6</v>
      </c>
    </row>
    <row r="24" spans="1:22">
      <c r="A24" s="147">
        <v>4</v>
      </c>
      <c r="B24" s="136" t="s">
        <v>109</v>
      </c>
      <c r="C24" s="172">
        <v>27596.100000000002</v>
      </c>
      <c r="D24" s="113">
        <f t="shared" si="9"/>
        <v>2552.4618000000005</v>
      </c>
      <c r="E24" s="137">
        <f t="shared" si="0"/>
        <v>137.98050000000001</v>
      </c>
      <c r="F24" s="113">
        <f t="shared" si="1"/>
        <v>5706.8734800000011</v>
      </c>
      <c r="G24" s="138">
        <f t="shared" si="10"/>
        <v>35993.415780000003</v>
      </c>
      <c r="H24" s="152">
        <f t="shared" si="2"/>
        <v>27596.100000000002</v>
      </c>
      <c r="I24" s="153">
        <v>5519.2200000000012</v>
      </c>
      <c r="J24" s="153">
        <f t="shared" si="3"/>
        <v>33115.320000000007</v>
      </c>
      <c r="K24" s="153">
        <f t="shared" si="4"/>
        <v>3314.1141600000014</v>
      </c>
      <c r="L24" s="153">
        <f t="shared" si="5"/>
        <v>165.57660000000004</v>
      </c>
      <c r="M24" s="153">
        <f t="shared" si="6"/>
        <v>6848.2481760000019</v>
      </c>
      <c r="N24" s="153">
        <f t="shared" si="7"/>
        <v>43443.258936000013</v>
      </c>
      <c r="O24" s="114"/>
      <c r="P24" s="113" t="s">
        <v>107</v>
      </c>
      <c r="Q24" s="12" t="s">
        <v>44</v>
      </c>
      <c r="R24" s="128">
        <f>G54</f>
        <v>67519.61454000001</v>
      </c>
      <c r="S24" s="174">
        <v>1560</v>
      </c>
      <c r="T24" s="133">
        <f t="shared" si="8"/>
        <v>43.28</v>
      </c>
      <c r="U24" s="129">
        <v>0.3</v>
      </c>
      <c r="V24" s="129">
        <v>0.6</v>
      </c>
    </row>
    <row r="25" spans="1:22">
      <c r="A25" s="147">
        <v>4</v>
      </c>
      <c r="B25" s="136" t="s">
        <v>110</v>
      </c>
      <c r="C25" s="172">
        <v>27596.100000000002</v>
      </c>
      <c r="D25" s="113">
        <f t="shared" si="9"/>
        <v>2552.4618000000005</v>
      </c>
      <c r="E25" s="137">
        <f t="shared" si="0"/>
        <v>137.98050000000001</v>
      </c>
      <c r="F25" s="113">
        <f t="shared" si="1"/>
        <v>5706.8734800000011</v>
      </c>
      <c r="G25" s="138">
        <f t="shared" si="10"/>
        <v>35993.415780000003</v>
      </c>
      <c r="H25" s="152">
        <f t="shared" si="2"/>
        <v>27596.100000000002</v>
      </c>
      <c r="I25" s="153">
        <v>5519.2200000000012</v>
      </c>
      <c r="J25" s="153">
        <f t="shared" si="3"/>
        <v>33115.320000000007</v>
      </c>
      <c r="K25" s="153">
        <f t="shared" si="4"/>
        <v>3314.1141600000014</v>
      </c>
      <c r="L25" s="153">
        <f t="shared" si="5"/>
        <v>165.57660000000004</v>
      </c>
      <c r="M25" s="153">
        <f t="shared" si="6"/>
        <v>6848.2481760000019</v>
      </c>
      <c r="N25" s="153">
        <f t="shared" si="7"/>
        <v>43443.258936000013</v>
      </c>
      <c r="O25" s="114"/>
      <c r="P25" s="113" t="s">
        <v>107</v>
      </c>
      <c r="Q25" s="12" t="s">
        <v>111</v>
      </c>
      <c r="R25" s="128">
        <f>G57</f>
        <v>76155.162510000009</v>
      </c>
      <c r="S25" s="174">
        <v>1560</v>
      </c>
      <c r="T25" s="133">
        <f t="shared" si="8"/>
        <v>48.82</v>
      </c>
      <c r="U25" s="129">
        <v>0.3</v>
      </c>
      <c r="V25" s="129">
        <v>0.6</v>
      </c>
    </row>
    <row r="26" spans="1:22">
      <c r="A26" s="147">
        <v>5</v>
      </c>
      <c r="B26" s="136" t="s">
        <v>112</v>
      </c>
      <c r="C26" s="172">
        <v>28407.75</v>
      </c>
      <c r="D26" s="113">
        <f t="shared" si="9"/>
        <v>2664.4695000000002</v>
      </c>
      <c r="E26" s="137">
        <f t="shared" si="0"/>
        <v>142.03874999999999</v>
      </c>
      <c r="F26" s="113">
        <f t="shared" si="1"/>
        <v>5874.7227000000003</v>
      </c>
      <c r="G26" s="138">
        <f t="shared" si="10"/>
        <v>37088.980949999997</v>
      </c>
      <c r="H26" s="152">
        <f t="shared" si="2"/>
        <v>28407.75</v>
      </c>
      <c r="I26" s="153">
        <v>5681.55</v>
      </c>
      <c r="J26" s="153">
        <f t="shared" si="3"/>
        <v>34089.300000000003</v>
      </c>
      <c r="K26" s="153">
        <f t="shared" si="4"/>
        <v>3448.5234000000005</v>
      </c>
      <c r="L26" s="153">
        <f t="shared" si="5"/>
        <v>170.44650000000001</v>
      </c>
      <c r="M26" s="153">
        <f t="shared" si="6"/>
        <v>7049.6672400000007</v>
      </c>
      <c r="N26" s="153">
        <f t="shared" si="7"/>
        <v>44757.937140000002</v>
      </c>
      <c r="O26" s="114"/>
      <c r="P26" s="113" t="s">
        <v>113</v>
      </c>
      <c r="Q26" s="12" t="s">
        <v>114</v>
      </c>
      <c r="R26" s="128">
        <f>G58</f>
        <v>78344.875560000015</v>
      </c>
      <c r="S26" s="174">
        <v>1560</v>
      </c>
      <c r="T26" s="133">
        <f t="shared" si="8"/>
        <v>50.22</v>
      </c>
      <c r="U26" s="129">
        <v>0.3</v>
      </c>
      <c r="V26" s="129">
        <v>0.6</v>
      </c>
    </row>
    <row r="27" spans="1:22">
      <c r="A27" s="147">
        <v>5</v>
      </c>
      <c r="B27" s="136" t="s">
        <v>115</v>
      </c>
      <c r="C27" s="172">
        <v>28407.75</v>
      </c>
      <c r="D27" s="113">
        <f t="shared" si="9"/>
        <v>2664.4695000000002</v>
      </c>
      <c r="E27" s="137">
        <f t="shared" si="0"/>
        <v>142.03874999999999</v>
      </c>
      <c r="F27" s="113">
        <f t="shared" si="1"/>
        <v>5874.7227000000003</v>
      </c>
      <c r="G27" s="138">
        <f t="shared" si="10"/>
        <v>37088.980949999997</v>
      </c>
      <c r="H27" s="152">
        <f t="shared" si="2"/>
        <v>28407.75</v>
      </c>
      <c r="I27" s="153">
        <v>5681.55</v>
      </c>
      <c r="J27" s="153">
        <f t="shared" si="3"/>
        <v>34089.300000000003</v>
      </c>
      <c r="K27" s="153">
        <f t="shared" si="4"/>
        <v>3448.5234000000005</v>
      </c>
      <c r="L27" s="153">
        <f t="shared" si="5"/>
        <v>170.44650000000001</v>
      </c>
      <c r="M27" s="153">
        <f t="shared" si="6"/>
        <v>7049.6672400000007</v>
      </c>
      <c r="N27" s="153">
        <f t="shared" si="7"/>
        <v>44757.937140000002</v>
      </c>
      <c r="O27" s="114"/>
      <c r="P27" s="113" t="s">
        <v>113</v>
      </c>
      <c r="Q27" s="12" t="s">
        <v>116</v>
      </c>
      <c r="R27" s="128">
        <f>G60</f>
        <v>78344.875560000015</v>
      </c>
      <c r="S27" s="174">
        <v>1560</v>
      </c>
      <c r="T27" s="133">
        <f t="shared" si="8"/>
        <v>50.22</v>
      </c>
      <c r="U27" s="129">
        <v>0.3</v>
      </c>
      <c r="V27" s="129">
        <v>0.6</v>
      </c>
    </row>
    <row r="28" spans="1:22">
      <c r="A28" s="147">
        <v>5</v>
      </c>
      <c r="B28" s="136" t="s">
        <v>117</v>
      </c>
      <c r="C28" s="172">
        <v>30639</v>
      </c>
      <c r="D28" s="113">
        <f t="shared" si="9"/>
        <v>2972.3820000000001</v>
      </c>
      <c r="E28" s="137">
        <f t="shared" si="0"/>
        <v>153.19499999999999</v>
      </c>
      <c r="F28" s="113">
        <f t="shared" si="1"/>
        <v>6336.1451999999999</v>
      </c>
      <c r="G28" s="138">
        <f t="shared" si="10"/>
        <v>40100.722199999997</v>
      </c>
      <c r="H28" s="152">
        <f t="shared" si="2"/>
        <v>30639</v>
      </c>
      <c r="I28" s="153">
        <v>6127.8</v>
      </c>
      <c r="J28" s="153">
        <f t="shared" si="3"/>
        <v>36766.800000000003</v>
      </c>
      <c r="K28" s="153">
        <f t="shared" si="4"/>
        <v>3818.0184000000008</v>
      </c>
      <c r="L28" s="153">
        <f t="shared" si="5"/>
        <v>183.83400000000003</v>
      </c>
      <c r="M28" s="153">
        <f t="shared" si="6"/>
        <v>7603.374240000001</v>
      </c>
      <c r="N28" s="153">
        <f t="shared" si="7"/>
        <v>48372.026640000011</v>
      </c>
      <c r="O28" s="114"/>
      <c r="P28" s="113" t="s">
        <v>113</v>
      </c>
      <c r="Q28" s="12" t="s">
        <v>118</v>
      </c>
      <c r="R28" s="128">
        <f>G63</f>
        <v>91239.379980000012</v>
      </c>
      <c r="S28" s="174">
        <v>1560</v>
      </c>
      <c r="T28" s="133">
        <f t="shared" si="8"/>
        <v>58.49</v>
      </c>
      <c r="U28" s="129">
        <v>0.3</v>
      </c>
      <c r="V28" s="129">
        <v>0.6</v>
      </c>
    </row>
    <row r="29" spans="1:22">
      <c r="A29" s="147">
        <v>5</v>
      </c>
      <c r="B29" s="136" t="s">
        <v>119</v>
      </c>
      <c r="C29" s="172">
        <v>30639</v>
      </c>
      <c r="D29" s="113">
        <f t="shared" si="9"/>
        <v>2972.3820000000001</v>
      </c>
      <c r="E29" s="137">
        <f t="shared" si="0"/>
        <v>153.19499999999999</v>
      </c>
      <c r="F29" s="113">
        <f t="shared" si="1"/>
        <v>6336.1451999999999</v>
      </c>
      <c r="G29" s="138">
        <f t="shared" si="10"/>
        <v>40100.722199999997</v>
      </c>
      <c r="H29" s="152">
        <f t="shared" si="2"/>
        <v>30639</v>
      </c>
      <c r="I29" s="153">
        <v>6127.8</v>
      </c>
      <c r="J29" s="153">
        <f t="shared" si="3"/>
        <v>36766.800000000003</v>
      </c>
      <c r="K29" s="153">
        <f t="shared" si="4"/>
        <v>3818.0184000000008</v>
      </c>
      <c r="L29" s="153">
        <f t="shared" si="5"/>
        <v>183.83400000000003</v>
      </c>
      <c r="M29" s="153">
        <f t="shared" si="6"/>
        <v>7603.374240000001</v>
      </c>
      <c r="N29" s="153">
        <f t="shared" si="7"/>
        <v>48372.026640000011</v>
      </c>
      <c r="O29" s="114"/>
      <c r="P29" s="113" t="s">
        <v>120</v>
      </c>
      <c r="Q29" s="12" t="s">
        <v>121</v>
      </c>
      <c r="R29" s="128">
        <f>G64</f>
        <v>93793.336559999996</v>
      </c>
      <c r="S29" s="174">
        <v>1560</v>
      </c>
      <c r="T29" s="133">
        <f t="shared" si="8"/>
        <v>60.12</v>
      </c>
      <c r="U29" s="129">
        <v>0.3</v>
      </c>
      <c r="V29" s="129">
        <v>0.6</v>
      </c>
    </row>
    <row r="30" spans="1:22">
      <c r="A30" s="147">
        <v>5</v>
      </c>
      <c r="B30" s="136" t="s">
        <v>122</v>
      </c>
      <c r="C30" s="172">
        <v>34580.700000000004</v>
      </c>
      <c r="D30" s="113">
        <f t="shared" si="9"/>
        <v>3516.336600000001</v>
      </c>
      <c r="E30" s="137">
        <f t="shared" si="0"/>
        <v>172.90350000000004</v>
      </c>
      <c r="F30" s="113">
        <f t="shared" si="1"/>
        <v>7151.2887600000013</v>
      </c>
      <c r="G30" s="138">
        <f t="shared" si="10"/>
        <v>45421.22886000001</v>
      </c>
      <c r="H30" s="152">
        <f t="shared" si="2"/>
        <v>34580.700000000004</v>
      </c>
      <c r="I30" s="153">
        <v>6916.14</v>
      </c>
      <c r="J30" s="153">
        <f t="shared" si="3"/>
        <v>41496.840000000004</v>
      </c>
      <c r="K30" s="153">
        <f t="shared" si="4"/>
        <v>4470.7639200000012</v>
      </c>
      <c r="L30" s="153">
        <f t="shared" si="5"/>
        <v>207.48420000000002</v>
      </c>
      <c r="M30" s="153">
        <f t="shared" si="6"/>
        <v>8581.5465120000008</v>
      </c>
      <c r="N30" s="153">
        <f t="shared" si="7"/>
        <v>54756.634632000008</v>
      </c>
      <c r="O30" s="114"/>
      <c r="P30" s="113" t="s">
        <v>120</v>
      </c>
      <c r="Q30" s="12" t="s">
        <v>123</v>
      </c>
      <c r="R30" s="128">
        <f>G66</f>
        <v>93793.336559999996</v>
      </c>
      <c r="S30" s="174">
        <v>1560</v>
      </c>
      <c r="T30" s="133">
        <f t="shared" si="8"/>
        <v>60.12</v>
      </c>
      <c r="U30" s="129">
        <v>0.3</v>
      </c>
      <c r="V30" s="129">
        <v>0.6</v>
      </c>
    </row>
    <row r="31" spans="1:22">
      <c r="A31" s="147">
        <v>5</v>
      </c>
      <c r="B31" s="136" t="s">
        <v>124</v>
      </c>
      <c r="C31" s="172">
        <v>34580.700000000004</v>
      </c>
      <c r="D31" s="113">
        <f t="shared" si="9"/>
        <v>3516.336600000001</v>
      </c>
      <c r="E31" s="137">
        <f t="shared" si="0"/>
        <v>172.90350000000004</v>
      </c>
      <c r="F31" s="113">
        <f t="shared" si="1"/>
        <v>7151.2887600000013</v>
      </c>
      <c r="G31" s="138">
        <f t="shared" si="10"/>
        <v>45421.22886000001</v>
      </c>
      <c r="H31" s="152">
        <f t="shared" si="2"/>
        <v>34580.700000000004</v>
      </c>
      <c r="I31" s="153">
        <v>6916.14</v>
      </c>
      <c r="J31" s="153">
        <f t="shared" si="3"/>
        <v>41496.840000000004</v>
      </c>
      <c r="K31" s="153">
        <f t="shared" si="4"/>
        <v>4470.7639200000012</v>
      </c>
      <c r="L31" s="153">
        <f t="shared" si="5"/>
        <v>207.48420000000002</v>
      </c>
      <c r="M31" s="153">
        <f t="shared" si="6"/>
        <v>8581.5465120000008</v>
      </c>
      <c r="N31" s="153">
        <f t="shared" si="7"/>
        <v>54756.634632000008</v>
      </c>
      <c r="O31" s="114"/>
      <c r="P31" s="113" t="s">
        <v>120</v>
      </c>
      <c r="Q31" s="12" t="s">
        <v>125</v>
      </c>
      <c r="R31" s="128">
        <f>G69</f>
        <v>108263.86746000001</v>
      </c>
      <c r="S31" s="174">
        <v>1560</v>
      </c>
      <c r="T31" s="133">
        <f t="shared" si="8"/>
        <v>69.400000000000006</v>
      </c>
      <c r="U31" s="129">
        <v>0.3</v>
      </c>
      <c r="V31" s="129">
        <v>0.6</v>
      </c>
    </row>
    <row r="32" spans="1:22">
      <c r="A32" s="147">
        <v>5</v>
      </c>
      <c r="B32" s="136" t="s">
        <v>126</v>
      </c>
      <c r="C32" s="172">
        <v>34580.700000000004</v>
      </c>
      <c r="D32" s="113">
        <f t="shared" si="9"/>
        <v>3516.336600000001</v>
      </c>
      <c r="E32" s="137">
        <f t="shared" si="0"/>
        <v>172.90350000000004</v>
      </c>
      <c r="F32" s="113">
        <f t="shared" si="1"/>
        <v>7151.2887600000013</v>
      </c>
      <c r="G32" s="138">
        <f t="shared" si="10"/>
        <v>45421.22886000001</v>
      </c>
      <c r="H32" s="152">
        <f t="shared" si="2"/>
        <v>34580.700000000004</v>
      </c>
      <c r="I32" s="153">
        <v>6916.14</v>
      </c>
      <c r="J32" s="153">
        <f t="shared" si="3"/>
        <v>41496.840000000004</v>
      </c>
      <c r="K32" s="153">
        <f t="shared" si="4"/>
        <v>4470.7639200000012</v>
      </c>
      <c r="L32" s="153">
        <f t="shared" si="5"/>
        <v>207.48420000000002</v>
      </c>
      <c r="M32" s="153">
        <f t="shared" si="6"/>
        <v>8581.5465120000008</v>
      </c>
      <c r="N32" s="153">
        <f t="shared" si="7"/>
        <v>54756.634632000008</v>
      </c>
      <c r="O32" s="114"/>
      <c r="P32" s="113" t="s">
        <v>127</v>
      </c>
      <c r="Q32" s="12" t="s">
        <v>128</v>
      </c>
      <c r="R32" s="128">
        <f>G70</f>
        <v>111549.14568</v>
      </c>
      <c r="S32" s="174">
        <v>1560</v>
      </c>
      <c r="T32" s="133">
        <f t="shared" si="8"/>
        <v>71.510000000000005</v>
      </c>
      <c r="U32" s="129">
        <v>0.3</v>
      </c>
      <c r="V32" s="129">
        <v>0.6</v>
      </c>
    </row>
    <row r="33" spans="1:23">
      <c r="A33" s="147">
        <v>5</v>
      </c>
      <c r="B33" s="136" t="s">
        <v>129</v>
      </c>
      <c r="C33" s="172">
        <v>34580.700000000004</v>
      </c>
      <c r="D33" s="113">
        <f t="shared" si="9"/>
        <v>3516.336600000001</v>
      </c>
      <c r="E33" s="137">
        <f t="shared" si="0"/>
        <v>172.90350000000004</v>
      </c>
      <c r="F33" s="113">
        <f t="shared" si="1"/>
        <v>7151.2887600000013</v>
      </c>
      <c r="G33" s="138">
        <f t="shared" si="10"/>
        <v>45421.22886000001</v>
      </c>
      <c r="H33" s="152">
        <f t="shared" si="2"/>
        <v>34580.700000000004</v>
      </c>
      <c r="I33" s="153">
        <v>6916.14</v>
      </c>
      <c r="J33" s="153">
        <f t="shared" si="3"/>
        <v>41496.840000000004</v>
      </c>
      <c r="K33" s="153">
        <f t="shared" si="4"/>
        <v>4470.7639200000012</v>
      </c>
      <c r="L33" s="153">
        <f t="shared" si="5"/>
        <v>207.48420000000002</v>
      </c>
      <c r="M33" s="153">
        <f t="shared" si="6"/>
        <v>8581.5465120000008</v>
      </c>
      <c r="N33" s="153">
        <f t="shared" si="7"/>
        <v>54756.634632000008</v>
      </c>
      <c r="O33" s="114"/>
      <c r="P33" s="113" t="s">
        <v>127</v>
      </c>
      <c r="Q33" s="12" t="s">
        <v>130</v>
      </c>
      <c r="R33" s="128">
        <f>G72</f>
        <v>111549.14568</v>
      </c>
      <c r="S33" s="174">
        <v>1560</v>
      </c>
      <c r="T33" s="133">
        <f t="shared" si="8"/>
        <v>71.510000000000005</v>
      </c>
      <c r="U33" s="129">
        <v>0.3</v>
      </c>
      <c r="V33" s="129">
        <v>0.6</v>
      </c>
    </row>
    <row r="34" spans="1:23">
      <c r="A34" s="147">
        <v>6</v>
      </c>
      <c r="B34" s="136" t="s">
        <v>131</v>
      </c>
      <c r="C34" s="172">
        <v>35391.300000000003</v>
      </c>
      <c r="D34" s="113">
        <f t="shared" si="9"/>
        <v>3628.1994000000009</v>
      </c>
      <c r="E34" s="137">
        <f t="shared" si="0"/>
        <v>176.95650000000001</v>
      </c>
      <c r="F34" s="113">
        <f t="shared" si="1"/>
        <v>7318.9208400000007</v>
      </c>
      <c r="G34" s="138">
        <f t="shared" si="10"/>
        <v>46515.37674</v>
      </c>
      <c r="H34" s="152">
        <f t="shared" si="2"/>
        <v>35391.300000000003</v>
      </c>
      <c r="I34" s="153">
        <v>7078.2600000000011</v>
      </c>
      <c r="J34" s="153">
        <f t="shared" si="3"/>
        <v>42469.560000000005</v>
      </c>
      <c r="K34" s="153">
        <f t="shared" si="4"/>
        <v>4604.9992800000009</v>
      </c>
      <c r="L34" s="153">
        <f t="shared" si="5"/>
        <v>212.34780000000003</v>
      </c>
      <c r="M34" s="153">
        <f t="shared" si="6"/>
        <v>8782.7050080000008</v>
      </c>
      <c r="N34" s="153">
        <f t="shared" si="7"/>
        <v>56069.612088000009</v>
      </c>
      <c r="O34" s="114"/>
      <c r="P34" s="113" t="s">
        <v>127</v>
      </c>
      <c r="Q34" s="12" t="s">
        <v>132</v>
      </c>
      <c r="R34" s="128">
        <f>G75</f>
        <v>128832.99723000001</v>
      </c>
      <c r="S34" s="174">
        <v>1560</v>
      </c>
      <c r="T34" s="133">
        <f t="shared" si="8"/>
        <v>82.59</v>
      </c>
      <c r="U34" s="129">
        <v>0.3</v>
      </c>
      <c r="V34" s="129">
        <v>0.6</v>
      </c>
    </row>
    <row r="35" spans="1:23">
      <c r="A35" s="147">
        <v>6</v>
      </c>
      <c r="B35" s="136" t="s">
        <v>133</v>
      </c>
      <c r="C35" s="172">
        <v>35391.300000000003</v>
      </c>
      <c r="D35" s="113">
        <f t="shared" si="9"/>
        <v>3628.1994000000009</v>
      </c>
      <c r="E35" s="137">
        <f t="shared" si="0"/>
        <v>176.95650000000001</v>
      </c>
      <c r="F35" s="113">
        <f t="shared" si="1"/>
        <v>7318.9208400000007</v>
      </c>
      <c r="G35" s="138">
        <f t="shared" si="10"/>
        <v>46515.37674</v>
      </c>
      <c r="H35" s="152">
        <f t="shared" si="2"/>
        <v>35391.300000000003</v>
      </c>
      <c r="I35" s="153">
        <v>7078.2600000000011</v>
      </c>
      <c r="J35" s="153">
        <f t="shared" si="3"/>
        <v>42469.560000000005</v>
      </c>
      <c r="K35" s="153">
        <f t="shared" si="4"/>
        <v>4604.9992800000009</v>
      </c>
      <c r="L35" s="153">
        <f t="shared" si="5"/>
        <v>212.34780000000003</v>
      </c>
      <c r="M35" s="153">
        <f t="shared" si="6"/>
        <v>8782.7050080000008</v>
      </c>
      <c r="N35" s="153">
        <f t="shared" si="7"/>
        <v>56069.612088000009</v>
      </c>
      <c r="O35" s="114"/>
      <c r="P35" s="113" t="s">
        <v>134</v>
      </c>
      <c r="Q35" s="12" t="s">
        <v>135</v>
      </c>
      <c r="R35" s="128">
        <f>G76</f>
        <v>133578.08415000001</v>
      </c>
      <c r="S35" s="174">
        <v>1560</v>
      </c>
      <c r="T35" s="133">
        <f t="shared" si="8"/>
        <v>85.63</v>
      </c>
      <c r="U35" s="129">
        <v>0.3</v>
      </c>
      <c r="V35" s="129">
        <v>0.6</v>
      </c>
    </row>
    <row r="36" spans="1:23">
      <c r="A36" s="147">
        <v>6</v>
      </c>
      <c r="B36" s="136" t="s">
        <v>136</v>
      </c>
      <c r="C36" s="172">
        <v>37350.6</v>
      </c>
      <c r="D36" s="113">
        <f t="shared" si="9"/>
        <v>3898.5828000000001</v>
      </c>
      <c r="E36" s="137">
        <f t="shared" si="0"/>
        <v>186.75299999999999</v>
      </c>
      <c r="F36" s="113">
        <f t="shared" si="1"/>
        <v>7724.1040800000001</v>
      </c>
      <c r="G36" s="138">
        <f t="shared" si="10"/>
        <v>49160.039879999989</v>
      </c>
      <c r="H36" s="152">
        <f t="shared" si="2"/>
        <v>37350.6</v>
      </c>
      <c r="I36" s="153">
        <v>7470.1200000000008</v>
      </c>
      <c r="J36" s="153">
        <f t="shared" si="3"/>
        <v>44820.72</v>
      </c>
      <c r="K36" s="153">
        <f t="shared" si="4"/>
        <v>4929.4593600000007</v>
      </c>
      <c r="L36" s="153">
        <f t="shared" si="5"/>
        <v>224.1036</v>
      </c>
      <c r="M36" s="153">
        <f t="shared" si="6"/>
        <v>9268.9248960000004</v>
      </c>
      <c r="N36" s="153">
        <f t="shared" si="7"/>
        <v>59243.207856000008</v>
      </c>
      <c r="O36" s="114"/>
      <c r="P36" s="113" t="s">
        <v>134</v>
      </c>
      <c r="Q36" s="12" t="s">
        <v>137</v>
      </c>
      <c r="R36" s="128">
        <f>G78</f>
        <v>133578.08415000001</v>
      </c>
      <c r="S36" s="174">
        <v>1560</v>
      </c>
      <c r="T36" s="133">
        <f t="shared" si="8"/>
        <v>85.63</v>
      </c>
      <c r="U36" s="129">
        <v>0.3</v>
      </c>
      <c r="V36" s="129">
        <v>0.6</v>
      </c>
    </row>
    <row r="37" spans="1:23">
      <c r="A37" s="147">
        <v>6</v>
      </c>
      <c r="B37" s="136" t="s">
        <v>138</v>
      </c>
      <c r="C37" s="172">
        <v>37350.6</v>
      </c>
      <c r="D37" s="113">
        <f t="shared" ref="D37:D68" si="11">(C37-$B$110)*0.138</f>
        <v>3898.5828000000001</v>
      </c>
      <c r="E37" s="137">
        <f t="shared" si="0"/>
        <v>186.75299999999999</v>
      </c>
      <c r="F37" s="113">
        <f t="shared" si="1"/>
        <v>7724.1040800000001</v>
      </c>
      <c r="G37" s="138">
        <f t="shared" si="10"/>
        <v>49160.039879999989</v>
      </c>
      <c r="H37" s="152">
        <f t="shared" si="2"/>
        <v>37350.6</v>
      </c>
      <c r="I37" s="153">
        <v>7470.1200000000008</v>
      </c>
      <c r="J37" s="153">
        <f t="shared" si="3"/>
        <v>44820.72</v>
      </c>
      <c r="K37" s="153">
        <f t="shared" ref="K37:K68" si="12">(J37-$B$110)*0.138</f>
        <v>4929.4593600000007</v>
      </c>
      <c r="L37" s="153">
        <f t="shared" si="5"/>
        <v>224.1036</v>
      </c>
      <c r="M37" s="153">
        <f t="shared" si="6"/>
        <v>9268.9248960000004</v>
      </c>
      <c r="N37" s="153">
        <f t="shared" si="7"/>
        <v>59243.207856000008</v>
      </c>
      <c r="O37" s="114"/>
      <c r="P37" s="113" t="s">
        <v>134</v>
      </c>
      <c r="Q37" s="12" t="s">
        <v>139</v>
      </c>
      <c r="R37" s="128">
        <f>G81</f>
        <v>153902.02275</v>
      </c>
      <c r="S37" s="174">
        <v>1560</v>
      </c>
      <c r="T37" s="133">
        <f t="shared" si="8"/>
        <v>98.66</v>
      </c>
      <c r="U37" s="129">
        <v>0.3</v>
      </c>
      <c r="V37" s="129">
        <v>0.6</v>
      </c>
    </row>
    <row r="38" spans="1:23">
      <c r="A38" s="147">
        <v>6</v>
      </c>
      <c r="B38" s="136" t="s">
        <v>140</v>
      </c>
      <c r="C38" s="172">
        <v>37350.6</v>
      </c>
      <c r="D38" s="113">
        <f t="shared" si="11"/>
        <v>3898.5828000000001</v>
      </c>
      <c r="E38" s="137">
        <f t="shared" si="0"/>
        <v>186.75299999999999</v>
      </c>
      <c r="F38" s="113">
        <f t="shared" si="1"/>
        <v>7724.1040800000001</v>
      </c>
      <c r="G38" s="138">
        <f t="shared" si="10"/>
        <v>49160.039879999989</v>
      </c>
      <c r="H38" s="152">
        <f t="shared" si="2"/>
        <v>37350.6</v>
      </c>
      <c r="I38" s="153">
        <v>7470.1200000000008</v>
      </c>
      <c r="J38" s="153">
        <f t="shared" si="3"/>
        <v>44820.72</v>
      </c>
      <c r="K38" s="153">
        <f t="shared" si="12"/>
        <v>4929.4593600000007</v>
      </c>
      <c r="L38" s="153">
        <f t="shared" si="5"/>
        <v>224.1036</v>
      </c>
      <c r="M38" s="153">
        <f t="shared" si="6"/>
        <v>9268.9248960000004</v>
      </c>
      <c r="N38" s="153">
        <f t="shared" si="7"/>
        <v>59243.207856000008</v>
      </c>
      <c r="O38" s="114"/>
      <c r="P38" s="113" t="s">
        <v>141</v>
      </c>
      <c r="Q38" s="12" t="s">
        <v>142</v>
      </c>
      <c r="R38" s="128">
        <f>G82</f>
        <v>118017.92720000001</v>
      </c>
      <c r="S38" s="174">
        <v>1376</v>
      </c>
      <c r="T38" s="133">
        <f t="shared" si="8"/>
        <v>85.77</v>
      </c>
      <c r="U38" s="130">
        <v>0</v>
      </c>
      <c r="V38" s="130">
        <v>0</v>
      </c>
    </row>
    <row r="39" spans="1:23">
      <c r="A39" s="147">
        <v>6</v>
      </c>
      <c r="B39" s="136" t="s">
        <v>143</v>
      </c>
      <c r="C39" s="172">
        <v>42617.4</v>
      </c>
      <c r="D39" s="113">
        <f t="shared" si="11"/>
        <v>4625.4012000000002</v>
      </c>
      <c r="E39" s="137">
        <f t="shared" si="0"/>
        <v>213.08700000000002</v>
      </c>
      <c r="F39" s="113">
        <f t="shared" si="1"/>
        <v>8813.2783200000013</v>
      </c>
      <c r="G39" s="138">
        <f t="shared" si="10"/>
        <v>56269.166519999999</v>
      </c>
      <c r="H39" s="152">
        <f t="shared" si="2"/>
        <v>42617.4</v>
      </c>
      <c r="I39" s="153">
        <v>7745.85</v>
      </c>
      <c r="J39" s="153">
        <f t="shared" si="3"/>
        <v>50363.25</v>
      </c>
      <c r="K39" s="153">
        <f t="shared" si="12"/>
        <v>5694.3285000000005</v>
      </c>
      <c r="L39" s="153">
        <f t="shared" si="5"/>
        <v>251.81625</v>
      </c>
      <c r="M39" s="153">
        <f t="shared" si="6"/>
        <v>10415.1201</v>
      </c>
      <c r="N39" s="153">
        <f t="shared" si="7"/>
        <v>66724.514850000007</v>
      </c>
      <c r="O39" s="114"/>
      <c r="P39" s="113" t="s">
        <v>141</v>
      </c>
      <c r="Q39" s="12" t="s">
        <v>45</v>
      </c>
      <c r="R39" s="128">
        <f>G91</f>
        <v>141817.60079999999</v>
      </c>
      <c r="S39" s="174">
        <v>1376</v>
      </c>
      <c r="T39" s="133">
        <f t="shared" si="8"/>
        <v>103.07</v>
      </c>
      <c r="U39" s="130">
        <v>0</v>
      </c>
      <c r="V39" s="130">
        <v>0</v>
      </c>
    </row>
    <row r="40" spans="1:23">
      <c r="A40" s="147">
        <v>6</v>
      </c>
      <c r="B40" s="136" t="s">
        <v>144</v>
      </c>
      <c r="C40" s="172">
        <v>42617.4</v>
      </c>
      <c r="D40" s="113">
        <f t="shared" si="11"/>
        <v>4625.4012000000002</v>
      </c>
      <c r="E40" s="137">
        <f t="shared" si="0"/>
        <v>213.08700000000002</v>
      </c>
      <c r="F40" s="113">
        <f t="shared" si="1"/>
        <v>8813.2783200000013</v>
      </c>
      <c r="G40" s="138">
        <f t="shared" si="10"/>
        <v>56269.166519999999</v>
      </c>
      <c r="H40" s="152">
        <f t="shared" si="2"/>
        <v>42617.4</v>
      </c>
      <c r="I40" s="153">
        <v>7745.85</v>
      </c>
      <c r="J40" s="153">
        <f t="shared" si="3"/>
        <v>50363.25</v>
      </c>
      <c r="K40" s="153">
        <f t="shared" si="12"/>
        <v>5694.3285000000005</v>
      </c>
      <c r="L40" s="153">
        <f t="shared" si="5"/>
        <v>251.81625</v>
      </c>
      <c r="M40" s="153">
        <f t="shared" si="6"/>
        <v>10415.1201</v>
      </c>
      <c r="N40" s="153">
        <f t="shared" si="7"/>
        <v>66724.514850000007</v>
      </c>
      <c r="O40" s="114"/>
      <c r="P40" s="113" t="s">
        <v>141</v>
      </c>
      <c r="Q40" s="12" t="s">
        <v>145</v>
      </c>
      <c r="R40" s="128">
        <f>G100</f>
        <v>159549.92340000003</v>
      </c>
      <c r="S40" s="174">
        <v>1376</v>
      </c>
      <c r="T40" s="133">
        <f t="shared" si="8"/>
        <v>115.95</v>
      </c>
      <c r="U40" s="130">
        <v>0</v>
      </c>
      <c r="V40" s="130">
        <v>0</v>
      </c>
    </row>
    <row r="41" spans="1:23">
      <c r="A41" s="147">
        <v>6</v>
      </c>
      <c r="B41" s="136" t="s">
        <v>146</v>
      </c>
      <c r="C41" s="172">
        <v>42617.4</v>
      </c>
      <c r="D41" s="113">
        <f t="shared" si="11"/>
        <v>4625.4012000000002</v>
      </c>
      <c r="E41" s="137">
        <f t="shared" si="0"/>
        <v>213.08700000000002</v>
      </c>
      <c r="F41" s="113">
        <f t="shared" si="1"/>
        <v>8813.2783200000013</v>
      </c>
      <c r="G41" s="138">
        <f t="shared" si="10"/>
        <v>56269.166519999999</v>
      </c>
      <c r="H41" s="152">
        <f t="shared" si="2"/>
        <v>42617.4</v>
      </c>
      <c r="I41" s="153">
        <v>7745.85</v>
      </c>
      <c r="J41" s="153">
        <f t="shared" si="3"/>
        <v>50363.25</v>
      </c>
      <c r="K41" s="153">
        <f t="shared" si="12"/>
        <v>5694.3285000000005</v>
      </c>
      <c r="L41" s="153">
        <f t="shared" si="5"/>
        <v>251.81625</v>
      </c>
      <c r="M41" s="153">
        <f t="shared" si="6"/>
        <v>10415.1201</v>
      </c>
      <c r="N41" s="153">
        <f t="shared" si="7"/>
        <v>66724.514850000007</v>
      </c>
      <c r="O41" s="114"/>
      <c r="P41" s="113" t="s">
        <v>147</v>
      </c>
      <c r="Q41" s="12" t="s">
        <v>148</v>
      </c>
      <c r="R41" s="128">
        <f>E105</f>
        <v>205803.51999999999</v>
      </c>
      <c r="S41" s="174">
        <v>1287</v>
      </c>
      <c r="T41" s="133">
        <f t="shared" si="8"/>
        <v>159.91</v>
      </c>
      <c r="U41" s="130">
        <v>0</v>
      </c>
      <c r="V41" s="130">
        <v>0</v>
      </c>
    </row>
    <row r="42" spans="1:23">
      <c r="A42" s="147">
        <v>6</v>
      </c>
      <c r="B42" s="136" t="s">
        <v>149</v>
      </c>
      <c r="C42" s="172">
        <v>42617.4</v>
      </c>
      <c r="D42" s="113">
        <f t="shared" si="11"/>
        <v>4625.4012000000002</v>
      </c>
      <c r="E42" s="137">
        <f t="shared" si="0"/>
        <v>213.08700000000002</v>
      </c>
      <c r="F42" s="113">
        <f t="shared" si="1"/>
        <v>8813.2783200000013</v>
      </c>
      <c r="G42" s="138">
        <f t="shared" si="10"/>
        <v>56269.166519999999</v>
      </c>
      <c r="H42" s="152">
        <f t="shared" si="2"/>
        <v>42617.4</v>
      </c>
      <c r="I42" s="153">
        <v>7745.85</v>
      </c>
      <c r="J42" s="153">
        <f t="shared" si="3"/>
        <v>50363.25</v>
      </c>
      <c r="K42" s="153">
        <f t="shared" si="12"/>
        <v>5694.3285000000005</v>
      </c>
      <c r="L42" s="153">
        <f t="shared" si="5"/>
        <v>251.81625</v>
      </c>
      <c r="M42" s="153">
        <f t="shared" si="6"/>
        <v>10415.1201</v>
      </c>
      <c r="N42" s="153">
        <f t="shared" si="7"/>
        <v>66724.514850000007</v>
      </c>
      <c r="O42" s="114"/>
      <c r="P42" s="37"/>
      <c r="R42"/>
    </row>
    <row r="43" spans="1:23">
      <c r="A43" s="147">
        <v>7</v>
      </c>
      <c r="B43" s="136" t="s">
        <v>150</v>
      </c>
      <c r="C43" s="172">
        <v>43741.950000000004</v>
      </c>
      <c r="D43" s="113">
        <f t="shared" si="11"/>
        <v>4780.5891000000011</v>
      </c>
      <c r="E43" s="137">
        <f t="shared" si="0"/>
        <v>218.70975000000001</v>
      </c>
      <c r="F43" s="113">
        <f t="shared" si="1"/>
        <v>9045.8352600000017</v>
      </c>
      <c r="G43" s="138">
        <f t="shared" si="10"/>
        <v>57787.084110000011</v>
      </c>
      <c r="H43" s="152">
        <f t="shared" si="2"/>
        <v>43741.950000000004</v>
      </c>
      <c r="I43" s="153">
        <v>7745.85</v>
      </c>
      <c r="J43" s="153">
        <f t="shared" si="3"/>
        <v>51487.8</v>
      </c>
      <c r="K43" s="153">
        <f t="shared" si="12"/>
        <v>5849.5164000000013</v>
      </c>
      <c r="L43" s="153">
        <f t="shared" si="5"/>
        <v>257.43900000000002</v>
      </c>
      <c r="M43" s="153">
        <f>J43*0.2068</f>
        <v>10647.67704</v>
      </c>
      <c r="N43" s="153">
        <f t="shared" si="7"/>
        <v>68242.432440000004</v>
      </c>
      <c r="O43" s="114"/>
      <c r="P43" s="37"/>
      <c r="R43"/>
    </row>
    <row r="44" spans="1:23">
      <c r="A44" s="147">
        <v>7</v>
      </c>
      <c r="B44" s="136" t="s">
        <v>151</v>
      </c>
      <c r="C44" s="172">
        <v>43741.950000000004</v>
      </c>
      <c r="D44" s="113">
        <f t="shared" si="11"/>
        <v>4780.5891000000011</v>
      </c>
      <c r="E44" s="137">
        <f t="shared" si="0"/>
        <v>218.70975000000001</v>
      </c>
      <c r="F44" s="113">
        <f t="shared" si="1"/>
        <v>9045.8352600000017</v>
      </c>
      <c r="G44" s="138">
        <f t="shared" si="10"/>
        <v>57787.084110000011</v>
      </c>
      <c r="H44" s="152">
        <f t="shared" si="2"/>
        <v>43741.950000000004</v>
      </c>
      <c r="I44" s="153">
        <v>7745.85</v>
      </c>
      <c r="J44" s="153">
        <f t="shared" si="3"/>
        <v>51487.8</v>
      </c>
      <c r="K44" s="153">
        <f t="shared" si="12"/>
        <v>5849.5164000000013</v>
      </c>
      <c r="L44" s="153">
        <f t="shared" si="5"/>
        <v>257.43900000000002</v>
      </c>
      <c r="M44" s="153">
        <f t="shared" si="6"/>
        <v>10647.67704</v>
      </c>
      <c r="N44" s="153">
        <f t="shared" si="7"/>
        <v>68242.432440000004</v>
      </c>
      <c r="O44" s="114"/>
      <c r="P44" s="27"/>
      <c r="Q44" s="66"/>
      <c r="R44" s="161"/>
      <c r="S44" s="66"/>
      <c r="T44" s="66"/>
      <c r="U44" s="66"/>
      <c r="V44" s="17"/>
    </row>
    <row r="45" spans="1:23">
      <c r="A45" s="147">
        <v>7</v>
      </c>
      <c r="B45" s="136" t="s">
        <v>152</v>
      </c>
      <c r="C45" s="172">
        <v>45996.3</v>
      </c>
      <c r="D45" s="113">
        <f t="shared" si="11"/>
        <v>5091.6894000000011</v>
      </c>
      <c r="E45" s="137">
        <f t="shared" si="0"/>
        <v>229.98150000000001</v>
      </c>
      <c r="F45" s="113">
        <f t="shared" si="1"/>
        <v>9512.0348400000003</v>
      </c>
      <c r="G45" s="138">
        <f t="shared" si="10"/>
        <v>60830.005740000008</v>
      </c>
      <c r="H45" s="152">
        <f t="shared" si="2"/>
        <v>45996.3</v>
      </c>
      <c r="I45" s="153">
        <v>7745.85</v>
      </c>
      <c r="J45" s="153">
        <f t="shared" si="3"/>
        <v>53742.15</v>
      </c>
      <c r="K45" s="153">
        <f t="shared" si="12"/>
        <v>6160.6167000000005</v>
      </c>
      <c r="L45" s="153">
        <f t="shared" si="5"/>
        <v>268.71075000000002</v>
      </c>
      <c r="M45" s="153">
        <f t="shared" si="6"/>
        <v>11113.876620000001</v>
      </c>
      <c r="N45" s="153">
        <f t="shared" si="7"/>
        <v>71285.354070000001</v>
      </c>
      <c r="O45" s="114"/>
      <c r="P45" s="20" t="s">
        <v>217</v>
      </c>
      <c r="W45" s="20"/>
    </row>
    <row r="46" spans="1:23">
      <c r="A46" s="147">
        <v>7</v>
      </c>
      <c r="B46" s="136" t="s">
        <v>153</v>
      </c>
      <c r="C46" s="172">
        <v>45996.3</v>
      </c>
      <c r="D46" s="113">
        <f t="shared" si="11"/>
        <v>5091.6894000000011</v>
      </c>
      <c r="E46" s="137">
        <f t="shared" si="0"/>
        <v>229.98150000000001</v>
      </c>
      <c r="F46" s="113">
        <f t="shared" si="1"/>
        <v>9512.0348400000003</v>
      </c>
      <c r="G46" s="138">
        <f t="shared" si="10"/>
        <v>60830.005740000008</v>
      </c>
      <c r="H46" s="152">
        <f t="shared" si="2"/>
        <v>45996.3</v>
      </c>
      <c r="I46" s="153">
        <v>7745.85</v>
      </c>
      <c r="J46" s="153">
        <f t="shared" si="3"/>
        <v>53742.15</v>
      </c>
      <c r="K46" s="153">
        <f t="shared" si="12"/>
        <v>6160.6167000000005</v>
      </c>
      <c r="L46" s="153">
        <f t="shared" si="5"/>
        <v>268.71075000000002</v>
      </c>
      <c r="M46" s="153">
        <f t="shared" si="6"/>
        <v>11113.876620000001</v>
      </c>
      <c r="N46" s="153">
        <f t="shared" si="7"/>
        <v>71285.354070000001</v>
      </c>
      <c r="O46" s="114"/>
      <c r="P46" s="20"/>
      <c r="W46" s="20"/>
    </row>
    <row r="47" spans="1:23">
      <c r="A47" s="147">
        <v>7</v>
      </c>
      <c r="B47" s="136" t="s">
        <v>154</v>
      </c>
      <c r="C47" s="172">
        <v>45996.3</v>
      </c>
      <c r="D47" s="113">
        <f t="shared" si="11"/>
        <v>5091.6894000000011</v>
      </c>
      <c r="E47" s="137">
        <f t="shared" si="0"/>
        <v>229.98150000000001</v>
      </c>
      <c r="F47" s="113">
        <f t="shared" si="1"/>
        <v>9512.0348400000003</v>
      </c>
      <c r="G47" s="138">
        <f t="shared" si="10"/>
        <v>60830.005740000008</v>
      </c>
      <c r="H47" s="152">
        <f t="shared" si="2"/>
        <v>45996.3</v>
      </c>
      <c r="I47" s="153">
        <v>7745.85</v>
      </c>
      <c r="J47" s="153">
        <f t="shared" si="3"/>
        <v>53742.15</v>
      </c>
      <c r="K47" s="153">
        <f t="shared" si="12"/>
        <v>6160.6167000000005</v>
      </c>
      <c r="L47" s="153">
        <f t="shared" si="5"/>
        <v>268.71075000000002</v>
      </c>
      <c r="M47" s="153">
        <f t="shared" si="6"/>
        <v>11113.876620000001</v>
      </c>
      <c r="N47" s="153">
        <f t="shared" si="7"/>
        <v>71285.354070000001</v>
      </c>
      <c r="O47" s="114"/>
      <c r="P47" s="162" t="s">
        <v>202</v>
      </c>
      <c r="V47" s="19"/>
    </row>
    <row r="48" spans="1:23">
      <c r="A48" s="147">
        <v>7</v>
      </c>
      <c r="B48" s="136" t="s">
        <v>155</v>
      </c>
      <c r="C48" s="172">
        <v>50055.6</v>
      </c>
      <c r="D48" s="113">
        <f t="shared" si="11"/>
        <v>5651.8728000000001</v>
      </c>
      <c r="E48" s="137">
        <f t="shared" si="0"/>
        <v>250.27799999999999</v>
      </c>
      <c r="F48" s="113">
        <f t="shared" si="1"/>
        <v>10351.498079999999</v>
      </c>
      <c r="G48" s="138">
        <f t="shared" si="10"/>
        <v>66309.248879999999</v>
      </c>
      <c r="H48" s="152">
        <f t="shared" si="2"/>
        <v>50055.6</v>
      </c>
      <c r="I48" s="153">
        <v>7745.85</v>
      </c>
      <c r="J48" s="153">
        <f t="shared" si="3"/>
        <v>57801.45</v>
      </c>
      <c r="K48" s="153">
        <f t="shared" si="12"/>
        <v>6720.8001000000004</v>
      </c>
      <c r="L48" s="153">
        <f t="shared" si="5"/>
        <v>289.00725</v>
      </c>
      <c r="M48" s="153">
        <f t="shared" si="6"/>
        <v>11953.33986</v>
      </c>
      <c r="N48" s="153">
        <f t="shared" si="7"/>
        <v>76764.597210000007</v>
      </c>
      <c r="O48" s="114"/>
      <c r="P48" s="163" t="s">
        <v>203</v>
      </c>
      <c r="U48">
        <v>260</v>
      </c>
      <c r="V48" s="19"/>
    </row>
    <row r="49" spans="1:22">
      <c r="A49" s="147">
        <v>7</v>
      </c>
      <c r="B49" s="136" t="s">
        <v>156</v>
      </c>
      <c r="C49" s="172">
        <v>50055.6</v>
      </c>
      <c r="D49" s="113">
        <f t="shared" si="11"/>
        <v>5651.8728000000001</v>
      </c>
      <c r="E49" s="137">
        <f t="shared" si="0"/>
        <v>250.27799999999999</v>
      </c>
      <c r="F49" s="113">
        <f t="shared" si="1"/>
        <v>10351.498079999999</v>
      </c>
      <c r="G49" s="138">
        <f t="shared" si="10"/>
        <v>66309.248879999999</v>
      </c>
      <c r="H49" s="152">
        <f t="shared" si="2"/>
        <v>50055.6</v>
      </c>
      <c r="I49" s="153">
        <v>7745.85</v>
      </c>
      <c r="J49" s="153">
        <f t="shared" si="3"/>
        <v>57801.45</v>
      </c>
      <c r="K49" s="153">
        <f t="shared" si="12"/>
        <v>6720.8001000000004</v>
      </c>
      <c r="L49" s="153">
        <f t="shared" si="5"/>
        <v>289.00725</v>
      </c>
      <c r="M49" s="153">
        <f t="shared" si="6"/>
        <v>11953.33986</v>
      </c>
      <c r="N49" s="153">
        <f t="shared" si="7"/>
        <v>76764.597210000007</v>
      </c>
      <c r="O49" s="114"/>
      <c r="P49" s="163" t="s">
        <v>204</v>
      </c>
      <c r="U49">
        <v>-40</v>
      </c>
      <c r="V49" s="19"/>
    </row>
    <row r="50" spans="1:22">
      <c r="A50" s="147">
        <v>7</v>
      </c>
      <c r="B50" s="136" t="s">
        <v>157</v>
      </c>
      <c r="C50" s="172">
        <v>50055.6</v>
      </c>
      <c r="D50" s="113">
        <f t="shared" si="11"/>
        <v>5651.8728000000001</v>
      </c>
      <c r="E50" s="137">
        <f t="shared" si="0"/>
        <v>250.27799999999999</v>
      </c>
      <c r="F50" s="113">
        <f t="shared" si="1"/>
        <v>10351.498079999999</v>
      </c>
      <c r="G50" s="138">
        <f t="shared" si="10"/>
        <v>66309.248879999999</v>
      </c>
      <c r="H50" s="152">
        <f t="shared" si="2"/>
        <v>50055.6</v>
      </c>
      <c r="I50" s="153">
        <v>7745.85</v>
      </c>
      <c r="J50" s="153">
        <f t="shared" si="3"/>
        <v>57801.45</v>
      </c>
      <c r="K50" s="153">
        <f t="shared" si="12"/>
        <v>6720.8001000000004</v>
      </c>
      <c r="L50" s="153">
        <f t="shared" si="5"/>
        <v>289.00725</v>
      </c>
      <c r="M50" s="153">
        <f t="shared" si="6"/>
        <v>11953.33986</v>
      </c>
      <c r="N50" s="153">
        <f t="shared" si="7"/>
        <v>76764.597210000007</v>
      </c>
      <c r="O50" s="114"/>
      <c r="P50" s="163" t="s">
        <v>205</v>
      </c>
      <c r="U50">
        <v>-2</v>
      </c>
      <c r="V50" s="19"/>
    </row>
    <row r="51" spans="1:22">
      <c r="A51" s="147">
        <v>7</v>
      </c>
      <c r="B51" s="136" t="s">
        <v>158</v>
      </c>
      <c r="C51" s="172">
        <v>50055.6</v>
      </c>
      <c r="D51" s="113">
        <f t="shared" si="11"/>
        <v>5651.8728000000001</v>
      </c>
      <c r="E51" s="137">
        <f t="shared" si="0"/>
        <v>250.27799999999999</v>
      </c>
      <c r="F51" s="113">
        <f t="shared" si="1"/>
        <v>10351.498079999999</v>
      </c>
      <c r="G51" s="138">
        <f t="shared" si="10"/>
        <v>66309.248879999999</v>
      </c>
      <c r="H51" s="152">
        <f t="shared" si="2"/>
        <v>50055.6</v>
      </c>
      <c r="I51" s="153">
        <v>7745.85</v>
      </c>
      <c r="J51" s="153">
        <f t="shared" si="3"/>
        <v>57801.45</v>
      </c>
      <c r="K51" s="153">
        <f t="shared" si="12"/>
        <v>6720.8001000000004</v>
      </c>
      <c r="L51" s="153">
        <f t="shared" si="5"/>
        <v>289.00725</v>
      </c>
      <c r="M51" s="153">
        <f t="shared" si="6"/>
        <v>11953.33986</v>
      </c>
      <c r="N51" s="153">
        <f t="shared" si="7"/>
        <v>76764.597210000007</v>
      </c>
      <c r="O51" s="114"/>
      <c r="P51" s="163" t="s">
        <v>206</v>
      </c>
      <c r="U51">
        <v>-10</v>
      </c>
      <c r="V51" s="19"/>
    </row>
    <row r="52" spans="1:22">
      <c r="A52" s="147" t="s">
        <v>159</v>
      </c>
      <c r="B52" s="136" t="s">
        <v>160</v>
      </c>
      <c r="C52" s="172">
        <v>50952.3</v>
      </c>
      <c r="D52" s="113">
        <f t="shared" si="11"/>
        <v>5775.617400000001</v>
      </c>
      <c r="E52" s="137">
        <f t="shared" si="0"/>
        <v>254.76150000000001</v>
      </c>
      <c r="F52" s="113">
        <f t="shared" si="1"/>
        <v>10536.935640000002</v>
      </c>
      <c r="G52" s="138">
        <f t="shared" si="10"/>
        <v>67519.61454000001</v>
      </c>
      <c r="H52" s="152">
        <f t="shared" si="2"/>
        <v>50952.3</v>
      </c>
      <c r="I52" s="153">
        <v>7745.85</v>
      </c>
      <c r="J52" s="153">
        <f t="shared" si="3"/>
        <v>58698.15</v>
      </c>
      <c r="K52" s="153">
        <f t="shared" si="12"/>
        <v>6844.5447000000004</v>
      </c>
      <c r="L52" s="153">
        <f t="shared" si="5"/>
        <v>293.49074999999999</v>
      </c>
      <c r="M52" s="153">
        <f t="shared" si="6"/>
        <v>12138.77742</v>
      </c>
      <c r="N52" s="153">
        <f t="shared" si="7"/>
        <v>77974.962870000003</v>
      </c>
      <c r="O52" s="114"/>
      <c r="P52" s="163"/>
      <c r="U52" s="66">
        <v>208</v>
      </c>
      <c r="V52" s="19"/>
    </row>
    <row r="53" spans="1:22">
      <c r="A53" s="147" t="s">
        <v>159</v>
      </c>
      <c r="B53" s="136" t="s">
        <v>161</v>
      </c>
      <c r="C53" s="172">
        <v>50952.3</v>
      </c>
      <c r="D53" s="113">
        <f t="shared" si="11"/>
        <v>5775.617400000001</v>
      </c>
      <c r="E53" s="137">
        <f t="shared" si="0"/>
        <v>254.76150000000001</v>
      </c>
      <c r="F53" s="113">
        <f t="shared" si="1"/>
        <v>10536.935640000002</v>
      </c>
      <c r="G53" s="138">
        <f t="shared" si="10"/>
        <v>67519.61454000001</v>
      </c>
      <c r="H53" s="152">
        <f t="shared" si="2"/>
        <v>50952.3</v>
      </c>
      <c r="I53" s="153">
        <v>7745.85</v>
      </c>
      <c r="J53" s="153">
        <f t="shared" si="3"/>
        <v>58698.15</v>
      </c>
      <c r="K53" s="153">
        <f t="shared" si="12"/>
        <v>6844.5447000000004</v>
      </c>
      <c r="L53" s="153">
        <f t="shared" si="5"/>
        <v>293.49074999999999</v>
      </c>
      <c r="M53" s="153">
        <f t="shared" si="6"/>
        <v>12138.77742</v>
      </c>
      <c r="N53" s="153">
        <f t="shared" si="7"/>
        <v>77974.962870000003</v>
      </c>
      <c r="O53" s="114"/>
      <c r="P53" s="163" t="s">
        <v>207</v>
      </c>
      <c r="U53" s="77">
        <f>7.5*U52</f>
        <v>1560</v>
      </c>
      <c r="V53" s="19"/>
    </row>
    <row r="54" spans="1:22">
      <c r="A54" s="147" t="s">
        <v>159</v>
      </c>
      <c r="B54" s="136" t="s">
        <v>162</v>
      </c>
      <c r="C54" s="172">
        <v>50952.3</v>
      </c>
      <c r="D54" s="113">
        <f t="shared" si="11"/>
        <v>5775.617400000001</v>
      </c>
      <c r="E54" s="137">
        <f t="shared" si="0"/>
        <v>254.76150000000001</v>
      </c>
      <c r="F54" s="113">
        <f t="shared" si="1"/>
        <v>10536.935640000002</v>
      </c>
      <c r="G54" s="138">
        <f t="shared" si="10"/>
        <v>67519.61454000001</v>
      </c>
      <c r="H54" s="152">
        <f t="shared" si="2"/>
        <v>50952.3</v>
      </c>
      <c r="I54" s="153">
        <v>7745.85</v>
      </c>
      <c r="J54" s="153">
        <f t="shared" si="3"/>
        <v>58698.15</v>
      </c>
      <c r="K54" s="153">
        <f t="shared" si="12"/>
        <v>6844.5447000000004</v>
      </c>
      <c r="L54" s="153">
        <f t="shared" si="5"/>
        <v>293.49074999999999</v>
      </c>
      <c r="M54" s="153">
        <f t="shared" si="6"/>
        <v>12138.77742</v>
      </c>
      <c r="N54" s="153">
        <f t="shared" si="7"/>
        <v>77974.962870000003</v>
      </c>
      <c r="O54" s="114"/>
      <c r="P54" s="20"/>
      <c r="V54" s="19"/>
    </row>
    <row r="55" spans="1:22">
      <c r="A55" s="147" t="s">
        <v>159</v>
      </c>
      <c r="B55" s="136" t="s">
        <v>163</v>
      </c>
      <c r="C55" s="172">
        <v>50952.3</v>
      </c>
      <c r="D55" s="113">
        <f t="shared" si="11"/>
        <v>5775.617400000001</v>
      </c>
      <c r="E55" s="137">
        <f t="shared" si="0"/>
        <v>254.76150000000001</v>
      </c>
      <c r="F55" s="113">
        <f t="shared" si="1"/>
        <v>10536.935640000002</v>
      </c>
      <c r="G55" s="138">
        <f t="shared" si="10"/>
        <v>67519.61454000001</v>
      </c>
      <c r="H55" s="152">
        <f t="shared" si="2"/>
        <v>50952.3</v>
      </c>
      <c r="I55" s="153">
        <v>7745.85</v>
      </c>
      <c r="J55" s="153">
        <f t="shared" si="3"/>
        <v>58698.15</v>
      </c>
      <c r="K55" s="153">
        <f t="shared" si="12"/>
        <v>6844.5447000000004</v>
      </c>
      <c r="L55" s="153">
        <f t="shared" si="5"/>
        <v>293.49074999999999</v>
      </c>
      <c r="M55" s="153">
        <f t="shared" si="6"/>
        <v>12138.77742</v>
      </c>
      <c r="N55" s="153">
        <f t="shared" si="7"/>
        <v>77974.962870000003</v>
      </c>
      <c r="O55" s="114"/>
      <c r="P55" s="163"/>
      <c r="V55" s="19"/>
    </row>
    <row r="56" spans="1:22">
      <c r="A56" s="147" t="s">
        <v>159</v>
      </c>
      <c r="B56" s="136" t="s">
        <v>164</v>
      </c>
      <c r="C56" s="172">
        <v>50952.3</v>
      </c>
      <c r="D56" s="113">
        <f t="shared" si="11"/>
        <v>5775.617400000001</v>
      </c>
      <c r="E56" s="137">
        <f t="shared" si="0"/>
        <v>254.76150000000001</v>
      </c>
      <c r="F56" s="113">
        <f t="shared" si="1"/>
        <v>10536.935640000002</v>
      </c>
      <c r="G56" s="138">
        <f t="shared" si="10"/>
        <v>67519.61454000001</v>
      </c>
      <c r="H56" s="152">
        <f t="shared" si="2"/>
        <v>50952.3</v>
      </c>
      <c r="I56" s="153">
        <v>7745.85</v>
      </c>
      <c r="J56" s="153">
        <f t="shared" si="3"/>
        <v>58698.15</v>
      </c>
      <c r="K56" s="153">
        <f t="shared" si="12"/>
        <v>6844.5447000000004</v>
      </c>
      <c r="L56" s="153">
        <f t="shared" si="5"/>
        <v>293.49074999999999</v>
      </c>
      <c r="M56" s="153">
        <f t="shared" si="6"/>
        <v>12138.77742</v>
      </c>
      <c r="N56" s="153">
        <f t="shared" si="7"/>
        <v>77974.962870000003</v>
      </c>
      <c r="O56" s="114"/>
      <c r="P56" s="162" t="s">
        <v>141</v>
      </c>
      <c r="V56" s="19"/>
    </row>
    <row r="57" spans="1:22">
      <c r="A57" s="147" t="s">
        <v>159</v>
      </c>
      <c r="B57" s="136" t="s">
        <v>165</v>
      </c>
      <c r="C57" s="172">
        <v>57349.950000000004</v>
      </c>
      <c r="D57" s="113">
        <f t="shared" si="11"/>
        <v>6658.4931000000015</v>
      </c>
      <c r="E57" s="137">
        <f t="shared" si="0"/>
        <v>286.74975000000001</v>
      </c>
      <c r="F57" s="113">
        <f t="shared" si="1"/>
        <v>11859.969660000002</v>
      </c>
      <c r="G57" s="138">
        <f t="shared" si="10"/>
        <v>76155.162510000009</v>
      </c>
      <c r="H57" s="152">
        <f t="shared" si="2"/>
        <v>57349.950000000004</v>
      </c>
      <c r="I57" s="153">
        <v>7745.85</v>
      </c>
      <c r="J57" s="153">
        <f t="shared" si="3"/>
        <v>65095.8</v>
      </c>
      <c r="K57" s="153">
        <f t="shared" si="12"/>
        <v>7727.4204000000009</v>
      </c>
      <c r="L57" s="153">
        <f t="shared" si="5"/>
        <v>325.47900000000004</v>
      </c>
      <c r="M57" s="153">
        <f t="shared" si="6"/>
        <v>13461.811440000001</v>
      </c>
      <c r="N57" s="153">
        <f t="shared" si="7"/>
        <v>86610.510840000017</v>
      </c>
      <c r="O57" s="114"/>
      <c r="P57" s="163" t="s">
        <v>211</v>
      </c>
      <c r="U57">
        <v>43</v>
      </c>
      <c r="V57" s="19"/>
    </row>
    <row r="58" spans="1:22">
      <c r="A58" s="147" t="s">
        <v>166</v>
      </c>
      <c r="B58" s="136" t="s">
        <v>167</v>
      </c>
      <c r="C58" s="172">
        <v>58972.200000000004</v>
      </c>
      <c r="D58" s="113">
        <f t="shared" si="11"/>
        <v>6882.3636000000015</v>
      </c>
      <c r="E58" s="137">
        <f t="shared" si="0"/>
        <v>294.86100000000005</v>
      </c>
      <c r="F58" s="113">
        <f t="shared" si="1"/>
        <v>12195.450960000002</v>
      </c>
      <c r="G58" s="138">
        <f t="shared" si="10"/>
        <v>78344.875560000015</v>
      </c>
      <c r="H58" s="152">
        <f t="shared" si="2"/>
        <v>58972.200000000004</v>
      </c>
      <c r="I58" s="153">
        <v>7745.85</v>
      </c>
      <c r="J58" s="153">
        <f t="shared" si="3"/>
        <v>66718.05</v>
      </c>
      <c r="K58" s="153">
        <f t="shared" si="12"/>
        <v>7951.2909000000009</v>
      </c>
      <c r="L58" s="153">
        <f t="shared" si="5"/>
        <v>333.59025000000003</v>
      </c>
      <c r="M58" s="153">
        <f t="shared" si="6"/>
        <v>13797.292740000001</v>
      </c>
      <c r="N58" s="153">
        <f t="shared" si="7"/>
        <v>88800.223890000008</v>
      </c>
      <c r="O58" s="114"/>
      <c r="P58" s="163"/>
      <c r="V58" s="19"/>
    </row>
    <row r="59" spans="1:22">
      <c r="A59" s="147" t="s">
        <v>166</v>
      </c>
      <c r="B59" s="136" t="s">
        <v>168</v>
      </c>
      <c r="C59" s="172">
        <v>58972.200000000004</v>
      </c>
      <c r="D59" s="113">
        <f t="shared" si="11"/>
        <v>6882.3636000000015</v>
      </c>
      <c r="E59" s="137">
        <f t="shared" si="0"/>
        <v>294.86100000000005</v>
      </c>
      <c r="F59" s="113">
        <f t="shared" si="1"/>
        <v>12195.450960000002</v>
      </c>
      <c r="G59" s="138">
        <f t="shared" si="10"/>
        <v>78344.875560000015</v>
      </c>
      <c r="H59" s="152">
        <f t="shared" si="2"/>
        <v>58972.200000000004</v>
      </c>
      <c r="I59" s="153">
        <v>7745.85</v>
      </c>
      <c r="J59" s="153">
        <f t="shared" si="3"/>
        <v>66718.05</v>
      </c>
      <c r="K59" s="153">
        <f t="shared" si="12"/>
        <v>7951.2909000000009</v>
      </c>
      <c r="L59" s="153">
        <f t="shared" si="5"/>
        <v>333.59025000000003</v>
      </c>
      <c r="M59" s="153">
        <f t="shared" si="6"/>
        <v>13797.292740000001</v>
      </c>
      <c r="N59" s="153">
        <f t="shared" si="7"/>
        <v>88800.223890000008</v>
      </c>
      <c r="O59" s="114"/>
      <c r="P59" s="163" t="s">
        <v>208</v>
      </c>
      <c r="U59">
        <v>10</v>
      </c>
      <c r="V59" s="19"/>
    </row>
    <row r="60" spans="1:22">
      <c r="A60" s="147" t="s">
        <v>166</v>
      </c>
      <c r="B60" s="136" t="s">
        <v>169</v>
      </c>
      <c r="C60" s="172">
        <v>58972.200000000004</v>
      </c>
      <c r="D60" s="113">
        <f t="shared" si="11"/>
        <v>6882.3636000000015</v>
      </c>
      <c r="E60" s="137">
        <f t="shared" si="0"/>
        <v>294.86100000000005</v>
      </c>
      <c r="F60" s="113">
        <f t="shared" si="1"/>
        <v>12195.450960000002</v>
      </c>
      <c r="G60" s="138">
        <f t="shared" si="10"/>
        <v>78344.875560000015</v>
      </c>
      <c r="H60" s="152">
        <f t="shared" si="2"/>
        <v>58972.200000000004</v>
      </c>
      <c r="I60" s="153">
        <v>7745.85</v>
      </c>
      <c r="J60" s="153">
        <f t="shared" si="3"/>
        <v>66718.05</v>
      </c>
      <c r="K60" s="153">
        <f t="shared" si="12"/>
        <v>7951.2909000000009</v>
      </c>
      <c r="L60" s="153">
        <f t="shared" si="5"/>
        <v>333.59025000000003</v>
      </c>
      <c r="M60" s="153">
        <f t="shared" si="6"/>
        <v>13797.292740000001</v>
      </c>
      <c r="N60" s="153">
        <f t="shared" si="7"/>
        <v>88800.223890000008</v>
      </c>
      <c r="O60" s="114"/>
      <c r="P60" s="163" t="s">
        <v>209</v>
      </c>
      <c r="U60">
        <v>-2</v>
      </c>
      <c r="V60" s="19"/>
    </row>
    <row r="61" spans="1:22">
      <c r="A61" s="147" t="s">
        <v>166</v>
      </c>
      <c r="B61" s="136" t="s">
        <v>170</v>
      </c>
      <c r="C61" s="172">
        <v>58972.200000000004</v>
      </c>
      <c r="D61" s="113">
        <f t="shared" si="11"/>
        <v>6882.3636000000015</v>
      </c>
      <c r="E61" s="137">
        <f t="shared" si="0"/>
        <v>294.86100000000005</v>
      </c>
      <c r="F61" s="113">
        <f t="shared" si="1"/>
        <v>12195.450960000002</v>
      </c>
      <c r="G61" s="138">
        <f t="shared" si="10"/>
        <v>78344.875560000015</v>
      </c>
      <c r="H61" s="152">
        <f t="shared" si="2"/>
        <v>58972.200000000004</v>
      </c>
      <c r="I61" s="153">
        <v>7745.85</v>
      </c>
      <c r="J61" s="153">
        <f t="shared" si="3"/>
        <v>66718.05</v>
      </c>
      <c r="K61" s="153">
        <f t="shared" si="12"/>
        <v>7951.2909000000009</v>
      </c>
      <c r="L61" s="153">
        <f t="shared" si="5"/>
        <v>333.59025000000003</v>
      </c>
      <c r="M61" s="153">
        <f t="shared" si="6"/>
        <v>13797.292740000001</v>
      </c>
      <c r="N61" s="153">
        <f t="shared" si="7"/>
        <v>88800.223890000008</v>
      </c>
      <c r="O61" s="114"/>
      <c r="P61" s="163"/>
      <c r="U61" s="66">
        <v>8</v>
      </c>
      <c r="V61" s="19"/>
    </row>
    <row r="62" spans="1:22">
      <c r="A62" s="147" t="s">
        <v>166</v>
      </c>
      <c r="B62" s="136" t="s">
        <v>171</v>
      </c>
      <c r="C62" s="172">
        <v>58972.200000000004</v>
      </c>
      <c r="D62" s="113">
        <f t="shared" si="11"/>
        <v>6882.3636000000015</v>
      </c>
      <c r="E62" s="137">
        <f t="shared" si="0"/>
        <v>294.86100000000005</v>
      </c>
      <c r="F62" s="113">
        <f t="shared" si="1"/>
        <v>12195.450960000002</v>
      </c>
      <c r="G62" s="138">
        <f t="shared" si="10"/>
        <v>78344.875560000015</v>
      </c>
      <c r="H62" s="152">
        <f t="shared" si="2"/>
        <v>58972.200000000004</v>
      </c>
      <c r="I62" s="153">
        <v>7745.85</v>
      </c>
      <c r="J62" s="153">
        <f t="shared" si="3"/>
        <v>66718.05</v>
      </c>
      <c r="K62" s="153">
        <f t="shared" si="12"/>
        <v>7951.2909000000009</v>
      </c>
      <c r="L62" s="153">
        <f t="shared" si="5"/>
        <v>333.59025000000003</v>
      </c>
      <c r="M62" s="153">
        <f t="shared" si="6"/>
        <v>13797.292740000001</v>
      </c>
      <c r="N62" s="153">
        <f t="shared" si="7"/>
        <v>88800.223890000008</v>
      </c>
      <c r="O62" s="114"/>
      <c r="P62" s="163" t="s">
        <v>210</v>
      </c>
      <c r="U62" s="77">
        <f>U61*4*U57</f>
        <v>1376</v>
      </c>
      <c r="V62" s="19"/>
    </row>
    <row r="63" spans="1:22">
      <c r="A63" s="147" t="s">
        <v>166</v>
      </c>
      <c r="B63" s="136" t="s">
        <v>172</v>
      </c>
      <c r="C63" s="172">
        <v>68525.100000000006</v>
      </c>
      <c r="D63" s="113">
        <f t="shared" si="11"/>
        <v>8200.6638000000021</v>
      </c>
      <c r="E63" s="137">
        <f t="shared" si="0"/>
        <v>342.62550000000005</v>
      </c>
      <c r="F63" s="113">
        <f t="shared" si="1"/>
        <v>14170.990680000003</v>
      </c>
      <c r="G63" s="138">
        <f t="shared" si="10"/>
        <v>91239.379980000012</v>
      </c>
      <c r="H63" s="152">
        <f t="shared" si="2"/>
        <v>68525.100000000006</v>
      </c>
      <c r="I63" s="153">
        <v>7745.85</v>
      </c>
      <c r="J63" s="153">
        <f t="shared" si="3"/>
        <v>76270.950000000012</v>
      </c>
      <c r="K63" s="153">
        <f t="shared" si="12"/>
        <v>9269.5911000000033</v>
      </c>
      <c r="L63" s="153">
        <f t="shared" si="5"/>
        <v>381.35475000000008</v>
      </c>
      <c r="M63" s="153">
        <f t="shared" si="6"/>
        <v>15772.832460000003</v>
      </c>
      <c r="N63" s="153">
        <f t="shared" si="7"/>
        <v>101694.72831000002</v>
      </c>
      <c r="O63" s="114"/>
      <c r="P63" s="20"/>
      <c r="V63" s="19"/>
    </row>
    <row r="64" spans="1:22">
      <c r="A64" s="147" t="s">
        <v>173</v>
      </c>
      <c r="B64" s="136" t="s">
        <v>174</v>
      </c>
      <c r="C64" s="172">
        <v>70417.2</v>
      </c>
      <c r="D64" s="113">
        <f t="shared" si="11"/>
        <v>8461.7736000000004</v>
      </c>
      <c r="E64" s="137">
        <f t="shared" si="0"/>
        <v>352.08600000000001</v>
      </c>
      <c r="F64" s="113">
        <f t="shared" si="1"/>
        <v>14562.276960000001</v>
      </c>
      <c r="G64" s="138">
        <f t="shared" si="10"/>
        <v>93793.336559999996</v>
      </c>
      <c r="H64" s="152">
        <f t="shared" si="2"/>
        <v>70417.2</v>
      </c>
      <c r="I64" s="153">
        <v>7745.85</v>
      </c>
      <c r="J64" s="153">
        <f t="shared" si="3"/>
        <v>78163.05</v>
      </c>
      <c r="K64" s="153">
        <f t="shared" si="12"/>
        <v>9530.7009000000016</v>
      </c>
      <c r="L64" s="153">
        <f t="shared" si="5"/>
        <v>390.81525000000005</v>
      </c>
      <c r="M64" s="153">
        <f t="shared" si="6"/>
        <v>16164.118740000002</v>
      </c>
      <c r="N64" s="153">
        <f t="shared" si="7"/>
        <v>104248.68489</v>
      </c>
      <c r="O64" s="114"/>
      <c r="P64" s="163"/>
      <c r="V64" s="19"/>
    </row>
    <row r="65" spans="1:22">
      <c r="A65" s="147" t="s">
        <v>173</v>
      </c>
      <c r="B65" s="136" t="s">
        <v>175</v>
      </c>
      <c r="C65" s="172">
        <v>70417.2</v>
      </c>
      <c r="D65" s="113">
        <f t="shared" si="11"/>
        <v>8461.7736000000004</v>
      </c>
      <c r="E65" s="137">
        <f t="shared" si="0"/>
        <v>352.08600000000001</v>
      </c>
      <c r="F65" s="113">
        <f t="shared" si="1"/>
        <v>14562.276960000001</v>
      </c>
      <c r="G65" s="138">
        <f t="shared" si="10"/>
        <v>93793.336559999996</v>
      </c>
      <c r="H65" s="152">
        <f t="shared" si="2"/>
        <v>70417.2</v>
      </c>
      <c r="I65" s="153">
        <v>7745.85</v>
      </c>
      <c r="J65" s="153">
        <f t="shared" si="3"/>
        <v>78163.05</v>
      </c>
      <c r="K65" s="153">
        <f t="shared" si="12"/>
        <v>9530.7009000000016</v>
      </c>
      <c r="L65" s="153">
        <f t="shared" si="5"/>
        <v>390.81525000000005</v>
      </c>
      <c r="M65" s="153">
        <f t="shared" si="6"/>
        <v>16164.118740000002</v>
      </c>
      <c r="N65" s="153">
        <f t="shared" si="7"/>
        <v>104248.68489</v>
      </c>
      <c r="O65" s="114"/>
      <c r="P65" s="162" t="s">
        <v>147</v>
      </c>
      <c r="V65" s="19"/>
    </row>
    <row r="66" spans="1:22">
      <c r="A66" s="147" t="s">
        <v>173</v>
      </c>
      <c r="B66" s="136" t="s">
        <v>176</v>
      </c>
      <c r="C66" s="172">
        <v>70417.2</v>
      </c>
      <c r="D66" s="113">
        <f t="shared" si="11"/>
        <v>8461.7736000000004</v>
      </c>
      <c r="E66" s="137">
        <f t="shared" si="0"/>
        <v>352.08600000000001</v>
      </c>
      <c r="F66" s="113">
        <f t="shared" si="1"/>
        <v>14562.276960000001</v>
      </c>
      <c r="G66" s="138">
        <f t="shared" si="10"/>
        <v>93793.336559999996</v>
      </c>
      <c r="H66" s="152">
        <f t="shared" si="2"/>
        <v>70417.2</v>
      </c>
      <c r="I66" s="153">
        <v>7745.85</v>
      </c>
      <c r="J66" s="153">
        <f t="shared" si="3"/>
        <v>78163.05</v>
      </c>
      <c r="K66" s="153">
        <f t="shared" si="12"/>
        <v>9530.7009000000016</v>
      </c>
      <c r="L66" s="153">
        <f t="shared" si="5"/>
        <v>390.81525000000005</v>
      </c>
      <c r="M66" s="153">
        <f t="shared" si="6"/>
        <v>16164.118740000002</v>
      </c>
      <c r="N66" s="153">
        <f t="shared" si="7"/>
        <v>104248.68489</v>
      </c>
      <c r="O66" s="114"/>
      <c r="P66" s="163" t="s">
        <v>212</v>
      </c>
      <c r="U66">
        <v>44.7</v>
      </c>
      <c r="V66" s="19"/>
    </row>
    <row r="67" spans="1:22">
      <c r="A67" s="147" t="s">
        <v>173</v>
      </c>
      <c r="B67" s="136" t="s">
        <v>177</v>
      </c>
      <c r="C67" s="172">
        <v>70417.2</v>
      </c>
      <c r="D67" s="113">
        <f t="shared" si="11"/>
        <v>8461.7736000000004</v>
      </c>
      <c r="E67" s="137">
        <f t="shared" si="0"/>
        <v>352.08600000000001</v>
      </c>
      <c r="F67" s="113">
        <f t="shared" si="1"/>
        <v>14562.276960000001</v>
      </c>
      <c r="G67" s="138">
        <f t="shared" si="10"/>
        <v>93793.336559999996</v>
      </c>
      <c r="H67" s="152">
        <f t="shared" si="2"/>
        <v>70417.2</v>
      </c>
      <c r="I67" s="153">
        <v>7745.85</v>
      </c>
      <c r="J67" s="153">
        <f t="shared" si="3"/>
        <v>78163.05</v>
      </c>
      <c r="K67" s="153">
        <f t="shared" si="12"/>
        <v>9530.7009000000016</v>
      </c>
      <c r="L67" s="153">
        <f t="shared" si="5"/>
        <v>390.81525000000005</v>
      </c>
      <c r="M67" s="153">
        <f t="shared" si="6"/>
        <v>16164.118740000002</v>
      </c>
      <c r="N67" s="153">
        <f t="shared" si="7"/>
        <v>104248.68489</v>
      </c>
      <c r="O67" s="114"/>
      <c r="P67" s="163" t="s">
        <v>213</v>
      </c>
      <c r="U67">
        <v>48</v>
      </c>
      <c r="V67" s="19"/>
    </row>
    <row r="68" spans="1:22">
      <c r="A68" s="147" t="s">
        <v>173</v>
      </c>
      <c r="B68" s="136" t="s">
        <v>178</v>
      </c>
      <c r="C68" s="172">
        <v>70417.2</v>
      </c>
      <c r="D68" s="113">
        <f t="shared" si="11"/>
        <v>8461.7736000000004</v>
      </c>
      <c r="E68" s="137">
        <f t="shared" si="0"/>
        <v>352.08600000000001</v>
      </c>
      <c r="F68" s="113">
        <f t="shared" si="1"/>
        <v>14562.276960000001</v>
      </c>
      <c r="G68" s="138">
        <f t="shared" si="10"/>
        <v>93793.336559999996</v>
      </c>
      <c r="H68" s="152">
        <f t="shared" si="2"/>
        <v>70417.2</v>
      </c>
      <c r="I68" s="153">
        <v>7745.85</v>
      </c>
      <c r="J68" s="153">
        <f t="shared" si="3"/>
        <v>78163.05</v>
      </c>
      <c r="K68" s="153">
        <f t="shared" si="12"/>
        <v>9530.7009000000016</v>
      </c>
      <c r="L68" s="153">
        <f t="shared" si="5"/>
        <v>390.81525000000005</v>
      </c>
      <c r="M68" s="153">
        <f t="shared" si="6"/>
        <v>16164.118740000002</v>
      </c>
      <c r="N68" s="153">
        <f t="shared" si="7"/>
        <v>104248.68489</v>
      </c>
      <c r="O68" s="114"/>
      <c r="P68" s="163" t="s">
        <v>214</v>
      </c>
      <c r="U68">
        <v>2145.6</v>
      </c>
      <c r="V68" s="19"/>
    </row>
    <row r="69" spans="1:22">
      <c r="A69" s="147" t="s">
        <v>173</v>
      </c>
      <c r="B69" s="136" t="s">
        <v>179</v>
      </c>
      <c r="C69" s="172">
        <v>81137.7</v>
      </c>
      <c r="D69" s="113">
        <f t="shared" ref="D69:D100" si="13">(C69-$B$110)*0.138</f>
        <v>9941.2026000000005</v>
      </c>
      <c r="E69" s="137">
        <f t="shared" ref="E69:E100" si="14">C69*0.005</f>
        <v>405.68849999999998</v>
      </c>
      <c r="F69" s="113">
        <f t="shared" ref="F69:F100" si="15">C69*0.2068</f>
        <v>16779.27636</v>
      </c>
      <c r="G69" s="138">
        <f t="shared" ref="G69:G100" si="16">SUM(C69:F69)</f>
        <v>108263.86746000001</v>
      </c>
      <c r="H69" s="152">
        <f t="shared" ref="H69:H81" si="17">C69</f>
        <v>81137.7</v>
      </c>
      <c r="I69" s="153">
        <v>7745.85</v>
      </c>
      <c r="J69" s="153">
        <f t="shared" ref="J69:J81" si="18">C69+I69</f>
        <v>88883.55</v>
      </c>
      <c r="K69" s="153">
        <f t="shared" ref="K69:K81" si="19">(J69-$B$110)*0.138</f>
        <v>11010.129900000002</v>
      </c>
      <c r="L69" s="153">
        <f t="shared" ref="L69:L81" si="20">J69*0.005</f>
        <v>444.41775000000001</v>
      </c>
      <c r="M69" s="153">
        <f t="shared" ref="M69:M81" si="21">J69*0.2068</f>
        <v>18381.118140000002</v>
      </c>
      <c r="N69" s="153">
        <f t="shared" ref="N69:N81" si="22">SUM(J69:M69)</f>
        <v>118719.21579</v>
      </c>
      <c r="O69" s="114"/>
      <c r="P69" s="163" t="s">
        <v>215</v>
      </c>
      <c r="U69" s="164">
        <v>0.6</v>
      </c>
      <c r="V69" s="19"/>
    </row>
    <row r="70" spans="1:22">
      <c r="A70" s="147" t="s">
        <v>180</v>
      </c>
      <c r="B70" s="136" t="s">
        <v>181</v>
      </c>
      <c r="C70" s="172">
        <v>83571.600000000006</v>
      </c>
      <c r="D70" s="113">
        <f t="shared" si="13"/>
        <v>10277.080800000002</v>
      </c>
      <c r="E70" s="137">
        <f t="shared" si="14"/>
        <v>417.85800000000006</v>
      </c>
      <c r="F70" s="113">
        <f t="shared" si="15"/>
        <v>17282.606880000003</v>
      </c>
      <c r="G70" s="138">
        <f t="shared" si="16"/>
        <v>111549.14568</v>
      </c>
      <c r="H70" s="152">
        <f t="shared" si="17"/>
        <v>83571.600000000006</v>
      </c>
      <c r="I70" s="153">
        <v>7745.85</v>
      </c>
      <c r="J70" s="153">
        <f t="shared" si="18"/>
        <v>91317.450000000012</v>
      </c>
      <c r="K70" s="153">
        <f t="shared" si="19"/>
        <v>11346.008100000003</v>
      </c>
      <c r="L70" s="153">
        <f t="shared" si="20"/>
        <v>456.58725000000004</v>
      </c>
      <c r="M70" s="153">
        <f t="shared" si="21"/>
        <v>18884.448660000002</v>
      </c>
      <c r="N70" s="153">
        <f t="shared" si="22"/>
        <v>122004.49401000002</v>
      </c>
      <c r="O70" s="114"/>
      <c r="P70" s="163" t="s">
        <v>216</v>
      </c>
      <c r="U70" s="160">
        <f>ROUND(U69*U68,0)</f>
        <v>1287</v>
      </c>
      <c r="V70" s="19"/>
    </row>
    <row r="71" spans="1:22">
      <c r="A71" s="147" t="s">
        <v>180</v>
      </c>
      <c r="B71" s="136" t="s">
        <v>182</v>
      </c>
      <c r="C71" s="172">
        <v>83571.600000000006</v>
      </c>
      <c r="D71" s="113">
        <f t="shared" si="13"/>
        <v>10277.080800000002</v>
      </c>
      <c r="E71" s="137">
        <f t="shared" si="14"/>
        <v>417.85800000000006</v>
      </c>
      <c r="F71" s="113">
        <f t="shared" si="15"/>
        <v>17282.606880000003</v>
      </c>
      <c r="G71" s="138">
        <f t="shared" si="16"/>
        <v>111549.14568</v>
      </c>
      <c r="H71" s="152">
        <f t="shared" si="17"/>
        <v>83571.600000000006</v>
      </c>
      <c r="I71" s="153">
        <v>7745.85</v>
      </c>
      <c r="J71" s="153">
        <f t="shared" si="18"/>
        <v>91317.450000000012</v>
      </c>
      <c r="K71" s="153">
        <f t="shared" si="19"/>
        <v>11346.008100000003</v>
      </c>
      <c r="L71" s="153">
        <f t="shared" si="20"/>
        <v>456.58725000000004</v>
      </c>
      <c r="M71" s="153">
        <f t="shared" si="21"/>
        <v>18884.448660000002</v>
      </c>
      <c r="N71" s="153">
        <f t="shared" si="22"/>
        <v>122004.49401000002</v>
      </c>
      <c r="O71" s="114"/>
      <c r="P71" s="21"/>
      <c r="Q71" s="22"/>
      <c r="R71" s="165"/>
      <c r="S71" s="22"/>
      <c r="T71" s="22"/>
      <c r="U71" s="22"/>
      <c r="V71" s="23"/>
    </row>
    <row r="72" spans="1:22">
      <c r="A72" s="147" t="s">
        <v>180</v>
      </c>
      <c r="B72" s="136" t="s">
        <v>183</v>
      </c>
      <c r="C72" s="172">
        <v>83571.600000000006</v>
      </c>
      <c r="D72" s="113">
        <f t="shared" si="13"/>
        <v>10277.080800000002</v>
      </c>
      <c r="E72" s="137">
        <f t="shared" si="14"/>
        <v>417.85800000000006</v>
      </c>
      <c r="F72" s="113">
        <f t="shared" si="15"/>
        <v>17282.606880000003</v>
      </c>
      <c r="G72" s="138">
        <f t="shared" si="16"/>
        <v>111549.14568</v>
      </c>
      <c r="H72" s="152">
        <f t="shared" si="17"/>
        <v>83571.600000000006</v>
      </c>
      <c r="I72" s="153">
        <v>7745.85</v>
      </c>
      <c r="J72" s="153">
        <f t="shared" si="18"/>
        <v>91317.450000000012</v>
      </c>
      <c r="K72" s="153">
        <f t="shared" si="19"/>
        <v>11346.008100000003</v>
      </c>
      <c r="L72" s="153">
        <f t="shared" si="20"/>
        <v>456.58725000000004</v>
      </c>
      <c r="M72" s="153">
        <f t="shared" si="21"/>
        <v>18884.448660000002</v>
      </c>
      <c r="N72" s="153">
        <f t="shared" si="22"/>
        <v>122004.49401000002</v>
      </c>
      <c r="O72" s="114"/>
      <c r="P72" s="114"/>
    </row>
    <row r="73" spans="1:22">
      <c r="A73" s="147" t="s">
        <v>180</v>
      </c>
      <c r="B73" s="136" t="s">
        <v>184</v>
      </c>
      <c r="C73" s="172">
        <v>83571.600000000006</v>
      </c>
      <c r="D73" s="113">
        <f t="shared" si="13"/>
        <v>10277.080800000002</v>
      </c>
      <c r="E73" s="137">
        <f t="shared" si="14"/>
        <v>417.85800000000006</v>
      </c>
      <c r="F73" s="113">
        <f t="shared" si="15"/>
        <v>17282.606880000003</v>
      </c>
      <c r="G73" s="138">
        <f t="shared" si="16"/>
        <v>111549.14568</v>
      </c>
      <c r="H73" s="152">
        <f t="shared" si="17"/>
        <v>83571.600000000006</v>
      </c>
      <c r="I73" s="153">
        <v>7745.85</v>
      </c>
      <c r="J73" s="153">
        <f t="shared" si="18"/>
        <v>91317.450000000012</v>
      </c>
      <c r="K73" s="153">
        <f t="shared" si="19"/>
        <v>11346.008100000003</v>
      </c>
      <c r="L73" s="153">
        <f t="shared" si="20"/>
        <v>456.58725000000004</v>
      </c>
      <c r="M73" s="153">
        <f t="shared" si="21"/>
        <v>18884.448660000002</v>
      </c>
      <c r="N73" s="153">
        <f t="shared" si="22"/>
        <v>122004.49401000002</v>
      </c>
      <c r="O73" s="114"/>
      <c r="P73" s="114"/>
    </row>
    <row r="74" spans="1:22">
      <c r="A74" s="147" t="s">
        <v>180</v>
      </c>
      <c r="B74" s="136" t="s">
        <v>185</v>
      </c>
      <c r="C74" s="172">
        <v>83571.600000000006</v>
      </c>
      <c r="D74" s="113">
        <f t="shared" si="13"/>
        <v>10277.080800000002</v>
      </c>
      <c r="E74" s="137">
        <f t="shared" si="14"/>
        <v>417.85800000000006</v>
      </c>
      <c r="F74" s="113">
        <f t="shared" si="15"/>
        <v>17282.606880000003</v>
      </c>
      <c r="G74" s="138">
        <f t="shared" si="16"/>
        <v>111549.14568</v>
      </c>
      <c r="H74" s="152">
        <f t="shared" si="17"/>
        <v>83571.600000000006</v>
      </c>
      <c r="I74" s="153">
        <v>7745.85</v>
      </c>
      <c r="J74" s="153">
        <f t="shared" si="18"/>
        <v>91317.450000000012</v>
      </c>
      <c r="K74" s="153">
        <f t="shared" si="19"/>
        <v>11346.008100000003</v>
      </c>
      <c r="L74" s="153">
        <f t="shared" si="20"/>
        <v>456.58725000000004</v>
      </c>
      <c r="M74" s="153">
        <f t="shared" si="21"/>
        <v>18884.448660000002</v>
      </c>
      <c r="N74" s="153">
        <f t="shared" si="22"/>
        <v>122004.49401000002</v>
      </c>
      <c r="O74" s="114"/>
      <c r="P74" s="114"/>
    </row>
    <row r="75" spans="1:22">
      <c r="A75" s="147" t="s">
        <v>180</v>
      </c>
      <c r="B75" s="136" t="s">
        <v>186</v>
      </c>
      <c r="C75" s="172">
        <v>96376.35</v>
      </c>
      <c r="D75" s="113">
        <f t="shared" si="13"/>
        <v>12044.136300000002</v>
      </c>
      <c r="E75" s="137">
        <f t="shared" si="14"/>
        <v>481.88175000000001</v>
      </c>
      <c r="F75" s="113">
        <f t="shared" si="15"/>
        <v>19930.629180000004</v>
      </c>
      <c r="G75" s="138">
        <f t="shared" si="16"/>
        <v>128832.99723000001</v>
      </c>
      <c r="H75" s="152">
        <f t="shared" si="17"/>
        <v>96376.35</v>
      </c>
      <c r="I75" s="153">
        <v>7745.85</v>
      </c>
      <c r="J75" s="153">
        <f t="shared" si="18"/>
        <v>104122.20000000001</v>
      </c>
      <c r="K75" s="153">
        <f t="shared" si="19"/>
        <v>13113.063600000003</v>
      </c>
      <c r="L75" s="153">
        <f t="shared" si="20"/>
        <v>520.6110000000001</v>
      </c>
      <c r="M75" s="153">
        <f t="shared" si="21"/>
        <v>21532.470960000002</v>
      </c>
      <c r="N75" s="153">
        <f t="shared" si="22"/>
        <v>139288.34556000002</v>
      </c>
      <c r="O75" s="114"/>
      <c r="P75" s="114"/>
    </row>
    <row r="76" spans="1:22">
      <c r="A76" s="147">
        <v>9</v>
      </c>
      <c r="B76" s="136" t="s">
        <v>187</v>
      </c>
      <c r="C76" s="172">
        <v>99891.75</v>
      </c>
      <c r="D76" s="113">
        <f t="shared" si="13"/>
        <v>12529.261500000001</v>
      </c>
      <c r="E76" s="137">
        <f t="shared" si="14"/>
        <v>499.45875000000001</v>
      </c>
      <c r="F76" s="113">
        <f t="shared" si="15"/>
        <v>20657.6139</v>
      </c>
      <c r="G76" s="138">
        <f t="shared" si="16"/>
        <v>133578.08415000001</v>
      </c>
      <c r="H76" s="152">
        <f t="shared" si="17"/>
        <v>99891.75</v>
      </c>
      <c r="I76" s="153">
        <v>7745.85</v>
      </c>
      <c r="J76" s="153">
        <f t="shared" si="18"/>
        <v>107637.6</v>
      </c>
      <c r="K76" s="153">
        <f t="shared" si="19"/>
        <v>13598.188800000002</v>
      </c>
      <c r="L76" s="153">
        <f t="shared" si="20"/>
        <v>538.18799999999999</v>
      </c>
      <c r="M76" s="153">
        <f t="shared" si="21"/>
        <v>22259.455680000003</v>
      </c>
      <c r="N76" s="153">
        <f t="shared" si="22"/>
        <v>144033.43248000002</v>
      </c>
      <c r="O76" s="114"/>
      <c r="P76" s="114"/>
    </row>
    <row r="77" spans="1:22">
      <c r="A77" s="147">
        <v>9</v>
      </c>
      <c r="B77" s="136" t="s">
        <v>188</v>
      </c>
      <c r="C77" s="172">
        <v>99891.75</v>
      </c>
      <c r="D77" s="113">
        <f t="shared" si="13"/>
        <v>12529.261500000001</v>
      </c>
      <c r="E77" s="137">
        <f t="shared" si="14"/>
        <v>499.45875000000001</v>
      </c>
      <c r="F77" s="113">
        <f t="shared" si="15"/>
        <v>20657.6139</v>
      </c>
      <c r="G77" s="138">
        <f t="shared" si="16"/>
        <v>133578.08415000001</v>
      </c>
      <c r="H77" s="152">
        <f t="shared" si="17"/>
        <v>99891.75</v>
      </c>
      <c r="I77" s="153">
        <v>7745.85</v>
      </c>
      <c r="J77" s="153">
        <f t="shared" si="18"/>
        <v>107637.6</v>
      </c>
      <c r="K77" s="153">
        <f t="shared" si="19"/>
        <v>13598.188800000002</v>
      </c>
      <c r="L77" s="153">
        <f t="shared" si="20"/>
        <v>538.18799999999999</v>
      </c>
      <c r="M77" s="153">
        <f t="shared" si="21"/>
        <v>22259.455680000003</v>
      </c>
      <c r="N77" s="153">
        <f t="shared" si="22"/>
        <v>144033.43248000002</v>
      </c>
      <c r="O77" s="114"/>
      <c r="P77" s="114"/>
    </row>
    <row r="78" spans="1:22">
      <c r="A78" s="147">
        <v>9</v>
      </c>
      <c r="B78" s="136" t="s">
        <v>189</v>
      </c>
      <c r="C78" s="172">
        <v>99891.75</v>
      </c>
      <c r="D78" s="113">
        <f t="shared" si="13"/>
        <v>12529.261500000001</v>
      </c>
      <c r="E78" s="137">
        <f t="shared" si="14"/>
        <v>499.45875000000001</v>
      </c>
      <c r="F78" s="113">
        <f t="shared" si="15"/>
        <v>20657.6139</v>
      </c>
      <c r="G78" s="138">
        <f t="shared" si="16"/>
        <v>133578.08415000001</v>
      </c>
      <c r="H78" s="152">
        <f t="shared" si="17"/>
        <v>99891.75</v>
      </c>
      <c r="I78" s="153">
        <v>7745.85</v>
      </c>
      <c r="J78" s="153">
        <f t="shared" si="18"/>
        <v>107637.6</v>
      </c>
      <c r="K78" s="153">
        <f t="shared" si="19"/>
        <v>13598.188800000002</v>
      </c>
      <c r="L78" s="153">
        <f t="shared" si="20"/>
        <v>538.18799999999999</v>
      </c>
      <c r="M78" s="153">
        <f t="shared" si="21"/>
        <v>22259.455680000003</v>
      </c>
      <c r="N78" s="153">
        <f t="shared" si="22"/>
        <v>144033.43248000002</v>
      </c>
      <c r="O78" s="114"/>
      <c r="P78" s="114"/>
    </row>
    <row r="79" spans="1:22">
      <c r="A79" s="147">
        <v>9</v>
      </c>
      <c r="B79" s="136" t="s">
        <v>190</v>
      </c>
      <c r="C79" s="172">
        <v>99891.75</v>
      </c>
      <c r="D79" s="113">
        <f t="shared" si="13"/>
        <v>12529.261500000001</v>
      </c>
      <c r="E79" s="137">
        <f t="shared" si="14"/>
        <v>499.45875000000001</v>
      </c>
      <c r="F79" s="113">
        <f t="shared" si="15"/>
        <v>20657.6139</v>
      </c>
      <c r="G79" s="138">
        <f t="shared" si="16"/>
        <v>133578.08415000001</v>
      </c>
      <c r="H79" s="152">
        <f t="shared" si="17"/>
        <v>99891.75</v>
      </c>
      <c r="I79" s="153">
        <v>7745.85</v>
      </c>
      <c r="J79" s="153">
        <f t="shared" si="18"/>
        <v>107637.6</v>
      </c>
      <c r="K79" s="153">
        <f t="shared" si="19"/>
        <v>13598.188800000002</v>
      </c>
      <c r="L79" s="153">
        <f t="shared" si="20"/>
        <v>538.18799999999999</v>
      </c>
      <c r="M79" s="153">
        <f t="shared" si="21"/>
        <v>22259.455680000003</v>
      </c>
      <c r="N79" s="153">
        <f t="shared" si="22"/>
        <v>144033.43248000002</v>
      </c>
      <c r="O79" s="114"/>
      <c r="P79" s="114"/>
    </row>
    <row r="80" spans="1:22">
      <c r="A80" s="147">
        <v>9</v>
      </c>
      <c r="B80" s="136" t="s">
        <v>191</v>
      </c>
      <c r="C80" s="172">
        <v>99891.75</v>
      </c>
      <c r="D80" s="113">
        <f t="shared" si="13"/>
        <v>12529.261500000001</v>
      </c>
      <c r="E80" s="137">
        <f t="shared" si="14"/>
        <v>499.45875000000001</v>
      </c>
      <c r="F80" s="113">
        <f t="shared" si="15"/>
        <v>20657.6139</v>
      </c>
      <c r="G80" s="138">
        <f t="shared" si="16"/>
        <v>133578.08415000001</v>
      </c>
      <c r="H80" s="152">
        <f t="shared" si="17"/>
        <v>99891.75</v>
      </c>
      <c r="I80" s="153">
        <v>7745.85</v>
      </c>
      <c r="J80" s="153">
        <f t="shared" si="18"/>
        <v>107637.6</v>
      </c>
      <c r="K80" s="153">
        <f t="shared" si="19"/>
        <v>13598.188800000002</v>
      </c>
      <c r="L80" s="153">
        <f t="shared" si="20"/>
        <v>538.18799999999999</v>
      </c>
      <c r="M80" s="153">
        <f t="shared" si="21"/>
        <v>22259.455680000003</v>
      </c>
      <c r="N80" s="153">
        <f t="shared" si="22"/>
        <v>144033.43248000002</v>
      </c>
      <c r="O80" s="114"/>
      <c r="P80" s="114"/>
    </row>
    <row r="81" spans="1:16">
      <c r="A81" s="147">
        <v>9</v>
      </c>
      <c r="B81" s="136" t="s">
        <v>192</v>
      </c>
      <c r="C81" s="172">
        <v>114948.75</v>
      </c>
      <c r="D81" s="113">
        <f t="shared" si="13"/>
        <v>14607.127500000001</v>
      </c>
      <c r="E81" s="137">
        <f t="shared" si="14"/>
        <v>574.74374999999998</v>
      </c>
      <c r="F81" s="113">
        <f t="shared" si="15"/>
        <v>23771.4015</v>
      </c>
      <c r="G81" s="138">
        <f t="shared" si="16"/>
        <v>153902.02275</v>
      </c>
      <c r="H81" s="170">
        <f t="shared" si="17"/>
        <v>114948.75</v>
      </c>
      <c r="I81" s="153">
        <v>7745.85</v>
      </c>
      <c r="J81" s="153">
        <f t="shared" si="18"/>
        <v>122694.6</v>
      </c>
      <c r="K81" s="153">
        <f t="shared" si="19"/>
        <v>15676.054800000002</v>
      </c>
      <c r="L81" s="153">
        <f t="shared" si="20"/>
        <v>613.47300000000007</v>
      </c>
      <c r="M81" s="153">
        <f t="shared" si="21"/>
        <v>25373.243280000002</v>
      </c>
      <c r="N81" s="153">
        <f t="shared" si="22"/>
        <v>164357.37108000001</v>
      </c>
      <c r="O81" s="114"/>
      <c r="P81" s="114"/>
    </row>
    <row r="82" spans="1:16">
      <c r="A82" s="147" t="s">
        <v>141</v>
      </c>
      <c r="B82" s="12">
        <v>1</v>
      </c>
      <c r="C82" s="172">
        <v>88364</v>
      </c>
      <c r="D82" s="113">
        <f t="shared" si="13"/>
        <v>10938.432000000001</v>
      </c>
      <c r="E82" s="75">
        <f t="shared" si="14"/>
        <v>441.82</v>
      </c>
      <c r="F82" s="113">
        <f t="shared" si="15"/>
        <v>18273.675200000001</v>
      </c>
      <c r="G82" s="169">
        <f t="shared" si="16"/>
        <v>118017.92720000001</v>
      </c>
      <c r="H82" s="171"/>
    </row>
    <row r="83" spans="1:16">
      <c r="A83" s="147" t="s">
        <v>141</v>
      </c>
      <c r="B83" s="12">
        <v>2</v>
      </c>
      <c r="C83" s="172">
        <v>91131</v>
      </c>
      <c r="D83" s="113">
        <f t="shared" si="13"/>
        <v>11320.278</v>
      </c>
      <c r="E83" s="75">
        <f t="shared" si="14"/>
        <v>455.65500000000003</v>
      </c>
      <c r="F83" s="113">
        <f t="shared" si="15"/>
        <v>18845.890800000001</v>
      </c>
      <c r="G83" s="138">
        <f t="shared" si="16"/>
        <v>121752.82380000001</v>
      </c>
    </row>
    <row r="84" spans="1:16">
      <c r="A84" s="147" t="s">
        <v>141</v>
      </c>
      <c r="B84" s="12">
        <v>3</v>
      </c>
      <c r="C84" s="172">
        <v>93898</v>
      </c>
      <c r="D84" s="113">
        <f t="shared" si="13"/>
        <v>11702.124000000002</v>
      </c>
      <c r="E84" s="75">
        <f t="shared" si="14"/>
        <v>469.49</v>
      </c>
      <c r="F84" s="113">
        <f t="shared" si="15"/>
        <v>19418.106400000001</v>
      </c>
      <c r="G84" s="138">
        <f t="shared" si="16"/>
        <v>125487.72040000001</v>
      </c>
    </row>
    <row r="85" spans="1:16">
      <c r="A85" s="147" t="s">
        <v>141</v>
      </c>
      <c r="B85" s="12">
        <v>4</v>
      </c>
      <c r="C85" s="172">
        <v>96665</v>
      </c>
      <c r="D85" s="113">
        <f t="shared" si="13"/>
        <v>12083.970000000001</v>
      </c>
      <c r="E85" s="75">
        <f t="shared" si="14"/>
        <v>483.32499999999999</v>
      </c>
      <c r="F85" s="113">
        <f t="shared" si="15"/>
        <v>19990.322</v>
      </c>
      <c r="G85" s="138">
        <f t="shared" si="16"/>
        <v>129222.617</v>
      </c>
    </row>
    <row r="86" spans="1:16">
      <c r="A86" s="147" t="s">
        <v>141</v>
      </c>
      <c r="B86" s="12">
        <v>5</v>
      </c>
      <c r="C86" s="172">
        <v>99425</v>
      </c>
      <c r="D86" s="113">
        <f t="shared" si="13"/>
        <v>12464.85</v>
      </c>
      <c r="E86" s="75">
        <f t="shared" si="14"/>
        <v>497.125</v>
      </c>
      <c r="F86" s="113">
        <f t="shared" si="15"/>
        <v>20561.09</v>
      </c>
      <c r="G86" s="138">
        <f t="shared" si="16"/>
        <v>132948.065</v>
      </c>
    </row>
    <row r="87" spans="1:16">
      <c r="A87" s="147" t="s">
        <v>141</v>
      </c>
      <c r="B87" s="12">
        <v>6</v>
      </c>
      <c r="C87" s="172">
        <v>99425</v>
      </c>
      <c r="D87" s="113">
        <f t="shared" si="13"/>
        <v>12464.85</v>
      </c>
      <c r="E87" s="75">
        <f t="shared" si="14"/>
        <v>497.125</v>
      </c>
      <c r="F87" s="113">
        <f t="shared" si="15"/>
        <v>20561.09</v>
      </c>
      <c r="G87" s="138">
        <f t="shared" si="16"/>
        <v>132948.065</v>
      </c>
    </row>
    <row r="88" spans="1:16">
      <c r="A88" s="147" t="s">
        <v>141</v>
      </c>
      <c r="B88" s="12">
        <v>7</v>
      </c>
      <c r="C88" s="172">
        <v>99425</v>
      </c>
      <c r="D88" s="113">
        <f t="shared" si="13"/>
        <v>12464.85</v>
      </c>
      <c r="E88" s="75">
        <f t="shared" si="14"/>
        <v>497.125</v>
      </c>
      <c r="F88" s="113">
        <f t="shared" si="15"/>
        <v>20561.09</v>
      </c>
      <c r="G88" s="138">
        <f t="shared" si="16"/>
        <v>132948.065</v>
      </c>
    </row>
    <row r="89" spans="1:16">
      <c r="A89" s="147" t="s">
        <v>141</v>
      </c>
      <c r="B89" s="12">
        <v>8</v>
      </c>
      <c r="C89" s="172">
        <v>99425</v>
      </c>
      <c r="D89" s="113">
        <f t="shared" si="13"/>
        <v>12464.85</v>
      </c>
      <c r="E89" s="75">
        <f t="shared" si="14"/>
        <v>497.125</v>
      </c>
      <c r="F89" s="113">
        <f t="shared" si="15"/>
        <v>20561.09</v>
      </c>
      <c r="G89" s="138">
        <f t="shared" si="16"/>
        <v>132948.065</v>
      </c>
    </row>
    <row r="90" spans="1:16">
      <c r="A90" s="147" t="s">
        <v>141</v>
      </c>
      <c r="B90" s="12">
        <v>9</v>
      </c>
      <c r="C90" s="172">
        <v>105996</v>
      </c>
      <c r="D90" s="113">
        <f t="shared" si="13"/>
        <v>13371.648000000001</v>
      </c>
      <c r="E90" s="75">
        <f t="shared" si="14"/>
        <v>529.98</v>
      </c>
      <c r="F90" s="113">
        <f t="shared" si="15"/>
        <v>21919.9728</v>
      </c>
      <c r="G90" s="138">
        <f t="shared" si="16"/>
        <v>141817.60079999999</v>
      </c>
    </row>
    <row r="91" spans="1:16">
      <c r="A91" s="147" t="s">
        <v>141</v>
      </c>
      <c r="B91" s="12">
        <v>10</v>
      </c>
      <c r="C91" s="172">
        <v>105996</v>
      </c>
      <c r="D91" s="113">
        <f t="shared" si="13"/>
        <v>13371.648000000001</v>
      </c>
      <c r="E91" s="75">
        <f t="shared" si="14"/>
        <v>529.98</v>
      </c>
      <c r="F91" s="113">
        <f t="shared" si="15"/>
        <v>21919.9728</v>
      </c>
      <c r="G91" s="138">
        <f t="shared" si="16"/>
        <v>141817.60079999999</v>
      </c>
    </row>
    <row r="92" spans="1:16">
      <c r="A92" s="147" t="s">
        <v>141</v>
      </c>
      <c r="B92" s="12">
        <v>11</v>
      </c>
      <c r="C92" s="172">
        <v>105996</v>
      </c>
      <c r="D92" s="113">
        <f t="shared" si="13"/>
        <v>13371.648000000001</v>
      </c>
      <c r="E92" s="75">
        <f t="shared" si="14"/>
        <v>529.98</v>
      </c>
      <c r="F92" s="113">
        <f t="shared" si="15"/>
        <v>21919.9728</v>
      </c>
      <c r="G92" s="138">
        <f t="shared" si="16"/>
        <v>141817.60079999999</v>
      </c>
    </row>
    <row r="93" spans="1:16">
      <c r="A93" s="147" t="s">
        <v>141</v>
      </c>
      <c r="B93" s="12">
        <v>12</v>
      </c>
      <c r="C93" s="172">
        <v>105996</v>
      </c>
      <c r="D93" s="113">
        <f t="shared" si="13"/>
        <v>13371.648000000001</v>
      </c>
      <c r="E93" s="75">
        <f t="shared" si="14"/>
        <v>529.98</v>
      </c>
      <c r="F93" s="113">
        <f t="shared" si="15"/>
        <v>21919.9728</v>
      </c>
      <c r="G93" s="138">
        <f t="shared" si="16"/>
        <v>141817.60079999999</v>
      </c>
    </row>
    <row r="94" spans="1:16">
      <c r="A94" s="147" t="s">
        <v>141</v>
      </c>
      <c r="B94" s="12">
        <v>13</v>
      </c>
      <c r="C94" s="172">
        <v>105996</v>
      </c>
      <c r="D94" s="113">
        <f t="shared" si="13"/>
        <v>13371.648000000001</v>
      </c>
      <c r="E94" s="75">
        <f t="shared" si="14"/>
        <v>529.98</v>
      </c>
      <c r="F94" s="113">
        <f t="shared" si="15"/>
        <v>21919.9728</v>
      </c>
      <c r="G94" s="138">
        <f t="shared" si="16"/>
        <v>141817.60079999999</v>
      </c>
    </row>
    <row r="95" spans="1:16">
      <c r="A95" s="147" t="s">
        <v>141</v>
      </c>
      <c r="B95" s="12">
        <v>14</v>
      </c>
      <c r="C95" s="172">
        <v>112569</v>
      </c>
      <c r="D95" s="113">
        <f t="shared" si="13"/>
        <v>14278.722000000002</v>
      </c>
      <c r="E95" s="75">
        <f t="shared" si="14"/>
        <v>562.84500000000003</v>
      </c>
      <c r="F95" s="113">
        <f t="shared" si="15"/>
        <v>23279.269200000002</v>
      </c>
      <c r="G95" s="138">
        <f t="shared" si="16"/>
        <v>150689.83620000002</v>
      </c>
    </row>
    <row r="96" spans="1:16">
      <c r="A96" s="147" t="s">
        <v>141</v>
      </c>
      <c r="B96" s="12">
        <v>15</v>
      </c>
      <c r="C96" s="172">
        <v>112569</v>
      </c>
      <c r="D96" s="113">
        <f t="shared" si="13"/>
        <v>14278.722000000002</v>
      </c>
      <c r="E96" s="75">
        <f t="shared" si="14"/>
        <v>562.84500000000003</v>
      </c>
      <c r="F96" s="113">
        <f t="shared" si="15"/>
        <v>23279.269200000002</v>
      </c>
      <c r="G96" s="138">
        <f t="shared" si="16"/>
        <v>150689.83620000002</v>
      </c>
    </row>
    <row r="97" spans="1:229">
      <c r="A97" s="147" t="s">
        <v>141</v>
      </c>
      <c r="B97" s="12">
        <v>16</v>
      </c>
      <c r="C97" s="172">
        <v>112569</v>
      </c>
      <c r="D97" s="113">
        <f t="shared" si="13"/>
        <v>14278.722000000002</v>
      </c>
      <c r="E97" s="75">
        <f t="shared" si="14"/>
        <v>562.84500000000003</v>
      </c>
      <c r="F97" s="113">
        <f t="shared" si="15"/>
        <v>23279.269200000002</v>
      </c>
      <c r="G97" s="138">
        <f t="shared" si="16"/>
        <v>150689.83620000002</v>
      </c>
    </row>
    <row r="98" spans="1:229">
      <c r="A98" s="147" t="s">
        <v>141</v>
      </c>
      <c r="B98" s="12">
        <v>17</v>
      </c>
      <c r="C98" s="172">
        <v>112569</v>
      </c>
      <c r="D98" s="113">
        <f t="shared" si="13"/>
        <v>14278.722000000002</v>
      </c>
      <c r="E98" s="75">
        <f t="shared" si="14"/>
        <v>562.84500000000003</v>
      </c>
      <c r="F98" s="113">
        <f t="shared" si="15"/>
        <v>23279.269200000002</v>
      </c>
      <c r="G98" s="138">
        <f t="shared" si="16"/>
        <v>150689.83620000002</v>
      </c>
    </row>
    <row r="99" spans="1:229">
      <c r="A99" s="147" t="s">
        <v>141</v>
      </c>
      <c r="B99" s="12">
        <v>18</v>
      </c>
      <c r="C99" s="172">
        <v>112569</v>
      </c>
      <c r="D99" s="168">
        <f t="shared" si="13"/>
        <v>14278.722000000002</v>
      </c>
      <c r="E99" s="75">
        <f t="shared" si="14"/>
        <v>562.84500000000003</v>
      </c>
      <c r="F99" s="113">
        <f t="shared" si="15"/>
        <v>23279.269200000002</v>
      </c>
      <c r="G99" s="138">
        <f t="shared" si="16"/>
        <v>150689.83620000002</v>
      </c>
    </row>
    <row r="100" spans="1:229" ht="15" thickBot="1">
      <c r="A100" s="148" t="s">
        <v>141</v>
      </c>
      <c r="B100" s="139">
        <v>19</v>
      </c>
      <c r="C100" s="173">
        <v>119133</v>
      </c>
      <c r="D100" s="140">
        <f t="shared" si="13"/>
        <v>15184.554000000002</v>
      </c>
      <c r="E100" s="167">
        <f t="shared" si="14"/>
        <v>595.66499999999996</v>
      </c>
      <c r="F100" s="140">
        <f t="shared" si="15"/>
        <v>24636.704400000002</v>
      </c>
      <c r="G100" s="141">
        <f t="shared" si="16"/>
        <v>159549.92340000003</v>
      </c>
    </row>
    <row r="101" spans="1:229" ht="23.5" customHeight="1">
      <c r="A101" s="115"/>
      <c r="B101" s="115"/>
      <c r="C101" s="116"/>
      <c r="D101" s="116"/>
      <c r="E101" s="117"/>
      <c r="F101" s="116"/>
      <c r="G101" s="116"/>
    </row>
    <row r="103" spans="1:229" s="2" customFormat="1">
      <c r="A103" s="118" t="s">
        <v>193</v>
      </c>
      <c r="B103" s="56"/>
      <c r="C103" s="56"/>
      <c r="D103" s="56"/>
      <c r="E103" s="56"/>
      <c r="F103" s="56"/>
      <c r="G103" s="56"/>
      <c r="H103" s="3"/>
      <c r="I103" s="3"/>
      <c r="J103" s="3"/>
      <c r="K103" s="3"/>
      <c r="L103"/>
      <c r="M103" s="3"/>
      <c r="N103" s="3"/>
      <c r="O103" s="3"/>
      <c r="P103" s="3"/>
      <c r="Q103"/>
      <c r="R103" s="110"/>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2" customFormat="1" ht="72.5">
      <c r="A104" s="142" t="s">
        <v>194</v>
      </c>
      <c r="B104" s="142" t="s">
        <v>59</v>
      </c>
      <c r="C104" s="143" t="s">
        <v>60</v>
      </c>
      <c r="D104" s="142" t="s">
        <v>61</v>
      </c>
      <c r="E104" s="144" t="s">
        <v>221</v>
      </c>
      <c r="F104" s="3"/>
      <c r="G104" s="3"/>
      <c r="H104" s="3"/>
      <c r="I104" s="3"/>
      <c r="J104" s="3"/>
      <c r="K104" s="3"/>
      <c r="L104"/>
      <c r="M104" s="3"/>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2" customFormat="1">
      <c r="A105" s="145">
        <v>153400</v>
      </c>
      <c r="B105" s="119">
        <f>(A105-B110)*0.138</f>
        <v>19913.400000000001</v>
      </c>
      <c r="C105" s="120">
        <f t="shared" ref="C105" si="23">A105*0.005</f>
        <v>767</v>
      </c>
      <c r="D105" s="120">
        <f t="shared" ref="D105" si="24">A105*0.2068</f>
        <v>31723.120000000003</v>
      </c>
      <c r="E105" s="120">
        <f t="shared" ref="E105" si="25">SUM(A105:D105)</f>
        <v>205803.51999999999</v>
      </c>
      <c r="F105" s="3"/>
      <c r="G105" s="3"/>
      <c r="H105" s="3"/>
      <c r="I105" s="3"/>
      <c r="J105" s="3"/>
      <c r="K105" s="3"/>
      <c r="L105"/>
      <c r="M105" s="3"/>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c r="A106" t="s">
        <v>195</v>
      </c>
      <c r="F106" s="76" t="s">
        <v>196</v>
      </c>
      <c r="R106"/>
    </row>
    <row r="107" spans="1:229">
      <c r="R107"/>
    </row>
    <row r="108" spans="1:229" s="2" customFormat="1">
      <c r="A108" s="3"/>
      <c r="B108" s="3"/>
      <c r="C108" s="121"/>
      <c r="D108" s="121"/>
      <c r="E108" s="3"/>
      <c r="F108" s="3"/>
      <c r="G108" s="3"/>
      <c r="H108" s="3"/>
      <c r="I108" s="3"/>
      <c r="J108" s="3"/>
      <c r="K108" s="3"/>
      <c r="L108" s="3"/>
      <c r="M108" s="3"/>
      <c r="N108" s="3"/>
      <c r="O108" s="3"/>
      <c r="P108" s="3"/>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c r="A109" s="126" t="s">
        <v>197</v>
      </c>
      <c r="B109" s="126"/>
      <c r="C109" s="126"/>
      <c r="R109"/>
    </row>
    <row r="110" spans="1:229" ht="43.5">
      <c r="A110" s="122" t="s">
        <v>198</v>
      </c>
      <c r="B110" s="123">
        <v>9100</v>
      </c>
      <c r="C110" s="124">
        <v>0</v>
      </c>
      <c r="R110"/>
    </row>
    <row r="111" spans="1:229" ht="43.5">
      <c r="A111" s="122" t="s">
        <v>199</v>
      </c>
      <c r="B111" s="125" t="s">
        <v>200</v>
      </c>
      <c r="C111" s="127">
        <v>0.13800000000000001</v>
      </c>
      <c r="R111"/>
    </row>
    <row r="113" spans="1:1">
      <c r="A113" t="s">
        <v>201</v>
      </c>
    </row>
  </sheetData>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0919F-8B5F-41AE-9551-AF617CD60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schemas.microsoft.com/office/infopath/2007/PartnerControls"/>
    <ds:schemaRef ds:uri="http://www.w3.org/XML/1998/namespace"/>
    <ds:schemaRef ds:uri="http://schemas.microsoft.com/office/2006/metadata/properties"/>
    <ds:schemaRef ds:uri="acaf4567-dc07-471f-892c-2bcb86ef35ae"/>
    <ds:schemaRef ds:uri="http://schemas.microsoft.com/office/2006/documentManagement/types"/>
    <ds:schemaRef ds:uri="http://purl.org/dc/terms/"/>
    <ds:schemaRef ds:uri="0eb656aa-4e79-4e95-9076-bc119a23e0cc"/>
    <ds:schemaRef ds:uri="http://purl.org/dc/dcmitype/"/>
    <ds:schemaRef ds:uri="http://schemas.openxmlformats.org/package/2006/metadata/core-properties"/>
    <ds:schemaRef ds:uri="c1f338ac-e338-414f-952c-f74dcc6d59e1"/>
    <ds:schemaRef ds:uri="http://purl.org/dc/elements/1.1/"/>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Contents</vt:lpstr>
      <vt:lpstr>Inputs and eligible population</vt:lpstr>
      <vt:lpstr>Resource impact summary</vt:lpstr>
      <vt:lpstr>payscales</vt:lpstr>
      <vt:lpstr>Contents!Print_Area</vt:lpstr>
      <vt:lpstr>Cover!Print_Area</vt:lpstr>
      <vt:lpstr>'Inputs and eligible population'!Print_Area</vt:lpstr>
      <vt:lpstr>'Resource impact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MTG77 Kurin Lock for blood culture collection: resource impact template 26/03/2025</dc:title>
  <dc:subject/>
  <dc:creator/>
  <cp:keywords/>
  <dc:description/>
  <cp:lastModifiedBy/>
  <cp:revision/>
  <dcterms:created xsi:type="dcterms:W3CDTF">2022-07-27T12:38:28Z</dcterms:created>
  <dcterms:modified xsi:type="dcterms:W3CDTF">2025-03-26T16:03:19Z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