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defaultThemeVersion="124226"/>
  <mc:AlternateContent xmlns:mc="http://schemas.openxmlformats.org/markup-compatibility/2006">
    <mc:Choice Requires="x15">
      <x15ac:absPath xmlns:x15ac="http://schemas.microsoft.com/office/spreadsheetml/2010/11/ac" url="J:\Publishing\PUBLISHED VERSIONS\Final production artwork\HealthTech (HTG)\HTG758 (HTE32) Compression products\20251223 - HTG migration\Resources\"/>
    </mc:Choice>
  </mc:AlternateContent>
  <xr:revisionPtr revIDLastSave="0" documentId="13_ncr:1_{F75680CF-7283-4CD6-9BC6-F0B8869FBD24}" xr6:coauthVersionLast="47" xr6:coauthVersionMax="47" xr10:uidLastSave="{00000000-0000-0000-0000-000000000000}"/>
  <bookViews>
    <workbookView xWindow="-120" yWindow="-120" windowWidth="29040" windowHeight="17520" tabRatio="676" xr2:uid="{00000000-000D-0000-FFFF-FFFF00000000}"/>
  </bookViews>
  <sheets>
    <sheet name="Cover" sheetId="38" r:id="rId1"/>
    <sheet name="User guide" sheetId="77" r:id="rId2"/>
    <sheet name="Input and decisions" sheetId="82" r:id="rId3"/>
    <sheet name="payscales" sheetId="81" r:id="rId4"/>
  </sheets>
  <externalReferences>
    <externalReference r:id="rId5"/>
    <externalReference r:id="rId6"/>
    <externalReference r:id="rId7"/>
  </externalReferences>
  <definedNames>
    <definedName name="Bands">payscales!$B$12:$B$47</definedName>
    <definedName name="_xlnm.Criteria" localSheetId="3">[1]Inputs!$C$53:$C$54</definedName>
    <definedName name="Dressings" localSheetId="3">'[1]EAG matched data clean'!$E$5:$E$294</definedName>
    <definedName name="Frequency" localSheetId="3">'[2]price selecting tool'!$A$27:$A$30</definedName>
    <definedName name="LOCALAUTHNORTHI" localSheetId="3">'[1]Population selection'!$B$521:$B$531</definedName>
    <definedName name="ORGTYPE" localSheetId="3">'[1]Population selection'!$L$5:$L$14</definedName>
    <definedName name="ORGTYPE2" localSheetId="3">'[3]Population selection'!$L$12:$L$19</definedName>
    <definedName name="ORGTYPE3" localSheetId="3">'[3]Population selection'!$L$12:$L$19</definedName>
    <definedName name="_xlnm.Print_Area" localSheetId="0">Cover!$A$1:$F$26</definedName>
    <definedName name="_xlnm.Print_Area" localSheetId="2">'Input and decisions'!$A$1:$AA$60</definedName>
    <definedName name="_xlnm.Print_Area" localSheetId="1">'User guide'!$A$1:$C$25</definedName>
    <definedName name="Type">'Input and decisions'!$A$162:$A$165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2" i="81" l="1"/>
  <c r="L13" i="81"/>
  <c r="L14" i="81"/>
  <c r="H13" i="82"/>
  <c r="H14" i="82"/>
  <c r="H15" i="82"/>
  <c r="H12" i="82"/>
  <c r="H38" i="82" l="1"/>
  <c r="Y60" i="82"/>
  <c r="O59" i="82"/>
  <c r="F59" i="82"/>
  <c r="O58" i="82"/>
  <c r="F58" i="82"/>
  <c r="H58" i="82" s="1"/>
  <c r="U58" i="82" s="1"/>
  <c r="O57" i="82"/>
  <c r="F57" i="82"/>
  <c r="H57" i="82" s="1"/>
  <c r="O56" i="82"/>
  <c r="F56" i="82"/>
  <c r="H56" i="82" s="1"/>
  <c r="O55" i="82"/>
  <c r="F55" i="82"/>
  <c r="H55" i="82" s="1"/>
  <c r="O54" i="82"/>
  <c r="H54" i="82"/>
  <c r="T54" i="82" s="1"/>
  <c r="Y52" i="82"/>
  <c r="O51" i="82"/>
  <c r="F51" i="82"/>
  <c r="O50" i="82"/>
  <c r="F50" i="82"/>
  <c r="H50" i="82" s="1"/>
  <c r="U50" i="82" s="1"/>
  <c r="F49" i="82"/>
  <c r="H49" i="82" s="1"/>
  <c r="O48" i="82"/>
  <c r="F48" i="82"/>
  <c r="H48" i="82" s="1"/>
  <c r="O47" i="82"/>
  <c r="F47" i="82"/>
  <c r="H47" i="82" s="1"/>
  <c r="O46" i="82"/>
  <c r="H46" i="82"/>
  <c r="Y44" i="82"/>
  <c r="O43" i="82"/>
  <c r="F43" i="82"/>
  <c r="O42" i="82"/>
  <c r="F42" i="82"/>
  <c r="H42" i="82" s="1"/>
  <c r="T42" i="82" s="1"/>
  <c r="O41" i="82"/>
  <c r="F41" i="82"/>
  <c r="H41" i="82" s="1"/>
  <c r="O40" i="82"/>
  <c r="F40" i="82"/>
  <c r="H40" i="82" s="1"/>
  <c r="O39" i="82"/>
  <c r="F39" i="82"/>
  <c r="H39" i="82" s="1"/>
  <c r="O38" i="82"/>
  <c r="Y36" i="82"/>
  <c r="O35" i="82"/>
  <c r="F35" i="82"/>
  <c r="O34" i="82"/>
  <c r="F34" i="82"/>
  <c r="H34" i="82" s="1"/>
  <c r="O33" i="82"/>
  <c r="F33" i="82"/>
  <c r="H33" i="82" s="1"/>
  <c r="O32" i="82"/>
  <c r="F32" i="82"/>
  <c r="H32" i="82" s="1"/>
  <c r="O31" i="82"/>
  <c r="F31" i="82"/>
  <c r="H31" i="82" s="1"/>
  <c r="O30" i="82"/>
  <c r="H30" i="82"/>
  <c r="H26" i="82"/>
  <c r="T26" i="82" s="1"/>
  <c r="F27" i="82"/>
  <c r="H27" i="82" s="1"/>
  <c r="F26" i="82"/>
  <c r="O27" i="82"/>
  <c r="O26" i="82"/>
  <c r="K47" i="81"/>
  <c r="K46" i="81"/>
  <c r="K45" i="81"/>
  <c r="J47" i="81"/>
  <c r="J46" i="81"/>
  <c r="J45" i="81"/>
  <c r="O49" i="82"/>
  <c r="H22" i="82"/>
  <c r="F25" i="82"/>
  <c r="H25" i="82" s="1"/>
  <c r="F24" i="82"/>
  <c r="H24" i="82" s="1"/>
  <c r="O24" i="82"/>
  <c r="F23" i="82"/>
  <c r="H23" i="82" s="1"/>
  <c r="Z22" i="82" l="1"/>
  <c r="H59" i="82"/>
  <c r="Z54" i="82" s="1"/>
  <c r="H35" i="82"/>
  <c r="T27" i="82"/>
  <c r="V54" i="82"/>
  <c r="V50" i="82"/>
  <c r="V31" i="82"/>
  <c r="V46" i="82"/>
  <c r="U46" i="82"/>
  <c r="V58" i="82"/>
  <c r="V47" i="82"/>
  <c r="U47" i="82"/>
  <c r="U54" i="82"/>
  <c r="U55" i="82"/>
  <c r="V55" i="82"/>
  <c r="T55" i="82"/>
  <c r="V56" i="82"/>
  <c r="U56" i="82"/>
  <c r="T56" i="82"/>
  <c r="U57" i="82"/>
  <c r="V57" i="82"/>
  <c r="T57" i="82"/>
  <c r="T58" i="82"/>
  <c r="U48" i="82"/>
  <c r="V48" i="82"/>
  <c r="T48" i="82"/>
  <c r="T50" i="82"/>
  <c r="T46" i="82"/>
  <c r="T47" i="82"/>
  <c r="V30" i="82"/>
  <c r="V38" i="82"/>
  <c r="V34" i="82"/>
  <c r="V39" i="82"/>
  <c r="U39" i="82"/>
  <c r="T39" i="82"/>
  <c r="V41" i="82"/>
  <c r="U41" i="82"/>
  <c r="T41" i="82"/>
  <c r="V40" i="82"/>
  <c r="U40" i="82"/>
  <c r="T40" i="82"/>
  <c r="U42" i="82"/>
  <c r="U38" i="82"/>
  <c r="V42" i="82"/>
  <c r="T38" i="82"/>
  <c r="V32" i="82"/>
  <c r="U32" i="82"/>
  <c r="T32" i="82"/>
  <c r="V33" i="82"/>
  <c r="U33" i="82"/>
  <c r="T33" i="82"/>
  <c r="U34" i="82"/>
  <c r="T34" i="82"/>
  <c r="T30" i="82"/>
  <c r="T31" i="82"/>
  <c r="U30" i="82"/>
  <c r="U31" i="82"/>
  <c r="U26" i="82"/>
  <c r="V26" i="82"/>
  <c r="V49" i="82"/>
  <c r="T49" i="82"/>
  <c r="U49" i="82"/>
  <c r="V24" i="82"/>
  <c r="U24" i="82"/>
  <c r="T24" i="82"/>
  <c r="O25" i="82"/>
  <c r="O23" i="82"/>
  <c r="O22" i="82"/>
  <c r="W54" i="82" l="1"/>
  <c r="U59" i="82"/>
  <c r="T59" i="82"/>
  <c r="V59" i="82"/>
  <c r="T35" i="82"/>
  <c r="Z30" i="82"/>
  <c r="V35" i="82"/>
  <c r="U35" i="82"/>
  <c r="H51" i="82"/>
  <c r="Z46" i="82" s="1"/>
  <c r="H43" i="82"/>
  <c r="Z38" i="82" s="1"/>
  <c r="W50" i="82"/>
  <c r="U27" i="82"/>
  <c r="V27" i="82"/>
  <c r="W42" i="82"/>
  <c r="W49" i="82"/>
  <c r="W24" i="82"/>
  <c r="P43" i="81"/>
  <c r="P44" i="81"/>
  <c r="P42" i="81"/>
  <c r="P29" i="81"/>
  <c r="P30" i="81"/>
  <c r="P31" i="81"/>
  <c r="P32" i="81"/>
  <c r="P33" i="81"/>
  <c r="P34" i="81"/>
  <c r="P35" i="81"/>
  <c r="P36" i="81"/>
  <c r="P37" i="81"/>
  <c r="P38" i="81"/>
  <c r="P39" i="81"/>
  <c r="P40" i="81"/>
  <c r="P41" i="81"/>
  <c r="P16" i="81"/>
  <c r="P17" i="81"/>
  <c r="P18" i="81"/>
  <c r="P19" i="81"/>
  <c r="P20" i="81"/>
  <c r="P21" i="81"/>
  <c r="P22" i="81"/>
  <c r="P23" i="81"/>
  <c r="P24" i="81"/>
  <c r="P25" i="81"/>
  <c r="P26" i="81"/>
  <c r="P27" i="81"/>
  <c r="P28" i="81"/>
  <c r="P14" i="81"/>
  <c r="P15" i="81"/>
  <c r="P12" i="81"/>
  <c r="V25" i="82"/>
  <c r="V23" i="82"/>
  <c r="V22" i="82"/>
  <c r="Y29" i="82"/>
  <c r="Y37" i="82"/>
  <c r="Y45" i="82"/>
  <c r="Y53" i="82"/>
  <c r="U22" i="82"/>
  <c r="T22" i="82"/>
  <c r="U23" i="82"/>
  <c r="U25" i="82"/>
  <c r="T25" i="82"/>
  <c r="T23" i="82"/>
  <c r="L47" i="81"/>
  <c r="M47" i="81" s="1"/>
  <c r="P47" i="81" s="1"/>
  <c r="H47" i="81"/>
  <c r="F47" i="81"/>
  <c r="E47" i="81"/>
  <c r="G47" i="81"/>
  <c r="I47" i="81"/>
  <c r="D47" i="81"/>
  <c r="L46" i="81"/>
  <c r="M46" i="81" s="1"/>
  <c r="P46" i="81" s="1"/>
  <c r="E46" i="81"/>
  <c r="D46" i="81"/>
  <c r="L45" i="81"/>
  <c r="M45" i="81" s="1"/>
  <c r="P45" i="81" s="1"/>
  <c r="H45" i="81"/>
  <c r="G45" i="81"/>
  <c r="E45" i="81"/>
  <c r="F45" i="81"/>
  <c r="I45" i="81"/>
  <c r="D45" i="81"/>
  <c r="J44" i="81"/>
  <c r="L44" i="81"/>
  <c r="H44" i="81"/>
  <c r="E44" i="81"/>
  <c r="D44" i="81"/>
  <c r="J43" i="81"/>
  <c r="L43" i="81"/>
  <c r="H43" i="81"/>
  <c r="E43" i="81"/>
  <c r="D43" i="81"/>
  <c r="J42" i="81"/>
  <c r="L42" i="81"/>
  <c r="H42" i="81"/>
  <c r="E42" i="81"/>
  <c r="G42" i="81"/>
  <c r="D42" i="81"/>
  <c r="L41" i="81"/>
  <c r="E41" i="81"/>
  <c r="C41" i="81"/>
  <c r="D41" i="81"/>
  <c r="L40" i="81"/>
  <c r="H40" i="81"/>
  <c r="C40" i="81"/>
  <c r="E40" i="81"/>
  <c r="L39" i="81"/>
  <c r="C39" i="81"/>
  <c r="E39" i="81"/>
  <c r="L38" i="81"/>
  <c r="E38" i="81"/>
  <c r="D38" i="81"/>
  <c r="C38" i="81"/>
  <c r="Y37" i="81"/>
  <c r="L37" i="81"/>
  <c r="C37" i="81"/>
  <c r="L36" i="81"/>
  <c r="C36" i="81"/>
  <c r="E36" i="81"/>
  <c r="L35" i="81"/>
  <c r="C35" i="81"/>
  <c r="E35" i="81"/>
  <c r="L34" i="81"/>
  <c r="E34" i="81"/>
  <c r="H34" i="81"/>
  <c r="D34" i="81"/>
  <c r="C34" i="81"/>
  <c r="L33" i="81"/>
  <c r="C33" i="81"/>
  <c r="D33" i="81"/>
  <c r="L32" i="81"/>
  <c r="E32" i="81"/>
  <c r="C32" i="81"/>
  <c r="D32" i="81"/>
  <c r="L31" i="81"/>
  <c r="C31" i="81"/>
  <c r="E31" i="81"/>
  <c r="L30" i="81"/>
  <c r="C30" i="81"/>
  <c r="E30" i="81"/>
  <c r="Y29" i="81"/>
  <c r="L29" i="81"/>
  <c r="D29" i="81"/>
  <c r="C29" i="81"/>
  <c r="E29" i="81"/>
  <c r="L28" i="81"/>
  <c r="E28" i="81"/>
  <c r="C28" i="81"/>
  <c r="D28" i="81"/>
  <c r="L27" i="81"/>
  <c r="C27" i="81"/>
  <c r="E27" i="81"/>
  <c r="L26" i="81"/>
  <c r="C26" i="81"/>
  <c r="E26" i="81"/>
  <c r="L25" i="81"/>
  <c r="E25" i="81"/>
  <c r="D25" i="81"/>
  <c r="C25" i="81"/>
  <c r="L24" i="81"/>
  <c r="C24" i="81"/>
  <c r="L23" i="81"/>
  <c r="C23" i="81"/>
  <c r="E23" i="81"/>
  <c r="L22" i="81"/>
  <c r="E22" i="81"/>
  <c r="C22" i="81"/>
  <c r="D22" i="81"/>
  <c r="L21" i="81"/>
  <c r="C21" i="81"/>
  <c r="L20" i="81"/>
  <c r="G20" i="81"/>
  <c r="C20" i="81"/>
  <c r="E20" i="81"/>
  <c r="Y19" i="81"/>
  <c r="L19" i="81"/>
  <c r="E19" i="81"/>
  <c r="C19" i="81"/>
  <c r="D19" i="81"/>
  <c r="L18" i="81"/>
  <c r="C18" i="81"/>
  <c r="E18" i="81"/>
  <c r="L17" i="81"/>
  <c r="C17" i="81"/>
  <c r="E17" i="81"/>
  <c r="L16" i="81"/>
  <c r="C16" i="81"/>
  <c r="E16" i="81"/>
  <c r="L15" i="81"/>
  <c r="E15" i="81"/>
  <c r="H15" i="81"/>
  <c r="D15" i="81"/>
  <c r="C15" i="81"/>
  <c r="C14" i="81"/>
  <c r="E14" i="81"/>
  <c r="E13" i="81"/>
  <c r="C13" i="81"/>
  <c r="D13" i="81"/>
  <c r="C12" i="81"/>
  <c r="E12" i="81"/>
  <c r="H13" i="81"/>
  <c r="G13" i="81"/>
  <c r="I16" i="81"/>
  <c r="M16" i="81"/>
  <c r="G16" i="81"/>
  <c r="H16" i="81"/>
  <c r="H19" i="81"/>
  <c r="G19" i="81"/>
  <c r="F16" i="81"/>
  <c r="F19" i="81"/>
  <c r="I19" i="81"/>
  <c r="M19" i="81"/>
  <c r="H25" i="81"/>
  <c r="F25" i="81"/>
  <c r="I25" i="81"/>
  <c r="M25" i="81"/>
  <c r="G25" i="81"/>
  <c r="G22" i="81"/>
  <c r="F22" i="81"/>
  <c r="I22" i="81"/>
  <c r="M22" i="81"/>
  <c r="H22" i="81"/>
  <c r="G32" i="81"/>
  <c r="I32" i="81"/>
  <c r="M32" i="81"/>
  <c r="H32" i="81"/>
  <c r="H35" i="81"/>
  <c r="F35" i="81"/>
  <c r="G35" i="81"/>
  <c r="I35" i="81"/>
  <c r="M35" i="81"/>
  <c r="F14" i="81"/>
  <c r="H39" i="81"/>
  <c r="G39" i="81"/>
  <c r="G23" i="81"/>
  <c r="H23" i="81"/>
  <c r="F23" i="81"/>
  <c r="I23" i="81"/>
  <c r="M23" i="81"/>
  <c r="H26" i="81"/>
  <c r="I26" i="81"/>
  <c r="M26" i="81"/>
  <c r="I29" i="81"/>
  <c r="M29" i="81"/>
  <c r="H29" i="81"/>
  <c r="G29" i="81"/>
  <c r="F29" i="81"/>
  <c r="F32" i="81"/>
  <c r="G14" i="81"/>
  <c r="I14" i="81"/>
  <c r="M14" i="81"/>
  <c r="F26" i="81"/>
  <c r="F39" i="81"/>
  <c r="I39" i="81"/>
  <c r="M39" i="81"/>
  <c r="H14" i="81"/>
  <c r="G17" i="81"/>
  <c r="F17" i="81"/>
  <c r="I17" i="81"/>
  <c r="M17" i="81"/>
  <c r="H20" i="81"/>
  <c r="G26" i="81"/>
  <c r="H17" i="81"/>
  <c r="F20" i="81"/>
  <c r="I20" i="81"/>
  <c r="M20" i="81"/>
  <c r="H36" i="81"/>
  <c r="G36" i="81"/>
  <c r="F36" i="81"/>
  <c r="I36" i="81"/>
  <c r="M36" i="81"/>
  <c r="G40" i="81"/>
  <c r="F40" i="81"/>
  <c r="I40" i="81"/>
  <c r="M40" i="81"/>
  <c r="I43" i="81"/>
  <c r="M43" i="81"/>
  <c r="G44" i="81"/>
  <c r="F44" i="81"/>
  <c r="I44" i="81"/>
  <c r="M44" i="81"/>
  <c r="D12" i="81"/>
  <c r="H31" i="81"/>
  <c r="G31" i="81"/>
  <c r="F31" i="81"/>
  <c r="I31" i="81"/>
  <c r="M31" i="81"/>
  <c r="D31" i="81"/>
  <c r="F13" i="81"/>
  <c r="I13" i="81"/>
  <c r="M13" i="81"/>
  <c r="P13" i="81" s="1"/>
  <c r="H12" i="81"/>
  <c r="I12" i="81"/>
  <c r="M12" i="81"/>
  <c r="G12" i="81"/>
  <c r="F12" i="81"/>
  <c r="G27" i="81"/>
  <c r="F27" i="81"/>
  <c r="H18" i="81"/>
  <c r="G18" i="81"/>
  <c r="F18" i="81"/>
  <c r="I18" i="81"/>
  <c r="M18" i="81"/>
  <c r="E24" i="81"/>
  <c r="D24" i="81"/>
  <c r="H27" i="81"/>
  <c r="I27" i="81"/>
  <c r="M27" i="81"/>
  <c r="H30" i="81"/>
  <c r="G30" i="81"/>
  <c r="F30" i="81"/>
  <c r="I30" i="81"/>
  <c r="M30" i="81"/>
  <c r="E37" i="81"/>
  <c r="D37" i="81"/>
  <c r="D18" i="81"/>
  <c r="E21" i="81"/>
  <c r="D21" i="81"/>
  <c r="D17" i="81"/>
  <c r="D30" i="81"/>
  <c r="D36" i="81"/>
  <c r="G38" i="81"/>
  <c r="F43" i="81"/>
  <c r="H38" i="81"/>
  <c r="G43" i="81"/>
  <c r="F38" i="81"/>
  <c r="I38" i="81"/>
  <c r="M38" i="81"/>
  <c r="D23" i="81"/>
  <c r="D16" i="81"/>
  <c r="D35" i="81"/>
  <c r="F42" i="81"/>
  <c r="I42" i="81"/>
  <c r="M42" i="81"/>
  <c r="D40" i="81"/>
  <c r="F41" i="81"/>
  <c r="I41" i="81"/>
  <c r="M41" i="81"/>
  <c r="F46" i="81"/>
  <c r="G41" i="81"/>
  <c r="G46" i="81"/>
  <c r="D27" i="81"/>
  <c r="D14" i="81"/>
  <c r="F34" i="81"/>
  <c r="D26" i="81"/>
  <c r="E33" i="81"/>
  <c r="G34" i="81"/>
  <c r="D39" i="81"/>
  <c r="H41" i="81"/>
  <c r="H46" i="81"/>
  <c r="I46" i="81"/>
  <c r="F28" i="81"/>
  <c r="F15" i="81"/>
  <c r="G28" i="81"/>
  <c r="G15" i="81"/>
  <c r="D20" i="81"/>
  <c r="H28" i="81"/>
  <c r="I28" i="81"/>
  <c r="M28" i="81"/>
  <c r="Y28" i="82"/>
  <c r="G21" i="81"/>
  <c r="F21" i="81"/>
  <c r="I21" i="81"/>
  <c r="M21" i="81"/>
  <c r="H21" i="81"/>
  <c r="F33" i="81"/>
  <c r="H33" i="81"/>
  <c r="G33" i="81"/>
  <c r="I33" i="81"/>
  <c r="M33" i="81"/>
  <c r="I34" i="81"/>
  <c r="M34" i="81"/>
  <c r="H37" i="81"/>
  <c r="G37" i="81"/>
  <c r="F37" i="81"/>
  <c r="I37" i="81"/>
  <c r="M37" i="81"/>
  <c r="I15" i="81"/>
  <c r="M15" i="81"/>
  <c r="H24" i="81"/>
  <c r="I24" i="81"/>
  <c r="M24" i="81"/>
  <c r="G24" i="81"/>
  <c r="F24" i="81"/>
  <c r="V51" i="82" l="1"/>
  <c r="T51" i="82"/>
  <c r="U51" i="82"/>
  <c r="T43" i="82"/>
  <c r="U43" i="82"/>
  <c r="V43" i="82"/>
  <c r="W22" i="82"/>
  <c r="W25" i="82"/>
  <c r="W23" i="82"/>
  <c r="W46" i="82" l="1"/>
  <c r="W58" i="82"/>
  <c r="W43" i="82"/>
  <c r="W47" i="82"/>
  <c r="W38" i="82"/>
  <c r="W56" i="82"/>
  <c r="W55" i="82"/>
  <c r="W57" i="82"/>
  <c r="W59" i="82"/>
  <c r="W51" i="82"/>
  <c r="W48" i="82"/>
  <c r="W27" i="82"/>
  <c r="W34" i="82"/>
  <c r="W32" i="82"/>
  <c r="W41" i="82"/>
  <c r="W39" i="82"/>
  <c r="W40" i="82"/>
  <c r="W33" i="82"/>
  <c r="W35" i="82"/>
  <c r="W31" i="82"/>
  <c r="W30" i="82"/>
  <c r="W26" i="82"/>
  <c r="W60" i="82" l="1"/>
  <c r="X54" i="82" s="1"/>
  <c r="W44" i="82"/>
  <c r="X38" i="82" s="1"/>
  <c r="W52" i="82"/>
  <c r="X46" i="82" s="1"/>
  <c r="W28" i="82"/>
  <c r="X22" i="82" s="1"/>
  <c r="W36" i="82"/>
  <c r="X30" i="82" s="1"/>
  <c r="Y47" i="82" l="1"/>
  <c r="Y46" i="82"/>
  <c r="Y38" i="82"/>
  <c r="Y54" i="82" l="1"/>
  <c r="Y22" i="82"/>
  <c r="Y30" i="82"/>
  <c r="G15" i="82" l="1"/>
  <c r="G11" i="82"/>
  <c r="G12" i="82"/>
  <c r="D12" i="82" s="1"/>
  <c r="G13" i="82"/>
  <c r="G14" i="82"/>
  <c r="D14" i="82" l="1"/>
  <c r="I14" i="82" s="1"/>
  <c r="D13" i="82"/>
  <c r="I13" i="82" s="1"/>
  <c r="D15" i="82"/>
  <c r="I15" i="82" s="1"/>
  <c r="I12" i="82"/>
  <c r="D11" i="82"/>
  <c r="I11" i="82" s="1"/>
  <c r="F15" i="82" l="1"/>
  <c r="B15" i="82"/>
  <c r="F13" i="82"/>
  <c r="B13" i="82"/>
  <c r="F14" i="82"/>
  <c r="B14" i="82"/>
  <c r="B12" i="82"/>
  <c r="F12" i="82"/>
  <c r="B11" i="82"/>
  <c r="F11" i="8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Edgar Masanga</author>
  </authors>
  <commentList>
    <comment ref="C22" authorId="0" shapeId="0" xr:uid="{D924F0C1-72FA-4E59-93AC-B4B03E3F4914}">
      <text>
        <r>
          <rPr>
            <b/>
            <sz val="9"/>
            <color indexed="81"/>
            <rFont val="Tahoma"/>
            <family val="2"/>
          </rPr>
          <t>User note:</t>
        </r>
        <r>
          <rPr>
            <sz val="9"/>
            <color indexed="81"/>
            <rFont val="Tahoma"/>
            <family val="2"/>
          </rPr>
          <t xml:space="preserve">
Select the type of compression product from the drop down menu.</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45" authorId="0" shapeId="0" xr:uid="{A29F73EE-314C-4126-BC66-55E566F3BE71}">
      <text>
        <r>
          <rPr>
            <b/>
            <sz val="9"/>
            <color indexed="81"/>
            <rFont val="Tahoma"/>
            <family val="2"/>
          </rPr>
          <t>Author:</t>
        </r>
        <r>
          <rPr>
            <sz val="9"/>
            <color indexed="81"/>
            <rFont val="Tahoma"/>
            <family val="2"/>
          </rPr>
          <t xml:space="preserve">
0,1 and 2 years completed as a consultant
</t>
        </r>
      </text>
    </comment>
    <comment ref="B46" authorId="0" shapeId="0" xr:uid="{0C0A85C0-37F2-4A10-B217-0496BA2B703B}">
      <text>
        <r>
          <rPr>
            <b/>
            <sz val="9"/>
            <color indexed="81"/>
            <rFont val="Tahoma"/>
            <family val="2"/>
          </rPr>
          <t>Author:</t>
        </r>
        <r>
          <rPr>
            <sz val="9"/>
            <color indexed="81"/>
            <rFont val="Tahoma"/>
            <family val="2"/>
          </rPr>
          <t xml:space="preserve">
4 to 13 years completed as a consultant (average pay)
</t>
        </r>
      </text>
    </comment>
    <comment ref="B47" authorId="0" shapeId="0" xr:uid="{A1F56113-99D0-4AD4-B34A-5696DD92F0AC}">
      <text>
        <r>
          <rPr>
            <b/>
            <sz val="9"/>
            <color indexed="81"/>
            <rFont val="Tahoma"/>
            <family val="2"/>
          </rPr>
          <t>Author:</t>
        </r>
        <r>
          <rPr>
            <sz val="9"/>
            <color indexed="81"/>
            <rFont val="Tahoma"/>
            <family val="2"/>
          </rPr>
          <t xml:space="preserve">
14 years or more completed as a consultant
</t>
        </r>
      </text>
    </comment>
  </commentList>
</comments>
</file>

<file path=xl/sharedStrings.xml><?xml version="1.0" encoding="utf-8"?>
<sst xmlns="http://schemas.openxmlformats.org/spreadsheetml/2006/main" count="230" uniqueCount="181">
  <si>
    <t>Putting NICE guidance into practice</t>
  </si>
  <si>
    <t>Specialty area</t>
  </si>
  <si>
    <t>Disease area</t>
  </si>
  <si>
    <t>Pathway position</t>
  </si>
  <si>
    <t>Provider</t>
  </si>
  <si>
    <t>Commissioner</t>
  </si>
  <si>
    <t>Programme budget category</t>
  </si>
  <si>
    <t>Inputs</t>
  </si>
  <si>
    <t>Consultant mid</t>
  </si>
  <si>
    <t>Band 7 Mid</t>
  </si>
  <si>
    <t>Band 8a Bottom</t>
  </si>
  <si>
    <t>Band 6 Mid</t>
  </si>
  <si>
    <t>Band 8a Mid</t>
  </si>
  <si>
    <t>Hourly rate</t>
  </si>
  <si>
    <t>Payscales</t>
  </si>
  <si>
    <t>Payscale required</t>
  </si>
  <si>
    <t xml:space="preserve">Non HCAS </t>
  </si>
  <si>
    <t>Employer NI threshold</t>
  </si>
  <si>
    <t>Employer NI contribution</t>
  </si>
  <si>
    <t>Employer Pension contribution</t>
  </si>
  <si>
    <t>Apprenticeship levy</t>
  </si>
  <si>
    <t>Pay award not included in pay scales</t>
  </si>
  <si>
    <t>Band</t>
  </si>
  <si>
    <t>Pay scale</t>
  </si>
  <si>
    <t>Pay award not included in current pay scales</t>
  </si>
  <si>
    <t>Adjusted pay</t>
  </si>
  <si>
    <t xml:space="preserve">Employers NI </t>
  </si>
  <si>
    <t xml:space="preserve">Apprenticeship levy </t>
  </si>
  <si>
    <t>Employer Pension</t>
  </si>
  <si>
    <t>Total salary cost incl. oncosts</t>
  </si>
  <si>
    <t>Enhancements Mon-Fri</t>
  </si>
  <si>
    <t>Enhancements Sun</t>
  </si>
  <si>
    <t>HCAS Inner</t>
  </si>
  <si>
    <t>HCAS Outer</t>
  </si>
  <si>
    <t>HCAS Fringe</t>
  </si>
  <si>
    <t>Band 2 Bottom</t>
  </si>
  <si>
    <t>Band 2 Top</t>
  </si>
  <si>
    <t>Non medical staffing</t>
  </si>
  <si>
    <t>Band 3 Bottom</t>
  </si>
  <si>
    <t>Day per year</t>
  </si>
  <si>
    <t>Band 3 Top</t>
  </si>
  <si>
    <t>HCAS inner</t>
  </si>
  <si>
    <t>Annual leave/bank holidays</t>
  </si>
  <si>
    <t>Band 4 Bottom</t>
  </si>
  <si>
    <t>HCAS outer</t>
  </si>
  <si>
    <t>Mandatory training</t>
  </si>
  <si>
    <t>Band 4 Top</t>
  </si>
  <si>
    <t>HCAS fringe</t>
  </si>
  <si>
    <t>Sickness at 4%</t>
  </si>
  <si>
    <t>Band 5 Bottom</t>
  </si>
  <si>
    <t>Band 5 Mid</t>
  </si>
  <si>
    <t>Annual hours per year</t>
  </si>
  <si>
    <t>Band 5 Top</t>
  </si>
  <si>
    <t>Band 6 Bottom</t>
  </si>
  <si>
    <t>Consultant</t>
  </si>
  <si>
    <t>Band 6 Top</t>
  </si>
  <si>
    <t>Weeks worked (net of annual leave/training leave)</t>
  </si>
  <si>
    <t>Band 7 Bottom</t>
  </si>
  <si>
    <t>Sessions worked per week (4 hour sessions)</t>
  </si>
  <si>
    <t>Band 7 Top</t>
  </si>
  <si>
    <t>Less SPA allowance (4 hour sessions)</t>
  </si>
  <si>
    <t>8A</t>
  </si>
  <si>
    <t>Hours of clinical work per year</t>
  </si>
  <si>
    <t>Band 8a Top</t>
  </si>
  <si>
    <t>8B</t>
  </si>
  <si>
    <t>Band 8b Bottom</t>
  </si>
  <si>
    <t>Band 8b Mid</t>
  </si>
  <si>
    <t>GP</t>
  </si>
  <si>
    <t>Band 8b Top</t>
  </si>
  <si>
    <t>Number of working weeks per year</t>
  </si>
  <si>
    <t>8C</t>
  </si>
  <si>
    <t>Band 8c Bottom</t>
  </si>
  <si>
    <t>Average working hours per week</t>
  </si>
  <si>
    <t>Band 8c Mid</t>
  </si>
  <si>
    <t>Total hours per year</t>
  </si>
  <si>
    <t>Band 8c Top</t>
  </si>
  <si>
    <t>% of direct patient care</t>
  </si>
  <si>
    <t>8D</t>
  </si>
  <si>
    <t>Band 8d Bottom</t>
  </si>
  <si>
    <t>Number of hours of direct patient care</t>
  </si>
  <si>
    <t>Band 8d Mid</t>
  </si>
  <si>
    <t>Band 8d Top</t>
  </si>
  <si>
    <t>Band 9 Bottom</t>
  </si>
  <si>
    <t>Band 9 Mid</t>
  </si>
  <si>
    <t>Band 9 Top</t>
  </si>
  <si>
    <t>GP Bottom</t>
  </si>
  <si>
    <t>GP Mid</t>
  </si>
  <si>
    <t>Consultant bottom</t>
  </si>
  <si>
    <t>Consultant top</t>
  </si>
  <si>
    <t>Rate per hour</t>
  </si>
  <si>
    <t>Multiple specialities</t>
  </si>
  <si>
    <t>Leg ulcers</t>
  </si>
  <si>
    <t>Management</t>
  </si>
  <si>
    <t>Integrated care boards</t>
  </si>
  <si>
    <t>PBC14X: Problems of the Skin</t>
  </si>
  <si>
    <t>Introduction</t>
  </si>
  <si>
    <t>Commissioning and procurement</t>
  </si>
  <si>
    <t>What it means in practice</t>
  </si>
  <si>
    <t>Guidance implementation: Cost calculator</t>
  </si>
  <si>
    <t>User guide</t>
  </si>
  <si>
    <t>Cost calculator:</t>
  </si>
  <si>
    <t>Staff grade (use drop down menu to select grade)</t>
  </si>
  <si>
    <t>Cost ranking</t>
  </si>
  <si>
    <t>Number of weeks</t>
  </si>
  <si>
    <t>% of hours directly clinical (e.g. exclude admin time)</t>
  </si>
  <si>
    <t>Hours to calculate rate</t>
  </si>
  <si>
    <t>AfC Salary with 2025/26 pay award</t>
  </si>
  <si>
    <t>GP Top</t>
  </si>
  <si>
    <t>Payscales
(optional)</t>
  </si>
  <si>
    <t>Overview of worksheets and how to input data</t>
  </si>
  <si>
    <t>Cost calculator - input and decisions</t>
  </si>
  <si>
    <t>Summary of costs and cost ranking</t>
  </si>
  <si>
    <t>Select if a High Cost Allowance (HCAS) is used in your locality.  Options are non HCAS, HCAS inner, HCAS outer, HCAS fringe</t>
  </si>
  <si>
    <t>Annual working hours contracted</t>
  </si>
  <si>
    <t>Total overall cost of usage</t>
  </si>
  <si>
    <t>Compression products for treating venous leg ulcers:</t>
  </si>
  <si>
    <t>late-stage assessment</t>
  </si>
  <si>
    <t>Published: August 2025</t>
  </si>
  <si>
    <t>Total cost of compression products</t>
  </si>
  <si>
    <t>CW</t>
  </si>
  <si>
    <t>2LCB</t>
  </si>
  <si>
    <t>2LCH</t>
  </si>
  <si>
    <t>Type</t>
  </si>
  <si>
    <t>Staff time to change compression products (including travel time) 
(mins)</t>
  </si>
  <si>
    <t>The guidance recommends that when choosing compression products to treat venous leg ulcers, price variation for compression hosiery over compression bandaging is justified, provided that the hosiery is clinically appropriate and meets the needs and preferences of the person with a venous leg ulcer. Also, price variation for compression wraps over other compression products is not justified unless a compression wrap is the only suitable option.</t>
  </si>
  <si>
    <t>Number of visits per week</t>
  </si>
  <si>
    <t>Total cost</t>
  </si>
  <si>
    <t>Total staff cost</t>
  </si>
  <si>
    <t>Total cost of additional products</t>
  </si>
  <si>
    <t>Unit cost of additional product</t>
  </si>
  <si>
    <t>Unit cost of compression product</t>
  </si>
  <si>
    <t>Ranking</t>
  </si>
  <si>
    <t>Option cost</t>
  </si>
  <si>
    <t>Compression product name</t>
  </si>
  <si>
    <t xml:space="preserve">
Many factors can influence which type of compression product is best to treat a venous leg ulcer. Commissioners and procurement specialists should work with healthcare professionals to ensure access to a range of compression products</t>
  </si>
  <si>
    <t>Type and product description</t>
  </si>
  <si>
    <t xml:space="preserve">Activity data </t>
  </si>
  <si>
    <t>Staff costs</t>
  </si>
  <si>
    <t>Unit costs</t>
  </si>
  <si>
    <t>The overall resource impact of guidance on compression products for venous leg ulcers will depend on the cost per person for each treatment option. This is dependent on the effectiveness of those treatments in terms of healing rates and quality of life improvements for the person.</t>
  </si>
  <si>
    <t>Instructions</t>
  </si>
  <si>
    <t>4LCB</t>
  </si>
  <si>
    <t xml:space="preserve">This section takes account of the staffing costs to change the compression product.  Input:                                                                                                                                                                       
• number of visits per week to change the compression product                                                                                                                                                                                                                                                            • staff time to change compression product (including travel time)
• staff grade (selected using drop down menu). The hourly rate of pay is displayed automatically following selection of the pay band                                                                                                                                                                                                                                                                                    </t>
  </si>
  <si>
    <t>Providers should provide access to a range of compression products, including compression wraps, so that a product that is clinically appropriate and meets people’s needs and preferences is available for everyone with a venous leg ulcer. A healthcare professional and the person with the venous leg ulcer should decide together which compression product to use (see the NICE page on shared decision making). Decisions should take into account how the choice of compression product might affect the person’s quality of life, including:
•	ability to complete activities of daily living
•	adherence to the treatment regimen
•	physical health, including whether they can apply products themselves
•	mental health and wellbeing
•	relationships with others, including whether they have informal carer support at home</t>
  </si>
  <si>
    <t>This section takes account of the unit costs of the compression product. Input:                                                                                                                                                                       
• unit cost of the compression product
• unit cost of the additional product
On completion of this section the total compression product, costs, additional product costs and staff costs will be automatically calculated.</t>
  </si>
  <si>
    <t xml:space="preserve">2. Enter details in the blue cells of the compression products to be costed.  Add detail along the rows as required. </t>
  </si>
  <si>
    <t xml:space="preserve">3. Review the summary of costs and cost ranking table to ascertain the cheapest cost option modelled. </t>
  </si>
  <si>
    <t>Compression products used per week</t>
  </si>
  <si>
    <t>Total treatment cost</t>
  </si>
  <si>
    <t>Input and decisions tab
Type and product description</t>
  </si>
  <si>
    <t xml:space="preserve">Input and decisions tab 
Activity data </t>
  </si>
  <si>
    <t>Input and decisions tab 
Staff costs</t>
  </si>
  <si>
    <t>Input and decisions tab 
Unit costs</t>
  </si>
  <si>
    <t>Input and decisions tab 
Summary of costs and cost ranking (for information)</t>
  </si>
  <si>
    <t>Having completed the sections explained above, the total treatment cost for all the clinically appropriate compression products will be summarised in the Summary of costs and cost ranking table.
The option with a ranking of 1 will be the least expensive option taking into account considerations specified by the guidance recommendation 1.4.</t>
  </si>
  <si>
    <t>Background information</t>
  </si>
  <si>
    <t>Example product A</t>
  </si>
  <si>
    <r>
      <t>NICE has developed a cost calculator to help users</t>
    </r>
    <r>
      <rPr>
        <sz val="11"/>
        <color rgb="FFFF0000"/>
        <rFont val="Calibri"/>
        <family val="2"/>
        <scheme val="minor"/>
      </rPr>
      <t xml:space="preserve"> </t>
    </r>
    <r>
      <rPr>
        <sz val="11"/>
        <color theme="1"/>
        <rFont val="Calibri"/>
        <family val="2"/>
        <scheme val="minor"/>
      </rPr>
      <t>estimate the total overall usage cost of a product that is clinically appropriate and meets people’s needs and preferences. The total cost is split into 3 sections::total cost of the compression products, total cost of the additional products and staff costs to change the dressing. The sections below show how users should complete the cost calculator to estimate the treatment costs.</t>
    </r>
  </si>
  <si>
    <t>Week to</t>
  </si>
  <si>
    <t>Week starting from</t>
  </si>
  <si>
    <t>Additional products (enter in first row only if for duration of treatment)</t>
  </si>
  <si>
    <t>Number of people to be treated</t>
  </si>
  <si>
    <t>Total cost for number of people to be treated</t>
  </si>
  <si>
    <t>Treatment pathway</t>
  </si>
  <si>
    <t>Option 1</t>
  </si>
  <si>
    <t>Total number of weeks of treatment</t>
  </si>
  <si>
    <t>Option 2</t>
  </si>
  <si>
    <t>Option 3</t>
  </si>
  <si>
    <t>Option 4</t>
  </si>
  <si>
    <t>Option 5</t>
  </si>
  <si>
    <t>Treatment pathway option</t>
  </si>
  <si>
    <t>Total weeks</t>
  </si>
  <si>
    <t xml:space="preserve">To use section 1, for each option, first decide on the compression products that are clinically appropriate following discussions with the patient, then:                                                                                                                                                          
• use the dropdown menu option to select type of compression product. Different types of compression products can be selected and costed for each treatment option.
• enter the specific product description to be costed                                                                                                                                                                        
</t>
  </si>
  <si>
    <t xml:space="preserve">This section takes account of the time period and products used during the treatment period. For example, if 4LCB is to be used up to 4 weeks and if 2LCB is next to be used. This is repeated for the entire treatment duration. Input:                                                                                                                                                                                                                  • the number of weeks a compression product is to be used                                                                                                                                                                                            • the quantity of compression products used per week                                                                                                                                                                             
• the additional products used per week                                                                                                                                                                    </t>
  </si>
  <si>
    <t>In this worksheet, users can amend the % of direct patient care for the relevant pay band, within the payscales tab, to ensure the correct hourly cost is used.</t>
  </si>
  <si>
    <t xml:space="preserve">1. In the summary of costs and cost ranking table below, up to five options will be displayed.  This table summarises the inputs from the larger table blow.  The treatment option with a cost ranking of 1 has the least total overall cost of usage option. </t>
  </si>
  <si>
    <t xml:space="preserve"> A ranking of 5 indicates the most expensive amongst the five treatment options displayed.</t>
  </si>
  <si>
    <t>For compression wraps, the EAG assumed that one pair would last for 6 months. However, the EAG assumed that compression hosiery would last for 3 months rather than 6 months while the leg ulcer was unhealed</t>
  </si>
  <si>
    <t>For compression wraps and hosiery, users should input 1 week as treatment duration to cover for either 6 months or 3 months as appropriate.</t>
  </si>
  <si>
    <t>HTE32</t>
  </si>
  <si>
    <t>Primary care and Community services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</si>
</sst>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Red]\-&quot;£&quot;#,##0"/>
    <numFmt numFmtId="43" formatCode="_-* #,##0.00_-;\-* #,##0.00_-;_-* &quot;-&quot;??_-;_-@_-"/>
    <numFmt numFmtId="164" formatCode="&quot;£&quot;#,##0.00"/>
    <numFmt numFmtId="165" formatCode="&quot;£&quot;#,##0"/>
    <numFmt numFmtId="166" formatCode="_(* #,##0.00_);_(* \(#,##0.00\);_(* &quot;-&quot;??_);_(@_)"/>
    <numFmt numFmtId="167" formatCode="_(* #,##0_);_(* \(#,##0\);_(* &quot;-&quot;??_);_(@_)"/>
  </numFmts>
  <fonts count="53" x14ac:knownFonts="1">
    <font>
      <sz val="11"/>
      <color theme="1"/>
      <name val="Calibri"/>
      <family val="2"/>
      <scheme val="minor"/>
    </font>
    <font>
      <sz val="11"/>
      <color indexed="8"/>
      <name val="Calibri"/>
      <family val="2"/>
    </font>
    <font>
      <sz val="10"/>
      <name val="Arial"/>
      <family val="2"/>
    </font>
    <font>
      <u/>
      <sz val="10"/>
      <color indexed="12"/>
      <name val="Arial"/>
      <family val="2"/>
    </font>
    <font>
      <sz val="12"/>
      <name val="Arial"/>
      <family val="2"/>
    </font>
    <font>
      <sz val="8"/>
      <name val="Arial"/>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name val="Arial"/>
      <family val="2"/>
    </font>
    <font>
      <sz val="11"/>
      <color theme="1"/>
      <name val="Calibri"/>
      <family val="2"/>
      <scheme val="minor"/>
    </font>
    <font>
      <u/>
      <sz val="11"/>
      <color theme="10"/>
      <name val="Calibri"/>
      <family val="2"/>
    </font>
    <font>
      <sz val="10"/>
      <name val="MS Sans Serif"/>
      <family val="2"/>
    </font>
    <font>
      <u/>
      <sz val="10"/>
      <color indexed="12"/>
      <name val="MS Sans Serif"/>
      <family val="2"/>
    </font>
    <font>
      <sz val="11"/>
      <color rgb="FF000000"/>
      <name val="Calibri"/>
      <family val="2"/>
    </font>
    <font>
      <sz val="11"/>
      <color theme="0"/>
      <name val="Calibri"/>
      <family val="2"/>
      <scheme val="minor"/>
    </font>
    <font>
      <b/>
      <sz val="16"/>
      <color theme="0"/>
      <name val="Arial"/>
      <family val="2"/>
    </font>
    <font>
      <b/>
      <sz val="11"/>
      <color theme="1"/>
      <name val="Calibri"/>
      <family val="2"/>
      <scheme val="minor"/>
    </font>
    <font>
      <sz val="11"/>
      <name val="Calibri"/>
      <family val="2"/>
      <scheme val="minor"/>
    </font>
    <font>
      <b/>
      <sz val="11"/>
      <name val="Calibri"/>
      <family val="2"/>
      <scheme val="minor"/>
    </font>
    <font>
      <sz val="24"/>
      <color theme="0"/>
      <name val="Calibri"/>
      <family val="2"/>
      <scheme val="minor"/>
    </font>
    <font>
      <b/>
      <sz val="20"/>
      <color theme="1"/>
      <name val="Calibri"/>
      <family val="2"/>
      <scheme val="minor"/>
    </font>
    <font>
      <b/>
      <sz val="24"/>
      <color theme="1"/>
      <name val="Calibri"/>
      <family val="2"/>
      <scheme val="minor"/>
    </font>
    <font>
      <sz val="24"/>
      <color theme="1"/>
      <name val="Calibri"/>
      <family val="2"/>
      <scheme val="minor"/>
    </font>
    <font>
      <b/>
      <sz val="24"/>
      <color rgb="FF000000"/>
      <name val="Calibri"/>
      <family val="2"/>
      <scheme val="minor"/>
    </font>
    <font>
      <b/>
      <sz val="11"/>
      <color theme="1"/>
      <name val="Aptos Narrow"/>
      <family val="2"/>
    </font>
    <font>
      <b/>
      <sz val="11"/>
      <name val="Aptos Narrow"/>
      <family val="2"/>
    </font>
    <font>
      <sz val="10"/>
      <color rgb="FF000000"/>
      <name val="Arial"/>
      <family val="2"/>
    </font>
    <font>
      <b/>
      <sz val="12"/>
      <color theme="1"/>
      <name val="Calibri"/>
      <family val="2"/>
      <scheme val="minor"/>
    </font>
    <font>
      <b/>
      <sz val="10"/>
      <color theme="1" tint="0.14996795556505021"/>
      <name val="Arial"/>
      <family val="2"/>
    </font>
    <font>
      <b/>
      <sz val="20"/>
      <name val="Calibri"/>
      <family val="2"/>
      <scheme val="minor"/>
    </font>
    <font>
      <sz val="11"/>
      <color rgb="FFFF0000"/>
      <name val="Calibri"/>
      <family val="2"/>
      <scheme val="minor"/>
    </font>
    <font>
      <sz val="14"/>
      <color theme="1"/>
      <name val="Arial"/>
      <family val="2"/>
    </font>
    <font>
      <b/>
      <sz val="9"/>
      <color indexed="81"/>
      <name val="Tahoma"/>
      <family val="2"/>
    </font>
    <font>
      <sz val="9"/>
      <color indexed="81"/>
      <name val="Tahoma"/>
      <family val="2"/>
    </font>
    <font>
      <sz val="11"/>
      <name val="Arial"/>
      <family val="2"/>
    </font>
    <font>
      <b/>
      <u/>
      <sz val="11"/>
      <name val="Arial"/>
      <family val="2"/>
    </font>
    <font>
      <b/>
      <sz val="11"/>
      <color theme="0"/>
      <name val="Calibri"/>
      <family val="2"/>
      <scheme val="minor"/>
    </font>
    <font>
      <b/>
      <sz val="12"/>
      <color theme="0"/>
      <name val="Calibri"/>
      <family val="2"/>
      <scheme val="minor"/>
    </font>
    <font>
      <b/>
      <sz val="11"/>
      <color theme="1"/>
      <name val="Arial"/>
      <family val="2"/>
    </font>
  </fonts>
  <fills count="3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tint="-0.14999847407452621"/>
        <bgColor indexed="64"/>
      </patternFill>
    </fill>
    <fill>
      <patternFill patternType="solid">
        <fgColor theme="8" tint="-0.499984740745262"/>
        <bgColor indexed="64"/>
      </patternFill>
    </fill>
    <fill>
      <patternFill patternType="solid">
        <fgColor theme="8" tint="0.59999389629810485"/>
        <bgColor indexed="64"/>
      </patternFill>
    </fill>
    <fill>
      <patternFill patternType="solid">
        <fgColor rgb="FF92D050"/>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rgb="FFFFFFFF"/>
        <bgColor indexed="64"/>
      </patternFill>
    </fill>
    <fill>
      <patternFill patternType="solid">
        <fgColor rgb="FF18646E"/>
        <bgColor indexed="64"/>
      </patternFill>
    </fill>
  </fills>
  <borders count="4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right/>
      <top/>
      <bottom style="medium">
        <color indexed="30"/>
      </bottom>
      <diagonal/>
    </border>
    <border>
      <left style="thin">
        <color auto="1"/>
      </left>
      <right style="medium">
        <color auto="1"/>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64"/>
      </top>
      <bottom/>
      <diagonal/>
    </border>
    <border>
      <left style="thin">
        <color indexed="64"/>
      </left>
      <right style="medium">
        <color indexed="64"/>
      </right>
      <top style="thin">
        <color indexed="64"/>
      </top>
      <bottom style="thin">
        <color indexed="64"/>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right style="thin">
        <color indexed="64"/>
      </right>
      <top style="medium">
        <color indexed="64"/>
      </top>
      <bottom style="medium">
        <color indexed="64"/>
      </bottom>
      <diagonal/>
    </border>
    <border>
      <left style="thin">
        <color indexed="64"/>
      </left>
      <right style="thin">
        <color indexed="64"/>
      </right>
      <top/>
      <bottom/>
      <diagonal/>
    </border>
    <border>
      <left/>
      <right/>
      <top style="thin">
        <color auto="1"/>
      </top>
      <bottom/>
      <diagonal/>
    </border>
    <border>
      <left/>
      <right style="thin">
        <color indexed="64"/>
      </right>
      <top style="thin">
        <color auto="1"/>
      </top>
      <bottom/>
      <diagonal/>
    </border>
  </borders>
  <cellStyleXfs count="112">
    <xf numFmtId="0" fontId="0" fillId="0" borderId="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5" fillId="0" borderId="0"/>
    <xf numFmtId="0" fontId="7" fillId="3" borderId="0" applyNumberFormat="0" applyBorder="0" applyAlignment="0" applyProtection="0"/>
    <xf numFmtId="0" fontId="7" fillId="3" borderId="0" applyNumberFormat="0" applyBorder="0" applyAlignment="0" applyProtection="0"/>
    <xf numFmtId="0" fontId="8" fillId="20" borderId="1" applyNumberFormat="0" applyAlignment="0" applyProtection="0"/>
    <xf numFmtId="0" fontId="8" fillId="20" borderId="1" applyNumberFormat="0" applyAlignment="0" applyProtection="0"/>
    <xf numFmtId="0" fontId="9" fillId="21" borderId="2" applyNumberFormat="0" applyAlignment="0" applyProtection="0"/>
    <xf numFmtId="0" fontId="9" fillId="21" borderId="2" applyNumberFormat="0" applyAlignment="0" applyProtection="0"/>
    <xf numFmtId="43" fontId="2" fillId="0" borderId="0" applyFont="0" applyFill="0" applyBorder="0" applyAlignment="0" applyProtection="0"/>
    <xf numFmtId="43" fontId="2" fillId="0" borderId="0" applyFont="0" applyFill="0" applyBorder="0" applyAlignment="0" applyProtection="0"/>
    <xf numFmtId="166" fontId="23" fillId="0" borderId="0" applyFon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1" fillId="4" borderId="0" applyNumberFormat="0" applyBorder="0" applyAlignment="0" applyProtection="0"/>
    <xf numFmtId="0" fontId="11" fillId="4" borderId="0" applyNumberFormat="0" applyBorder="0" applyAlignment="0" applyProtection="0"/>
    <xf numFmtId="0" fontId="12" fillId="0" borderId="3" applyNumberFormat="0" applyFill="0" applyAlignment="0" applyProtection="0"/>
    <xf numFmtId="0" fontId="12" fillId="0" borderId="3" applyNumberFormat="0" applyFill="0" applyAlignment="0" applyProtection="0"/>
    <xf numFmtId="0" fontId="13" fillId="0" borderId="4" applyNumberFormat="0" applyFill="0" applyAlignment="0" applyProtection="0"/>
    <xf numFmtId="0" fontId="13" fillId="0" borderId="4" applyNumberFormat="0" applyFill="0" applyAlignment="0" applyProtection="0"/>
    <xf numFmtId="0" fontId="14" fillId="0" borderId="5" applyNumberFormat="0" applyFill="0" applyAlignment="0" applyProtection="0"/>
    <xf numFmtId="0" fontId="14" fillId="0" borderId="5" applyNumberFormat="0" applyFill="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24" fillId="0" borderId="0" applyNumberFormat="0" applyFill="0" applyBorder="0" applyAlignment="0" applyProtection="0">
      <alignment vertical="top"/>
      <protection locked="0"/>
    </xf>
    <xf numFmtId="0" fontId="15" fillId="7" borderId="1" applyNumberFormat="0" applyAlignment="0" applyProtection="0"/>
    <xf numFmtId="0" fontId="15" fillId="7" borderId="1" applyNumberFormat="0" applyAlignment="0" applyProtection="0"/>
    <xf numFmtId="0" fontId="16" fillId="0" borderId="6" applyNumberFormat="0" applyFill="0" applyAlignment="0" applyProtection="0"/>
    <xf numFmtId="0" fontId="16" fillId="0" borderId="6" applyNumberFormat="0" applyFill="0" applyAlignment="0" applyProtection="0"/>
    <xf numFmtId="0" fontId="17" fillId="22" borderId="0" applyNumberFormat="0" applyBorder="0" applyAlignment="0" applyProtection="0"/>
    <xf numFmtId="0" fontId="17" fillId="22" borderId="0" applyNumberFormat="0" applyBorder="0" applyAlignment="0" applyProtection="0"/>
    <xf numFmtId="0" fontId="2" fillId="0" borderId="0"/>
    <xf numFmtId="0" fontId="2" fillId="0" borderId="0"/>
    <xf numFmtId="0" fontId="2" fillId="0" borderId="0"/>
    <xf numFmtId="0" fontId="2" fillId="0" borderId="0"/>
    <xf numFmtId="0" fontId="22" fillId="0" borderId="0"/>
    <xf numFmtId="0" fontId="1" fillId="23" borderId="7" applyNumberFormat="0" applyFont="0" applyAlignment="0" applyProtection="0"/>
    <xf numFmtId="0" fontId="1" fillId="23" borderId="7" applyNumberFormat="0" applyFont="0" applyAlignment="0" applyProtection="0"/>
    <xf numFmtId="0" fontId="18" fillId="20" borderId="8" applyNumberFormat="0" applyAlignment="0" applyProtection="0"/>
    <xf numFmtId="0" fontId="18" fillId="20" borderId="8" applyNumberFormat="0" applyAlignment="0" applyProtection="0"/>
    <xf numFmtId="9" fontId="23"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20" fillId="0" borderId="9" applyNumberFormat="0" applyFill="0" applyAlignment="0" applyProtection="0"/>
    <xf numFmtId="0" fontId="20" fillId="0" borderId="9" applyNumberFormat="0" applyFill="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 fillId="0" borderId="0"/>
    <xf numFmtId="0" fontId="26" fillId="0" borderId="0" applyNumberFormat="0" applyFill="0" applyBorder="0" applyAlignment="0" applyProtection="0"/>
    <xf numFmtId="0" fontId="24" fillId="0" borderId="0" applyNumberFormat="0" applyFill="0" applyBorder="0" applyAlignment="0" applyProtection="0">
      <alignment vertical="top"/>
      <protection locked="0"/>
    </xf>
    <xf numFmtId="0" fontId="4" fillId="0" borderId="0"/>
    <xf numFmtId="0" fontId="25" fillId="0" borderId="0"/>
    <xf numFmtId="0" fontId="27" fillId="0" borderId="0"/>
    <xf numFmtId="0" fontId="14" fillId="0" borderId="25" applyNumberFormat="0" applyFill="0" applyAlignment="0" applyProtection="0"/>
    <xf numFmtId="0" fontId="14" fillId="0" borderId="25" applyNumberFormat="0" applyFill="0" applyAlignment="0" applyProtection="0"/>
    <xf numFmtId="0" fontId="23" fillId="0" borderId="0"/>
    <xf numFmtId="0" fontId="2" fillId="0" borderId="0"/>
    <xf numFmtId="0" fontId="40" fillId="0" borderId="0"/>
    <xf numFmtId="3" fontId="2" fillId="28" borderId="0" applyBorder="0">
      <alignment horizontal="center" vertical="center"/>
    </xf>
    <xf numFmtId="164" fontId="2" fillId="28" borderId="0" applyBorder="0">
      <alignment horizontal="center" vertical="center"/>
    </xf>
    <xf numFmtId="0" fontId="42" fillId="29" borderId="0" applyBorder="0">
      <alignment horizontal="center" vertical="center"/>
    </xf>
  </cellStyleXfs>
  <cellXfs count="176">
    <xf numFmtId="0" fontId="0" fillId="0" borderId="0" xfId="0"/>
    <xf numFmtId="0" fontId="29" fillId="0" borderId="0" xfId="0" applyFont="1" applyAlignment="1">
      <alignment vertical="center"/>
    </xf>
    <xf numFmtId="0" fontId="0" fillId="0" borderId="11" xfId="0" applyBorder="1"/>
    <xf numFmtId="0" fontId="29" fillId="25" borderId="19" xfId="0" applyFont="1" applyFill="1" applyBorder="1" applyAlignment="1">
      <alignment horizontal="center" vertical="center"/>
    </xf>
    <xf numFmtId="0" fontId="29" fillId="25" borderId="19" xfId="0" applyFont="1" applyFill="1" applyBorder="1" applyAlignment="1">
      <alignment horizontal="left" vertical="center"/>
    </xf>
    <xf numFmtId="0" fontId="0" fillId="0" borderId="20" xfId="0" applyBorder="1"/>
    <xf numFmtId="0" fontId="0" fillId="0" borderId="17" xfId="0" applyBorder="1"/>
    <xf numFmtId="0" fontId="0" fillId="0" borderId="14" xfId="0" applyBorder="1"/>
    <xf numFmtId="0" fontId="0" fillId="0" borderId="22" xfId="0" applyBorder="1"/>
    <xf numFmtId="0" fontId="0" fillId="0" borderId="10" xfId="0" applyBorder="1"/>
    <xf numFmtId="0" fontId="0" fillId="0" borderId="21" xfId="0" applyBorder="1"/>
    <xf numFmtId="0" fontId="0" fillId="0" borderId="13" xfId="0" applyBorder="1"/>
    <xf numFmtId="0" fontId="28" fillId="25" borderId="0" xfId="0" applyFont="1" applyFill="1"/>
    <xf numFmtId="0" fontId="33" fillId="25" borderId="0" xfId="0" applyFont="1" applyFill="1"/>
    <xf numFmtId="0" fontId="34" fillId="0" borderId="0" xfId="0" applyFont="1"/>
    <xf numFmtId="0" fontId="36" fillId="0" borderId="0" xfId="0" applyFont="1"/>
    <xf numFmtId="3" fontId="0" fillId="0" borderId="0" xfId="0" applyNumberFormat="1"/>
    <xf numFmtId="0" fontId="0" fillId="0" borderId="29" xfId="0" applyBorder="1"/>
    <xf numFmtId="0" fontId="37" fillId="0" borderId="0" xfId="0" applyFont="1" applyAlignment="1">
      <alignment vertical="center"/>
    </xf>
    <xf numFmtId="3" fontId="30" fillId="0" borderId="0" xfId="0" applyNumberFormat="1" applyFont="1"/>
    <xf numFmtId="3" fontId="0" fillId="0" borderId="0" xfId="0" applyNumberFormat="1" applyAlignment="1">
      <alignment horizontal="right"/>
    </xf>
    <xf numFmtId="9" fontId="0" fillId="0" borderId="11" xfId="0" applyNumberFormat="1" applyBorder="1"/>
    <xf numFmtId="9" fontId="23" fillId="0" borderId="11" xfId="89" applyFont="1" applyFill="1" applyBorder="1" applyAlignment="1" applyProtection="1">
      <alignment horizontal="right" vertical="center"/>
      <protection locked="0"/>
    </xf>
    <xf numFmtId="167" fontId="31" fillId="0" borderId="11" xfId="56" applyNumberFormat="1" applyFont="1" applyFill="1" applyBorder="1" applyProtection="1"/>
    <xf numFmtId="0" fontId="0" fillId="0" borderId="28" xfId="0" applyBorder="1"/>
    <xf numFmtId="0" fontId="0" fillId="0" borderId="23" xfId="0" applyBorder="1" applyAlignment="1">
      <alignment horizontal="center"/>
    </xf>
    <xf numFmtId="0" fontId="0" fillId="0" borderId="27" xfId="0" applyBorder="1" applyAlignment="1">
      <alignment horizontal="center"/>
    </xf>
    <xf numFmtId="167" fontId="32" fillId="0" borderId="14" xfId="80" applyNumberFormat="1" applyFont="1" applyBorder="1"/>
    <xf numFmtId="167" fontId="31" fillId="0" borderId="14" xfId="80" applyNumberFormat="1" applyFont="1" applyBorder="1"/>
    <xf numFmtId="0" fontId="35" fillId="0" borderId="0" xfId="0" applyFont="1"/>
    <xf numFmtId="9" fontId="0" fillId="0" borderId="30" xfId="0" applyNumberFormat="1" applyBorder="1"/>
    <xf numFmtId="9" fontId="23" fillId="0" borderId="30" xfId="89" applyFont="1" applyFill="1" applyBorder="1" applyAlignment="1" applyProtection="1">
      <alignment horizontal="right" vertical="center"/>
      <protection locked="0"/>
    </xf>
    <xf numFmtId="9" fontId="23" fillId="0" borderId="28" xfId="89" applyFont="1" applyFill="1" applyBorder="1" applyAlignment="1" applyProtection="1">
      <alignment horizontal="right" vertical="center"/>
      <protection locked="0"/>
    </xf>
    <xf numFmtId="9" fontId="23" fillId="0" borderId="26" xfId="89" applyFont="1" applyFill="1" applyBorder="1" applyAlignment="1" applyProtection="1">
      <alignment horizontal="right" vertical="center"/>
      <protection locked="0"/>
    </xf>
    <xf numFmtId="0" fontId="29" fillId="25" borderId="0" xfId="0" applyFont="1" applyFill="1" applyAlignment="1">
      <alignment vertical="center"/>
    </xf>
    <xf numFmtId="0" fontId="38" fillId="24" borderId="32" xfId="0" applyFont="1" applyFill="1" applyBorder="1" applyAlignment="1">
      <alignment horizontal="center" vertical="center"/>
    </xf>
    <xf numFmtId="0" fontId="29" fillId="24" borderId="31" xfId="0" applyFont="1" applyFill="1" applyBorder="1" applyAlignment="1">
      <alignment vertical="center"/>
    </xf>
    <xf numFmtId="167" fontId="31" fillId="0" borderId="23" xfId="56" applyNumberFormat="1" applyFont="1" applyFill="1" applyBorder="1" applyProtection="1"/>
    <xf numFmtId="0" fontId="39" fillId="0" borderId="0" xfId="0" applyFont="1" applyAlignment="1">
      <alignment vertical="center"/>
    </xf>
    <xf numFmtId="167" fontId="31" fillId="0" borderId="27" xfId="56" applyNumberFormat="1" applyFont="1" applyFill="1" applyBorder="1" applyProtection="1"/>
    <xf numFmtId="167" fontId="0" fillId="0" borderId="0" xfId="0" applyNumberFormat="1"/>
    <xf numFmtId="43" fontId="0" fillId="0" borderId="0" xfId="0" applyNumberFormat="1"/>
    <xf numFmtId="0" fontId="30" fillId="24" borderId="33" xfId="0" applyFont="1" applyFill="1" applyBorder="1" applyAlignment="1">
      <alignment horizontal="center"/>
    </xf>
    <xf numFmtId="0" fontId="30" fillId="24" borderId="34" xfId="80" applyFont="1" applyFill="1" applyBorder="1" applyAlignment="1">
      <alignment horizontal="center"/>
    </xf>
    <xf numFmtId="0" fontId="30" fillId="24" borderId="34" xfId="107" applyFont="1" applyFill="1" applyBorder="1" applyAlignment="1">
      <alignment horizontal="center" wrapText="1"/>
    </xf>
    <xf numFmtId="3" fontId="30" fillId="24" borderId="34" xfId="107" applyNumberFormat="1" applyFont="1" applyFill="1" applyBorder="1" applyAlignment="1">
      <alignment horizontal="center" wrapText="1"/>
    </xf>
    <xf numFmtId="0" fontId="30" fillId="24" borderId="35" xfId="107" applyFont="1" applyFill="1" applyBorder="1" applyAlignment="1">
      <alignment horizontal="center" wrapText="1"/>
    </xf>
    <xf numFmtId="0" fontId="30" fillId="24" borderId="33" xfId="0" applyFont="1" applyFill="1" applyBorder="1" applyAlignment="1">
      <alignment horizontal="center" wrapText="1"/>
    </xf>
    <xf numFmtId="0" fontId="30" fillId="27" borderId="34" xfId="0" applyFont="1" applyFill="1" applyBorder="1" applyAlignment="1">
      <alignment horizontal="center" wrapText="1"/>
    </xf>
    <xf numFmtId="0" fontId="30" fillId="24" borderId="34" xfId="0" applyFont="1" applyFill="1" applyBorder="1" applyAlignment="1">
      <alignment horizontal="center" wrapText="1"/>
    </xf>
    <xf numFmtId="0" fontId="30" fillId="24" borderId="35" xfId="0" applyFont="1" applyFill="1" applyBorder="1" applyAlignment="1">
      <alignment horizontal="center" wrapText="1"/>
    </xf>
    <xf numFmtId="0" fontId="0" fillId="0" borderId="36" xfId="0" applyBorder="1" applyAlignment="1">
      <alignment horizontal="center"/>
    </xf>
    <xf numFmtId="167" fontId="31" fillId="0" borderId="18" xfId="56" applyNumberFormat="1" applyFont="1" applyFill="1" applyBorder="1" applyProtection="1"/>
    <xf numFmtId="9" fontId="0" fillId="0" borderId="18" xfId="0" applyNumberFormat="1" applyBorder="1"/>
    <xf numFmtId="9" fontId="0" fillId="0" borderId="24" xfId="0" applyNumberFormat="1" applyBorder="1"/>
    <xf numFmtId="0" fontId="0" fillId="0" borderId="37" xfId="0" applyBorder="1" applyAlignment="1">
      <alignment horizontal="center"/>
    </xf>
    <xf numFmtId="0" fontId="0" fillId="0" borderId="15" xfId="0" applyBorder="1"/>
    <xf numFmtId="167" fontId="31" fillId="26" borderId="30" xfId="56" applyNumberFormat="1" applyFont="1" applyFill="1" applyBorder="1" applyAlignment="1" applyProtection="1">
      <alignment horizontal="right"/>
    </xf>
    <xf numFmtId="167" fontId="31" fillId="26" borderId="30" xfId="56" applyNumberFormat="1" applyFont="1" applyFill="1" applyBorder="1" applyProtection="1"/>
    <xf numFmtId="10" fontId="31" fillId="26" borderId="30" xfId="89" applyNumberFormat="1" applyFont="1" applyFill="1" applyBorder="1" applyProtection="1"/>
    <xf numFmtId="10" fontId="31" fillId="26" borderId="26" xfId="89" applyNumberFormat="1" applyFont="1" applyFill="1" applyBorder="1" applyProtection="1"/>
    <xf numFmtId="0" fontId="30" fillId="0" borderId="0" xfId="0" applyFont="1" applyAlignment="1">
      <alignment horizontal="center"/>
    </xf>
    <xf numFmtId="0" fontId="0" fillId="0" borderId="16" xfId="0" applyBorder="1" applyAlignment="1">
      <alignment vertical="center"/>
    </xf>
    <xf numFmtId="0" fontId="0" fillId="0" borderId="0" xfId="0" applyAlignment="1">
      <alignment vertical="center"/>
    </xf>
    <xf numFmtId="0" fontId="0" fillId="0" borderId="0" xfId="0" applyAlignment="1">
      <alignment vertical="center" wrapText="1"/>
    </xf>
    <xf numFmtId="0" fontId="0" fillId="0" borderId="0" xfId="0" applyAlignment="1">
      <alignment horizontal="center" vertical="center"/>
    </xf>
    <xf numFmtId="0" fontId="30" fillId="0" borderId="14" xfId="0" applyFont="1" applyBorder="1" applyAlignment="1">
      <alignment horizontal="center"/>
    </xf>
    <xf numFmtId="0" fontId="0" fillId="0" borderId="11" xfId="0" applyBorder="1" applyAlignment="1">
      <alignment vertical="center" wrapText="1"/>
    </xf>
    <xf numFmtId="0" fontId="0" fillId="0" borderId="20" xfId="0" applyBorder="1" applyAlignment="1">
      <alignment vertical="center"/>
    </xf>
    <xf numFmtId="0" fontId="0" fillId="0" borderId="21" xfId="0" applyBorder="1" applyAlignment="1">
      <alignment vertical="center"/>
    </xf>
    <xf numFmtId="0" fontId="0" fillId="0" borderId="12" xfId="0" applyBorder="1" applyAlignment="1">
      <alignment vertical="center"/>
    </xf>
    <xf numFmtId="0" fontId="0" fillId="26" borderId="0" xfId="0" applyFill="1"/>
    <xf numFmtId="9" fontId="0" fillId="26" borderId="0" xfId="0" applyNumberFormat="1" applyFill="1"/>
    <xf numFmtId="0" fontId="30" fillId="24" borderId="38" xfId="0" applyFont="1" applyFill="1" applyBorder="1" applyAlignment="1">
      <alignment horizontal="center" wrapText="1"/>
    </xf>
    <xf numFmtId="165" fontId="31" fillId="0" borderId="18" xfId="80" applyNumberFormat="1" applyFont="1" applyBorder="1"/>
    <xf numFmtId="165" fontId="31" fillId="0" borderId="18" xfId="80" applyNumberFormat="1" applyFont="1" applyBorder="1" applyAlignment="1">
      <alignment horizontal="right"/>
    </xf>
    <xf numFmtId="165" fontId="31" fillId="0" borderId="24" xfId="80" applyNumberFormat="1" applyFont="1" applyBorder="1"/>
    <xf numFmtId="165" fontId="31" fillId="0" borderId="11" xfId="80" applyNumberFormat="1" applyFont="1" applyBorder="1"/>
    <xf numFmtId="165" fontId="31" fillId="0" borderId="11" xfId="80" applyNumberFormat="1" applyFont="1" applyBorder="1" applyAlignment="1">
      <alignment horizontal="right"/>
    </xf>
    <xf numFmtId="165" fontId="31" fillId="0" borderId="15" xfId="80" applyNumberFormat="1" applyFont="1" applyBorder="1"/>
    <xf numFmtId="165" fontId="31" fillId="0" borderId="28" xfId="80" applyNumberFormat="1" applyFont="1" applyBorder="1"/>
    <xf numFmtId="165" fontId="31" fillId="0" borderId="28" xfId="80" applyNumberFormat="1" applyFont="1" applyBorder="1" applyAlignment="1">
      <alignment horizontal="right"/>
    </xf>
    <xf numFmtId="165" fontId="31" fillId="0" borderId="26" xfId="80" applyNumberFormat="1" applyFont="1" applyBorder="1"/>
    <xf numFmtId="3" fontId="0" fillId="26" borderId="18" xfId="0" applyNumberFormat="1" applyFill="1" applyBorder="1" applyProtection="1">
      <protection locked="0"/>
    </xf>
    <xf numFmtId="9" fontId="0" fillId="26" borderId="18" xfId="89" applyFont="1" applyFill="1" applyBorder="1" applyProtection="1">
      <protection locked="0"/>
    </xf>
    <xf numFmtId="3" fontId="0" fillId="26" borderId="11" xfId="0" applyNumberFormat="1" applyFill="1" applyBorder="1" applyProtection="1">
      <protection locked="0"/>
    </xf>
    <xf numFmtId="3" fontId="0" fillId="26" borderId="28" xfId="0" applyNumberFormat="1" applyFill="1" applyBorder="1" applyProtection="1">
      <protection locked="0"/>
    </xf>
    <xf numFmtId="9" fontId="0" fillId="26" borderId="28" xfId="89" applyFont="1" applyFill="1" applyBorder="1" applyProtection="1">
      <protection locked="0"/>
    </xf>
    <xf numFmtId="0" fontId="30" fillId="26" borderId="11" xfId="0" applyFont="1" applyFill="1" applyBorder="1" applyAlignment="1">
      <alignment horizontal="center" vertical="center" wrapText="1"/>
    </xf>
    <xf numFmtId="0" fontId="43" fillId="24" borderId="19" xfId="0" applyFont="1" applyFill="1" applyBorder="1" applyAlignment="1">
      <alignment horizontal="left"/>
    </xf>
    <xf numFmtId="0" fontId="31" fillId="24" borderId="19" xfId="0" applyFont="1" applyFill="1" applyBorder="1"/>
    <xf numFmtId="0" fontId="31" fillId="24" borderId="12" xfId="0" applyFont="1" applyFill="1" applyBorder="1" applyAlignment="1">
      <alignment horizontal="center" vertical="center"/>
    </xf>
    <xf numFmtId="0" fontId="32" fillId="24" borderId="16" xfId="0" applyFont="1" applyFill="1" applyBorder="1" applyAlignment="1">
      <alignment horizontal="center" vertical="center" wrapText="1"/>
    </xf>
    <xf numFmtId="164" fontId="0" fillId="0" borderId="10" xfId="0" applyNumberFormat="1" applyBorder="1" applyAlignment="1">
      <alignment horizontal="center"/>
    </xf>
    <xf numFmtId="0" fontId="0" fillId="0" borderId="11" xfId="0" applyBorder="1" applyAlignment="1">
      <alignment horizontal="left" vertical="center" wrapText="1"/>
    </xf>
    <xf numFmtId="0" fontId="0" fillId="0" borderId="39" xfId="0" applyBorder="1"/>
    <xf numFmtId="164" fontId="41" fillId="0" borderId="0" xfId="0" applyNumberFormat="1" applyFont="1"/>
    <xf numFmtId="164" fontId="0" fillId="0" borderId="18" xfId="0" applyNumberFormat="1" applyBorder="1" applyAlignment="1">
      <alignment horizontal="right" vertical="center"/>
    </xf>
    <xf numFmtId="164" fontId="0" fillId="0" borderId="28" xfId="0" applyNumberFormat="1" applyBorder="1" applyAlignment="1">
      <alignment horizontal="right" vertical="center"/>
    </xf>
    <xf numFmtId="0" fontId="0" fillId="0" borderId="40" xfId="0" applyBorder="1"/>
    <xf numFmtId="0" fontId="0" fillId="0" borderId="41" xfId="0" applyBorder="1"/>
    <xf numFmtId="0" fontId="30" fillId="0" borderId="40" xfId="0" applyFont="1" applyBorder="1" applyAlignment="1">
      <alignment horizontal="right"/>
    </xf>
    <xf numFmtId="0" fontId="48" fillId="0" borderId="0" xfId="0" applyFont="1" applyAlignment="1">
      <alignment horizontal="left" vertical="center"/>
    </xf>
    <xf numFmtId="6" fontId="0" fillId="0" borderId="11" xfId="0" applyNumberFormat="1" applyBorder="1"/>
    <xf numFmtId="164" fontId="0" fillId="0" borderId="11" xfId="0" applyNumberFormat="1" applyBorder="1"/>
    <xf numFmtId="6" fontId="0" fillId="0" borderId="0" xfId="0" applyNumberFormat="1"/>
    <xf numFmtId="6" fontId="30" fillId="0" borderId="0" xfId="0" applyNumberFormat="1" applyFont="1"/>
    <xf numFmtId="164" fontId="30" fillId="0" borderId="0" xfId="0" applyNumberFormat="1" applyFont="1" applyAlignment="1">
      <alignment horizontal="right"/>
    </xf>
    <xf numFmtId="6" fontId="30" fillId="0" borderId="11" xfId="0" applyNumberFormat="1" applyFont="1" applyBorder="1"/>
    <xf numFmtId="0" fontId="30" fillId="24" borderId="11" xfId="0" applyFont="1" applyFill="1" applyBorder="1" applyAlignment="1">
      <alignment wrapText="1"/>
    </xf>
    <xf numFmtId="0" fontId="0" fillId="0" borderId="0" xfId="0" applyAlignment="1">
      <alignment horizontal="center"/>
    </xf>
    <xf numFmtId="0" fontId="30" fillId="0" borderId="0" xfId="0" applyFont="1" applyAlignment="1">
      <alignment horizontal="center" vertical="center"/>
    </xf>
    <xf numFmtId="6" fontId="0" fillId="0" borderId="39" xfId="0" applyNumberFormat="1" applyBorder="1"/>
    <xf numFmtId="0" fontId="31" fillId="0" borderId="0" xfId="0" applyFont="1"/>
    <xf numFmtId="0" fontId="31" fillId="0" borderId="39" xfId="0" applyFont="1" applyBorder="1"/>
    <xf numFmtId="0" fontId="30" fillId="0" borderId="0" xfId="0" applyFont="1"/>
    <xf numFmtId="0" fontId="30" fillId="0" borderId="0" xfId="0" applyFont="1" applyAlignment="1">
      <alignment wrapText="1"/>
    </xf>
    <xf numFmtId="3" fontId="30" fillId="0" borderId="0" xfId="0" applyNumberFormat="1" applyFont="1" applyAlignment="1">
      <alignment horizontal="center" wrapText="1"/>
    </xf>
    <xf numFmtId="0" fontId="30" fillId="0" borderId="0" xfId="0" applyFont="1" applyAlignment="1">
      <alignment horizontal="right" wrapText="1"/>
    </xf>
    <xf numFmtId="0" fontId="31" fillId="0" borderId="15" xfId="0" applyFont="1" applyBorder="1"/>
    <xf numFmtId="6" fontId="31" fillId="0" borderId="39" xfId="0" applyNumberFormat="1" applyFont="1" applyBorder="1"/>
    <xf numFmtId="0" fontId="0" fillId="26" borderId="11" xfId="0" applyFill="1" applyBorder="1" applyProtection="1">
      <protection locked="0"/>
    </xf>
    <xf numFmtId="6" fontId="0" fillId="26" borderId="11" xfId="0" applyNumberFormat="1" applyFill="1" applyBorder="1" applyProtection="1">
      <protection locked="0"/>
    </xf>
    <xf numFmtId="0" fontId="30" fillId="0" borderId="19" xfId="0" applyFont="1" applyBorder="1" applyAlignment="1">
      <alignment horizontal="center"/>
    </xf>
    <xf numFmtId="0" fontId="48" fillId="0" borderId="0" xfId="0" applyFont="1" applyAlignment="1">
      <alignment horizontal="left" vertical="top" wrapText="1"/>
    </xf>
    <xf numFmtId="0" fontId="48" fillId="0" borderId="0" xfId="0" applyFont="1" applyAlignment="1">
      <alignment horizontal="left" vertical="center" wrapText="1"/>
    </xf>
    <xf numFmtId="0" fontId="0" fillId="0" borderId="11" xfId="0" applyBorder="1" applyAlignment="1">
      <alignment vertical="center"/>
    </xf>
    <xf numFmtId="0" fontId="0" fillId="0" borderId="19" xfId="0" applyBorder="1"/>
    <xf numFmtId="0" fontId="0" fillId="26" borderId="11" xfId="0" applyFill="1" applyBorder="1" applyAlignment="1" applyProtection="1">
      <alignment horizontal="center" vertical="center"/>
      <protection locked="0"/>
    </xf>
    <xf numFmtId="165" fontId="0" fillId="0" borderId="16" xfId="0" applyNumberFormat="1" applyBorder="1" applyAlignment="1" applyProtection="1">
      <alignment horizontal="right"/>
      <protection hidden="1"/>
    </xf>
    <xf numFmtId="0" fontId="32" fillId="24" borderId="11" xfId="0" applyFont="1" applyFill="1" applyBorder="1" applyAlignment="1">
      <alignment horizontal="center" vertical="center" wrapText="1"/>
    </xf>
    <xf numFmtId="0" fontId="31" fillId="24" borderId="16" xfId="0" applyFont="1" applyFill="1" applyBorder="1"/>
    <xf numFmtId="0" fontId="0" fillId="26" borderId="11" xfId="0" applyFill="1" applyBorder="1" applyAlignment="1" applyProtection="1">
      <alignment horizontal="center"/>
      <protection locked="0"/>
    </xf>
    <xf numFmtId="4" fontId="0" fillId="0" borderId="0" xfId="0" applyNumberFormat="1"/>
    <xf numFmtId="0" fontId="0" fillId="0" borderId="12" xfId="0" applyBorder="1" applyProtection="1">
      <protection hidden="1"/>
    </xf>
    <xf numFmtId="0" fontId="28" fillId="31" borderId="11" xfId="0" applyFont="1" applyFill="1" applyBorder="1" applyAlignment="1">
      <alignment horizontal="center" wrapText="1"/>
    </xf>
    <xf numFmtId="165" fontId="0" fillId="0" borderId="11" xfId="0" applyNumberFormat="1" applyBorder="1"/>
    <xf numFmtId="0" fontId="0" fillId="0" borderId="18" xfId="0" applyBorder="1"/>
    <xf numFmtId="0" fontId="0" fillId="0" borderId="12" xfId="0" applyBorder="1" applyAlignment="1" applyProtection="1">
      <alignment horizontal="left"/>
      <protection hidden="1"/>
    </xf>
    <xf numFmtId="0" fontId="0" fillId="0" borderId="16" xfId="0" applyBorder="1" applyAlignment="1" applyProtection="1">
      <alignment horizontal="left"/>
      <protection hidden="1"/>
    </xf>
    <xf numFmtId="0" fontId="0" fillId="26" borderId="15" xfId="0" applyFill="1" applyBorder="1"/>
    <xf numFmtId="0" fontId="28" fillId="31" borderId="11" xfId="0" applyFont="1" applyFill="1" applyBorder="1"/>
    <xf numFmtId="0" fontId="50" fillId="31" borderId="11" xfId="0" applyFont="1" applyFill="1" applyBorder="1" applyAlignment="1">
      <alignment horizontal="center"/>
    </xf>
    <xf numFmtId="0" fontId="50" fillId="31" borderId="11" xfId="0" applyFont="1" applyFill="1" applyBorder="1" applyAlignment="1">
      <alignment horizontal="center" wrapText="1"/>
    </xf>
    <xf numFmtId="3" fontId="50" fillId="31" borderId="11" xfId="0" applyNumberFormat="1" applyFont="1" applyFill="1" applyBorder="1" applyAlignment="1">
      <alignment horizontal="center" wrapText="1"/>
    </xf>
    <xf numFmtId="164" fontId="51" fillId="31" borderId="16" xfId="0" applyNumberFormat="1" applyFont="1" applyFill="1" applyBorder="1" applyAlignment="1">
      <alignment horizontal="center"/>
    </xf>
    <xf numFmtId="164" fontId="51" fillId="31" borderId="16" xfId="0" applyNumberFormat="1" applyFont="1" applyFill="1" applyBorder="1" applyAlignment="1">
      <alignment horizontal="center" wrapText="1"/>
    </xf>
    <xf numFmtId="0" fontId="51" fillId="31" borderId="11" xfId="0" applyFont="1" applyFill="1" applyBorder="1" applyAlignment="1">
      <alignment horizontal="center" wrapText="1"/>
    </xf>
    <xf numFmtId="164" fontId="51" fillId="31" borderId="12" xfId="0" applyNumberFormat="1" applyFont="1" applyFill="1" applyBorder="1" applyAlignment="1">
      <alignment horizontal="left"/>
    </xf>
    <xf numFmtId="0" fontId="48" fillId="0" borderId="0" xfId="0" applyFont="1" applyAlignment="1">
      <alignment horizontal="left" vertical="top"/>
    </xf>
    <xf numFmtId="0" fontId="49" fillId="0" borderId="0" xfId="0" applyFont="1" applyAlignment="1">
      <alignment vertical="center" wrapText="1"/>
    </xf>
    <xf numFmtId="0" fontId="28" fillId="31" borderId="0" xfId="0" applyFont="1" applyFill="1" applyAlignment="1">
      <alignment horizontal="center" wrapText="1"/>
    </xf>
    <xf numFmtId="0" fontId="0" fillId="26" borderId="15" xfId="0" applyFill="1" applyBorder="1" applyAlignment="1">
      <alignment vertical="center"/>
    </xf>
    <xf numFmtId="0" fontId="0" fillId="0" borderId="39" xfId="0" applyBorder="1" applyAlignment="1">
      <alignment vertical="center"/>
    </xf>
    <xf numFmtId="0" fontId="0" fillId="0" borderId="18" xfId="0" applyBorder="1" applyAlignment="1">
      <alignment vertical="center"/>
    </xf>
    <xf numFmtId="6" fontId="0" fillId="0" borderId="15" xfId="0" applyNumberFormat="1" applyBorder="1"/>
    <xf numFmtId="6" fontId="0" fillId="0" borderId="18" xfId="0" applyNumberFormat="1" applyBorder="1"/>
    <xf numFmtId="0" fontId="31" fillId="0" borderId="18" xfId="0" applyFont="1" applyBorder="1"/>
    <xf numFmtId="0" fontId="50" fillId="31" borderId="39" xfId="0" applyFont="1" applyFill="1" applyBorder="1" applyAlignment="1">
      <alignment horizontal="center" wrapText="1"/>
    </xf>
    <xf numFmtId="3" fontId="0" fillId="0" borderId="16" xfId="0" applyNumberFormat="1" applyBorder="1" applyAlignment="1" applyProtection="1">
      <alignment horizontal="center"/>
      <protection hidden="1"/>
    </xf>
    <xf numFmtId="164" fontId="51" fillId="31" borderId="41" xfId="0" applyNumberFormat="1" applyFont="1" applyFill="1" applyBorder="1" applyAlignment="1">
      <alignment horizontal="center" wrapText="1"/>
    </xf>
    <xf numFmtId="164" fontId="51" fillId="31" borderId="13" xfId="0" applyNumberFormat="1" applyFont="1" applyFill="1" applyBorder="1" applyAlignment="1">
      <alignment horizontal="center" wrapText="1"/>
    </xf>
    <xf numFmtId="0" fontId="0" fillId="0" borderId="16" xfId="0" applyBorder="1" applyAlignment="1" applyProtection="1">
      <alignment horizontal="center"/>
      <protection hidden="1"/>
    </xf>
    <xf numFmtId="0" fontId="52" fillId="0" borderId="0" xfId="0" applyFont="1" applyAlignment="1">
      <alignment vertical="top"/>
    </xf>
    <xf numFmtId="0" fontId="0" fillId="30" borderId="11" xfId="0" applyFill="1" applyBorder="1"/>
    <xf numFmtId="0" fontId="0" fillId="30" borderId="11" xfId="0" applyFill="1" applyBorder="1" applyAlignment="1">
      <alignment horizontal="center"/>
    </xf>
    <xf numFmtId="0" fontId="30" fillId="0" borderId="12" xfId="0" applyFont="1" applyBorder="1" applyAlignment="1" applyProtection="1">
      <alignment horizontal="center" vertical="center"/>
      <protection locked="0"/>
    </xf>
    <xf numFmtId="0" fontId="30" fillId="0" borderId="19" xfId="0" applyFont="1" applyBorder="1" applyAlignment="1" applyProtection="1">
      <alignment horizontal="center" vertical="center"/>
      <protection locked="0"/>
    </xf>
    <xf numFmtId="0" fontId="30" fillId="0" borderId="11" xfId="0" applyFont="1" applyBorder="1" applyAlignment="1" applyProtection="1">
      <alignment horizontal="center" vertical="center"/>
      <protection locked="0"/>
    </xf>
    <xf numFmtId="0" fontId="30" fillId="0" borderId="16" xfId="0" applyFont="1" applyBorder="1" applyAlignment="1" applyProtection="1">
      <alignment horizontal="center" vertical="center"/>
      <protection locked="0"/>
    </xf>
    <xf numFmtId="0" fontId="45" fillId="0" borderId="0" xfId="0" applyFont="1" applyAlignment="1">
      <alignment horizontal="left" vertical="center" wrapText="1"/>
    </xf>
    <xf numFmtId="0" fontId="50" fillId="31" borderId="12" xfId="0" applyFont="1" applyFill="1" applyBorder="1" applyAlignment="1">
      <alignment horizontal="center" vertical="center"/>
    </xf>
    <xf numFmtId="0" fontId="50" fillId="31" borderId="16" xfId="0" applyFont="1" applyFill="1" applyBorder="1" applyAlignment="1">
      <alignment horizontal="center" vertical="center"/>
    </xf>
    <xf numFmtId="0" fontId="50" fillId="31" borderId="12" xfId="0" applyFont="1" applyFill="1" applyBorder="1" applyAlignment="1">
      <alignment horizontal="center"/>
    </xf>
    <xf numFmtId="0" fontId="50" fillId="31" borderId="16" xfId="0" applyFont="1" applyFill="1" applyBorder="1" applyAlignment="1">
      <alignment horizontal="center"/>
    </xf>
    <xf numFmtId="0" fontId="50" fillId="31" borderId="19" xfId="0" applyFont="1" applyFill="1" applyBorder="1" applyAlignment="1">
      <alignment horizontal="center"/>
    </xf>
  </cellXfs>
  <cellStyles count="112">
    <cellStyle name="20% - Accent1 2" xfId="1" xr:uid="{00000000-0005-0000-0000-000000000000}"/>
    <cellStyle name="20% - Accent1 3" xfId="2" xr:uid="{00000000-0005-0000-0000-000001000000}"/>
    <cellStyle name="20% - Accent2 2" xfId="3" xr:uid="{00000000-0005-0000-0000-000002000000}"/>
    <cellStyle name="20% - Accent2 3" xfId="4" xr:uid="{00000000-0005-0000-0000-000003000000}"/>
    <cellStyle name="20% - Accent3 2" xfId="5" xr:uid="{00000000-0005-0000-0000-000004000000}"/>
    <cellStyle name="20% - Accent3 3" xfId="6" xr:uid="{00000000-0005-0000-0000-000005000000}"/>
    <cellStyle name="20% - Accent4 2" xfId="7" xr:uid="{00000000-0005-0000-0000-000006000000}"/>
    <cellStyle name="20% - Accent4 3" xfId="8" xr:uid="{00000000-0005-0000-0000-000007000000}"/>
    <cellStyle name="20% - Accent5 2" xfId="9" xr:uid="{00000000-0005-0000-0000-000008000000}"/>
    <cellStyle name="20% - Accent5 3" xfId="10" xr:uid="{00000000-0005-0000-0000-000009000000}"/>
    <cellStyle name="20% - Accent6 2" xfId="11" xr:uid="{00000000-0005-0000-0000-00000A000000}"/>
    <cellStyle name="20% - Accent6 3" xfId="12" xr:uid="{00000000-0005-0000-0000-00000B000000}"/>
    <cellStyle name="40% - Accent1 2" xfId="13" xr:uid="{00000000-0005-0000-0000-00000C000000}"/>
    <cellStyle name="40% - Accent1 3" xfId="14" xr:uid="{00000000-0005-0000-0000-00000D000000}"/>
    <cellStyle name="40% - Accent2 2" xfId="15" xr:uid="{00000000-0005-0000-0000-00000E000000}"/>
    <cellStyle name="40% - Accent2 3" xfId="16" xr:uid="{00000000-0005-0000-0000-00000F000000}"/>
    <cellStyle name="40% - Accent3 2" xfId="17" xr:uid="{00000000-0005-0000-0000-000010000000}"/>
    <cellStyle name="40% - Accent3 3" xfId="18" xr:uid="{00000000-0005-0000-0000-000011000000}"/>
    <cellStyle name="40% - Accent4 2" xfId="19" xr:uid="{00000000-0005-0000-0000-000012000000}"/>
    <cellStyle name="40% - Accent4 3" xfId="20" xr:uid="{00000000-0005-0000-0000-000013000000}"/>
    <cellStyle name="40% - Accent5 2" xfId="21" xr:uid="{00000000-0005-0000-0000-000014000000}"/>
    <cellStyle name="40% - Accent5 3" xfId="22" xr:uid="{00000000-0005-0000-0000-000015000000}"/>
    <cellStyle name="40% - Accent6 2" xfId="23" xr:uid="{00000000-0005-0000-0000-000016000000}"/>
    <cellStyle name="40% - Accent6 3" xfId="24" xr:uid="{00000000-0005-0000-0000-000017000000}"/>
    <cellStyle name="60% - Accent1 2" xfId="25" xr:uid="{00000000-0005-0000-0000-000018000000}"/>
    <cellStyle name="60% - Accent1 3" xfId="26" xr:uid="{00000000-0005-0000-0000-000019000000}"/>
    <cellStyle name="60% - Accent2 2" xfId="27" xr:uid="{00000000-0005-0000-0000-00001A000000}"/>
    <cellStyle name="60% - Accent2 3" xfId="28" xr:uid="{00000000-0005-0000-0000-00001B000000}"/>
    <cellStyle name="60% - Accent3 2" xfId="29" xr:uid="{00000000-0005-0000-0000-00001C000000}"/>
    <cellStyle name="60% - Accent3 3" xfId="30" xr:uid="{00000000-0005-0000-0000-00001D000000}"/>
    <cellStyle name="60% - Accent4 2" xfId="31" xr:uid="{00000000-0005-0000-0000-00001E000000}"/>
    <cellStyle name="60% - Accent4 3" xfId="32" xr:uid="{00000000-0005-0000-0000-00001F000000}"/>
    <cellStyle name="60% - Accent5 2" xfId="33" xr:uid="{00000000-0005-0000-0000-000020000000}"/>
    <cellStyle name="60% - Accent5 3" xfId="34" xr:uid="{00000000-0005-0000-0000-000021000000}"/>
    <cellStyle name="60% - Accent6 2" xfId="35" xr:uid="{00000000-0005-0000-0000-000022000000}"/>
    <cellStyle name="60% - Accent6 3" xfId="36" xr:uid="{00000000-0005-0000-0000-000023000000}"/>
    <cellStyle name="Accent1 2" xfId="37" xr:uid="{00000000-0005-0000-0000-000024000000}"/>
    <cellStyle name="Accent1 3" xfId="38" xr:uid="{00000000-0005-0000-0000-000025000000}"/>
    <cellStyle name="Accent2 2" xfId="39" xr:uid="{00000000-0005-0000-0000-000026000000}"/>
    <cellStyle name="Accent2 3" xfId="40" xr:uid="{00000000-0005-0000-0000-000027000000}"/>
    <cellStyle name="Accent3 2" xfId="41" xr:uid="{00000000-0005-0000-0000-000028000000}"/>
    <cellStyle name="Accent3 3" xfId="42" xr:uid="{00000000-0005-0000-0000-000029000000}"/>
    <cellStyle name="Accent4 2" xfId="43" xr:uid="{00000000-0005-0000-0000-00002A000000}"/>
    <cellStyle name="Accent4 3" xfId="44" xr:uid="{00000000-0005-0000-0000-00002B000000}"/>
    <cellStyle name="Accent5 2" xfId="45" xr:uid="{00000000-0005-0000-0000-00002C000000}"/>
    <cellStyle name="Accent5 3" xfId="46" xr:uid="{00000000-0005-0000-0000-00002D000000}"/>
    <cellStyle name="Accent6 2" xfId="47" xr:uid="{00000000-0005-0000-0000-00002E000000}"/>
    <cellStyle name="Accent6 3" xfId="48" xr:uid="{00000000-0005-0000-0000-00002F000000}"/>
    <cellStyle name="ariel" xfId="49" xr:uid="{00000000-0005-0000-0000-000030000000}"/>
    <cellStyle name="Bad 2" xfId="50" xr:uid="{00000000-0005-0000-0000-000031000000}"/>
    <cellStyle name="Bad 3" xfId="51" xr:uid="{00000000-0005-0000-0000-000032000000}"/>
    <cellStyle name="Calculation 2" xfId="52" xr:uid="{00000000-0005-0000-0000-000033000000}"/>
    <cellStyle name="Calculation 3" xfId="53" xr:uid="{00000000-0005-0000-0000-000034000000}"/>
    <cellStyle name="Check Cell 2" xfId="54" xr:uid="{00000000-0005-0000-0000-000035000000}"/>
    <cellStyle name="Check Cell 3" xfId="55" xr:uid="{00000000-0005-0000-0000-000036000000}"/>
    <cellStyle name="Comma 2" xfId="56" xr:uid="{00000000-0005-0000-0000-000038000000}"/>
    <cellStyle name="Comma 3" xfId="57" xr:uid="{00000000-0005-0000-0000-000039000000}"/>
    <cellStyle name="Comma 4" xfId="58" xr:uid="{00000000-0005-0000-0000-00003A000000}"/>
    <cellStyle name="Explanatory Text 2" xfId="59" xr:uid="{00000000-0005-0000-0000-00003B000000}"/>
    <cellStyle name="Explanatory Text 3" xfId="60" xr:uid="{00000000-0005-0000-0000-00003C000000}"/>
    <cellStyle name="Good 2" xfId="61" xr:uid="{00000000-0005-0000-0000-00003D000000}"/>
    <cellStyle name="Good 3" xfId="62" xr:uid="{00000000-0005-0000-0000-00003E000000}"/>
    <cellStyle name="Heading 1 2" xfId="63" xr:uid="{00000000-0005-0000-0000-00003F000000}"/>
    <cellStyle name="Heading 1 3" xfId="64" xr:uid="{00000000-0005-0000-0000-000040000000}"/>
    <cellStyle name="Heading 2 2" xfId="65" xr:uid="{00000000-0005-0000-0000-000041000000}"/>
    <cellStyle name="Heading 2 3" xfId="66" xr:uid="{00000000-0005-0000-0000-000042000000}"/>
    <cellStyle name="Heading 3 2" xfId="67" xr:uid="{00000000-0005-0000-0000-000043000000}"/>
    <cellStyle name="Heading 3 2 2" xfId="105" xr:uid="{00000000-0005-0000-0000-000044000000}"/>
    <cellStyle name="Heading 3 3" xfId="68" xr:uid="{00000000-0005-0000-0000-000045000000}"/>
    <cellStyle name="Heading 3 3 2" xfId="104" xr:uid="{00000000-0005-0000-0000-000046000000}"/>
    <cellStyle name="Heading 4 2" xfId="69" xr:uid="{00000000-0005-0000-0000-000047000000}"/>
    <cellStyle name="Heading 4 3" xfId="70" xr:uid="{00000000-0005-0000-0000-000048000000}"/>
    <cellStyle name="Hyperlink 2" xfId="71" xr:uid="{00000000-0005-0000-0000-00004A000000}"/>
    <cellStyle name="Hyperlink 2 2" xfId="72" xr:uid="{00000000-0005-0000-0000-00004B000000}"/>
    <cellStyle name="Hyperlink 3" xfId="73" xr:uid="{00000000-0005-0000-0000-00004C000000}"/>
    <cellStyle name="Hyperlink 4" xfId="100" xr:uid="{00000000-0005-0000-0000-00004D000000}"/>
    <cellStyle name="Hyperlink 5" xfId="99" xr:uid="{00000000-0005-0000-0000-00004E000000}"/>
    <cellStyle name="Input 2" xfId="74" xr:uid="{00000000-0005-0000-0000-00004F000000}"/>
    <cellStyle name="Input 3" xfId="75" xr:uid="{00000000-0005-0000-0000-000050000000}"/>
    <cellStyle name="Linked Cell 2" xfId="76" xr:uid="{00000000-0005-0000-0000-000051000000}"/>
    <cellStyle name="Linked Cell 3" xfId="77" xr:uid="{00000000-0005-0000-0000-000052000000}"/>
    <cellStyle name="Neutral 2" xfId="78" xr:uid="{00000000-0005-0000-0000-000053000000}"/>
    <cellStyle name="Neutral 3" xfId="79" xr:uid="{00000000-0005-0000-0000-000054000000}"/>
    <cellStyle name="Normal" xfId="0" builtinId="0"/>
    <cellStyle name="Normal 2" xfId="80" xr:uid="{00000000-0005-0000-0000-000056000000}"/>
    <cellStyle name="Normal 2 2" xfId="81" xr:uid="{00000000-0005-0000-0000-000057000000}"/>
    <cellStyle name="Normal 3" xfId="82" xr:uid="{00000000-0005-0000-0000-000058000000}"/>
    <cellStyle name="Normal 3 2" xfId="83" xr:uid="{00000000-0005-0000-0000-000059000000}"/>
    <cellStyle name="Normal 3 3" xfId="106" xr:uid="{4DE0461D-A09A-46DB-9420-EA36D32D2B1E}"/>
    <cellStyle name="Normal 3 4" xfId="108" xr:uid="{AB076862-D8D9-490F-92A5-063872900D72}"/>
    <cellStyle name="Normal 38" xfId="107" xr:uid="{5C880423-993E-4053-9D18-8525566CBCE5}"/>
    <cellStyle name="Normal 4" xfId="84" xr:uid="{00000000-0005-0000-0000-00005A000000}"/>
    <cellStyle name="Normal 4 2" xfId="98" xr:uid="{00000000-0005-0000-0000-00005B000000}"/>
    <cellStyle name="Normal 5" xfId="101" xr:uid="{00000000-0005-0000-0000-00005C000000}"/>
    <cellStyle name="Normal 6" xfId="102" xr:uid="{00000000-0005-0000-0000-00005D000000}"/>
    <cellStyle name="Normal 7" xfId="103" xr:uid="{00000000-0005-0000-0000-00005E000000}"/>
    <cellStyle name="Note 2" xfId="85" xr:uid="{00000000-0005-0000-0000-000060000000}"/>
    <cellStyle name="Note 3" xfId="86" xr:uid="{00000000-0005-0000-0000-000061000000}"/>
    <cellStyle name="Other input" xfId="109" xr:uid="{718A5794-4FD7-49F0-9B91-0E7CB468719B}"/>
    <cellStyle name="Output 2" xfId="87" xr:uid="{00000000-0005-0000-0000-000062000000}"/>
    <cellStyle name="Output 3" xfId="88" xr:uid="{00000000-0005-0000-0000-000063000000}"/>
    <cellStyle name="Per cent" xfId="89" builtinId="5"/>
    <cellStyle name="Percent 2" xfId="90" xr:uid="{00000000-0005-0000-0000-000065000000}"/>
    <cellStyle name="Percent 3" xfId="91" xr:uid="{00000000-0005-0000-0000-000066000000}"/>
    <cellStyle name="Small cost input" xfId="110" xr:uid="{EC507B33-927B-47C5-AC14-0F09FF6D0764}"/>
    <cellStyle name="Table Header 2" xfId="111" xr:uid="{45AB15A7-03BD-4CD9-A2A7-EC2DBD0E61A8}"/>
    <cellStyle name="Title 2" xfId="92" xr:uid="{00000000-0005-0000-0000-000067000000}"/>
    <cellStyle name="Title 3" xfId="93" xr:uid="{00000000-0005-0000-0000-000068000000}"/>
    <cellStyle name="Total 2" xfId="94" xr:uid="{00000000-0005-0000-0000-000069000000}"/>
    <cellStyle name="Total 3" xfId="95" xr:uid="{00000000-0005-0000-0000-00006A000000}"/>
    <cellStyle name="Warning Text 2" xfId="96" xr:uid="{00000000-0005-0000-0000-00006B000000}"/>
    <cellStyle name="Warning Text 3" xfId="97" xr:uid="{00000000-0005-0000-0000-00006C000000}"/>
  </cellStyles>
  <dxfs count="0"/>
  <tableStyles count="0" defaultTableStyle="TableStyleMedium9" defaultPivotStyle="PivotStyleLight16"/>
  <colors>
    <mruColors>
      <color rgb="FF18646E"/>
      <color rgb="FFFFFFFF"/>
      <color rgb="FFEAEAEA"/>
      <color rgb="FFFF00FF"/>
      <color rgb="FFFFFF99"/>
      <color rgb="FFE4E5B5"/>
      <color rgb="FFE4ED69"/>
      <color rgb="FF15434A"/>
      <color rgb="FF51560A"/>
      <color rgb="FF41441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alcChain" Target="calcChain.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niceuk.sharepoint.com/sites/Resource_Impact_Assessment/Shared%20Documents/Late%20Stage%20Assessments/In%20development/HTE10041%20Topical%20Antimicrobial%20dressings%20for%20wound%20care/Workings/RIA%20template%20HTE10041.xlsx" TargetMode="External"/><Relationship Id="rId1" Type="http://schemas.openxmlformats.org/officeDocument/2006/relationships/externalLinkPath" Target="https://niceuk.sharepoint.com/sites/Resource_Impact_Assessment/Shared%20Documents/Late%20Stage%20Assessments/In%20development/HTE10041%20Topical%20Antimicrobial%20dressings%20for%20wound%20care/Publication/RIA%20template%20HTE10041.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https://niceuk.sharepoint.com/sites/Resource_Impact_Assessment/Shared%20Documents/Late%20Stage%20Assessments/In%20development/HTE10041%20Topical%20Antimicrobial%20dressings%20for%20wound%20care/Background/AMD%20brand%20and%20agent.xlsx" TargetMode="External"/><Relationship Id="rId1" Type="http://schemas.openxmlformats.org/officeDocument/2006/relationships/externalLinkPath" Target="https://niceuk.sharepoint.com/sites/Resource_Impact_Assessment/Shared%20Documents/Late%20Stage%20Assessments/In%20development/HTE10041%20Topical%20Antimicrobial%20dressings%20for%20wound%20care/Background/AMD%20brand%20and%20agent.xlsx" TargetMode="External"/></Relationships>
</file>

<file path=xl/externalLinks/_rels/externalLink3.xml.rels><?xml version="1.0" encoding="UTF-8" standalone="yes"?>
<Relationships xmlns="http://schemas.openxmlformats.org/package/2006/relationships"><Relationship Id="rId2" Type="http://schemas.microsoft.com/office/2019/04/relationships/externalLinkLongPath" Target="file:///G:\RIA\Operational%20resources%20and%20templates\RIA%20product%20templates\Excel%20template%20July%202022\H&amp;SC\_TEAM%20PLANNING%20&amp;%20PROCEDURES\RIA\Operational%20resources%20and%20templates\RIA%20product%20templates\Excel%20template%20October%202020%20-%20do%20not%20use\Resource%20impact%20template%20ACS%20v3.1.xlsx?C5D85BB1" TargetMode="External"/><Relationship Id="rId1" Type="http://schemas.openxmlformats.org/officeDocument/2006/relationships/externalLinkPath" Target="file:///\\C5D85BB1\Resource%20impact%20template%20ACS%20v3.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ecision table"/>
      <sheetName val="Inputs"/>
      <sheetName val="leg ulcers"/>
      <sheetName val="EAG matched data clean"/>
      <sheetName val="Sheet3 (2)"/>
      <sheetName val="Population selection (2)"/>
      <sheetName val="Uptake phasing (2)"/>
      <sheetName val="Cover (2)"/>
      <sheetName val="Contents (2)"/>
      <sheetName val="Inputs and eligible populat (2)"/>
      <sheetName val="Unit costs (2)"/>
      <sheetName val="Summary (2)"/>
      <sheetName val="Financial impact (cash) (2)"/>
      <sheetName val="Capacity (local prices) (2)"/>
      <sheetName val="Capacity (national prices) (2)"/>
      <sheetName val="payscales (2)"/>
      <sheetName val="Population selection"/>
      <sheetName val="Uptake phasing"/>
      <sheetName val="Cover"/>
      <sheetName val="Contents"/>
      <sheetName val="Inputs and eligible population"/>
      <sheetName val="Unit costs"/>
      <sheetName val="Summary"/>
      <sheetName val="Financial impact (cash)"/>
      <sheetName val="Capacity (local prices)"/>
      <sheetName val="Capacity (national prices)"/>
      <sheetName val="payscales"/>
    </sheetNames>
    <sheetDataSet>
      <sheetData sheetId="0"/>
      <sheetData sheetId="1">
        <row r="53">
          <cell r="C53" t="str">
            <v>Yes</v>
          </cell>
        </row>
        <row r="54">
          <cell r="C54" t="str">
            <v>No</v>
          </cell>
        </row>
      </sheetData>
      <sheetData sheetId="2"/>
      <sheetData sheetId="3">
        <row r="5">
          <cell r="E5" t="str">
            <v>10cm x 10cm square</v>
          </cell>
        </row>
        <row r="6">
          <cell r="E6" t="str">
            <v>15cm x 15cm square</v>
          </cell>
        </row>
        <row r="7">
          <cell r="E7" t="str">
            <v>20cm x 30cm rectangular</v>
          </cell>
        </row>
        <row r="8">
          <cell r="E8" t="str">
            <v>4cm x 10cm rectangular</v>
          </cell>
        </row>
        <row r="9">
          <cell r="E9" t="str">
            <v>4cm x 20cm rectangular</v>
          </cell>
        </row>
        <row r="10">
          <cell r="E10" t="str">
            <v>4cm x 30cm rectangular</v>
          </cell>
        </row>
        <row r="11">
          <cell r="E11" t="str">
            <v>5cm x 5cm square</v>
          </cell>
        </row>
        <row r="12">
          <cell r="E12" t="str">
            <v>5cm x 5cm square</v>
          </cell>
        </row>
        <row r="13">
          <cell r="E13" t="str">
            <v>10cm x 12.5cm rectangular</v>
          </cell>
        </row>
        <row r="14">
          <cell r="E14" t="str">
            <v>15cm x 15cm square</v>
          </cell>
        </row>
        <row r="15">
          <cell r="E15" t="str">
            <v>20cm x 30cm rectangular</v>
          </cell>
        </row>
        <row r="16">
          <cell r="E16" t="str">
            <v>2cm x 45cm</v>
          </cell>
        </row>
        <row r="17">
          <cell r="E17" t="str">
            <v>10cm x 20cm rectangular</v>
          </cell>
        </row>
        <row r="18">
          <cell r="E18" t="str">
            <v>11cm x 11cm square</v>
          </cell>
        </row>
        <row r="19">
          <cell r="E19" t="str">
            <v>5cm x 5cm square</v>
          </cell>
        </row>
        <row r="20">
          <cell r="E20" t="str">
            <v>10cm x 10cm</v>
          </cell>
        </row>
        <row r="21">
          <cell r="E21" t="str">
            <v>10cm x 20cm</v>
          </cell>
        </row>
        <row r="22">
          <cell r="E22" t="str">
            <v>5cm x 5cm</v>
          </cell>
        </row>
        <row r="23">
          <cell r="E23" t="str">
            <v>10cm x 10cm square</v>
          </cell>
        </row>
        <row r="24">
          <cell r="E24" t="str">
            <v>15cm x 15cm square</v>
          </cell>
        </row>
        <row r="25">
          <cell r="E25" t="str">
            <v>5cm x 5cm square</v>
          </cell>
        </row>
        <row r="26">
          <cell r="E26" t="str">
            <v>10cm x 10cm square</v>
          </cell>
        </row>
        <row r="27">
          <cell r="E27" t="str">
            <v>15cm x 15cm square</v>
          </cell>
        </row>
        <row r="28">
          <cell r="E28" t="str">
            <v>2.7cm x 32cm rope</v>
          </cell>
        </row>
        <row r="29">
          <cell r="E29" t="str">
            <v>5cm x 5cm square</v>
          </cell>
        </row>
        <row r="30">
          <cell r="E30" t="str">
            <v>10.8cm x 10.8cm</v>
          </cell>
        </row>
        <row r="31">
          <cell r="E31" t="str">
            <v>5cm x 5cm</v>
          </cell>
        </row>
        <row r="32">
          <cell r="E32" t="str">
            <v>10cm x 10cm</v>
          </cell>
        </row>
        <row r="33">
          <cell r="E33" t="str">
            <v>10cm x 20cm</v>
          </cell>
        </row>
        <row r="34">
          <cell r="E34" t="str">
            <v>10cm x 10cm</v>
          </cell>
        </row>
        <row r="35">
          <cell r="E35" t="str">
            <v>15cm x 15cm</v>
          </cell>
        </row>
        <row r="36">
          <cell r="E36" t="str">
            <v>5cm x 5cm</v>
          </cell>
        </row>
        <row r="37">
          <cell r="E37" t="str">
            <v>10cm x 10cm square</v>
          </cell>
        </row>
        <row r="38">
          <cell r="E38" t="str">
            <v>15cm x 15cm square</v>
          </cell>
        </row>
        <row r="39">
          <cell r="E39" t="str">
            <v>20cm x 30cm rectangular</v>
          </cell>
        </row>
        <row r="40">
          <cell r="E40" t="str">
            <v>2cm x 45cm rectangular</v>
          </cell>
        </row>
        <row r="41">
          <cell r="E41" t="str">
            <v>4cm x 10cm rectangular</v>
          </cell>
        </row>
        <row r="42">
          <cell r="E42" t="str">
            <v>4cm x 20cm rectangular</v>
          </cell>
        </row>
        <row r="43">
          <cell r="E43" t="str">
            <v>4cm x 30cm rectangular</v>
          </cell>
        </row>
        <row r="44">
          <cell r="E44" t="str">
            <v>5cm x 5cm square</v>
          </cell>
        </row>
        <row r="45">
          <cell r="E45" t="str">
            <v>10cm x 10cm square</v>
          </cell>
        </row>
        <row r="46">
          <cell r="E46" t="str">
            <v>15cm x 15cm square</v>
          </cell>
        </row>
        <row r="47">
          <cell r="E47" t="str">
            <v>20cm x 30cm rectangular</v>
          </cell>
        </row>
        <row r="48">
          <cell r="E48" t="str">
            <v>4.5cm x 10cm rectangular</v>
          </cell>
        </row>
        <row r="49">
          <cell r="E49" t="str">
            <v>4.5cm x 20cm rectangular</v>
          </cell>
        </row>
        <row r="50">
          <cell r="E50" t="str">
            <v>4.5cm x 30cm rectangular</v>
          </cell>
        </row>
        <row r="51">
          <cell r="E51" t="str">
            <v>5cm x 5cm square</v>
          </cell>
        </row>
        <row r="52">
          <cell r="E52" t="str">
            <v>10cm x 10cm</v>
          </cell>
        </row>
        <row r="53">
          <cell r="E53" t="str">
            <v>15cm x 15cm</v>
          </cell>
        </row>
        <row r="54">
          <cell r="E54" t="str">
            <v>5cm x 5cm</v>
          </cell>
        </row>
        <row r="55">
          <cell r="E55" t="str">
            <v>10cm x 10cm</v>
          </cell>
        </row>
        <row r="56">
          <cell r="E56" t="str">
            <v>10cm x 20cm</v>
          </cell>
        </row>
        <row r="57">
          <cell r="E57" t="str">
            <v>5cm x 5cm</v>
          </cell>
        </row>
        <row r="58">
          <cell r="E58" t="str">
            <v>10cm x 10cm</v>
          </cell>
        </row>
        <row r="59">
          <cell r="E59" t="str">
            <v>5cm x 5cm</v>
          </cell>
        </row>
        <row r="60">
          <cell r="E60" t="str">
            <v>10cm x 10cm</v>
          </cell>
        </row>
        <row r="61">
          <cell r="E61" t="str">
            <v>10cm x 20cm</v>
          </cell>
        </row>
        <row r="62">
          <cell r="E62" t="str">
            <v>5cm x 5cm</v>
          </cell>
        </row>
        <row r="63">
          <cell r="E63" t="str">
            <v>10cm x 10cm square</v>
          </cell>
        </row>
        <row r="64">
          <cell r="E64" t="str">
            <v>15cm x 20cm rectangular</v>
          </cell>
        </row>
        <row r="65">
          <cell r="E65" t="str">
            <v>6cm x 6cm square</v>
          </cell>
        </row>
        <row r="66">
          <cell r="E66" t="str">
            <v>10cm x 10cm square</v>
          </cell>
        </row>
        <row r="67">
          <cell r="E67" t="str">
            <v>12.5cm x 12.5cm square</v>
          </cell>
        </row>
        <row r="68">
          <cell r="E68" t="str">
            <v>17.5cm x 17.5cm square</v>
          </cell>
        </row>
        <row r="69">
          <cell r="E69" t="str">
            <v>7.5cm x 7.5cm square</v>
          </cell>
        </row>
        <row r="70">
          <cell r="E70" t="str">
            <v>10cm x 10cm square</v>
          </cell>
        </row>
        <row r="71">
          <cell r="E71" t="str">
            <v>15cm x 15cm square</v>
          </cell>
        </row>
        <row r="72">
          <cell r="E72" t="str">
            <v>20cm x 20cm square</v>
          </cell>
        </row>
        <row r="73">
          <cell r="E73" t="str">
            <v>5cm x 5cm square</v>
          </cell>
        </row>
        <row r="74">
          <cell r="E74" t="str">
            <v>10cm x 10cm square</v>
          </cell>
        </row>
        <row r="75">
          <cell r="E75" t="str">
            <v>10cm x 20cm rectangular</v>
          </cell>
        </row>
        <row r="76">
          <cell r="E76" t="str">
            <v>12.5cm x 12.5cm square</v>
          </cell>
        </row>
        <row r="77">
          <cell r="E77" t="str">
            <v>15cm x 15cm square</v>
          </cell>
        </row>
        <row r="78">
          <cell r="E78" t="str">
            <v>18cm x 18cm square</v>
          </cell>
        </row>
        <row r="79">
          <cell r="E79" t="str">
            <v>19cm x 20cm heel</v>
          </cell>
        </row>
        <row r="80">
          <cell r="E80" t="str">
            <v>20cm x 20cm square</v>
          </cell>
        </row>
        <row r="81">
          <cell r="E81" t="str">
            <v>10.8cm x 10.8cm square</v>
          </cell>
        </row>
        <row r="82">
          <cell r="E82" t="str">
            <v>12.7cm x 8.8cm oval</v>
          </cell>
        </row>
        <row r="83">
          <cell r="E83" t="str">
            <v>17cm x 19cm rectangular</v>
          </cell>
        </row>
        <row r="84">
          <cell r="E84" t="str">
            <v>5cm x 7.6cm oval</v>
          </cell>
        </row>
        <row r="85">
          <cell r="E85" t="str">
            <v>10cm x 10cm</v>
          </cell>
        </row>
        <row r="86">
          <cell r="E86" t="str">
            <v>12.5cm x 12.5cm</v>
          </cell>
        </row>
        <row r="87">
          <cell r="E87" t="str">
            <v>17.5cm x 17.5cm</v>
          </cell>
        </row>
        <row r="88">
          <cell r="E88" t="str">
            <v>21cm x 21cm</v>
          </cell>
        </row>
        <row r="89">
          <cell r="E89" t="str">
            <v>25cm x 30cm</v>
          </cell>
        </row>
        <row r="90">
          <cell r="E90" t="str">
            <v>8cm x 8cm</v>
          </cell>
        </row>
        <row r="91">
          <cell r="E91" t="str">
            <v>10cm x 10cm</v>
          </cell>
        </row>
        <row r="92">
          <cell r="E92" t="str">
            <v>15cm x 15cm</v>
          </cell>
        </row>
        <row r="93">
          <cell r="E93" t="str">
            <v>5cm x 5cm</v>
          </cell>
        </row>
        <row r="94">
          <cell r="E94" t="str">
            <v>15cm x 20cm</v>
          </cell>
        </row>
        <row r="95">
          <cell r="E95" t="str">
            <v>20cm x 20cm</v>
          </cell>
        </row>
        <row r="96">
          <cell r="E96" t="str">
            <v>10cm x 10cm</v>
          </cell>
        </row>
        <row r="97">
          <cell r="E97" t="str">
            <v>10cm x 20cm</v>
          </cell>
        </row>
        <row r="98">
          <cell r="E98" t="str">
            <v>10cm x 30cm</v>
          </cell>
        </row>
        <row r="99">
          <cell r="E99" t="str">
            <v>12.5cm x 12.5cm</v>
          </cell>
        </row>
        <row r="100">
          <cell r="E100" t="str">
            <v>15cm x 15cm</v>
          </cell>
        </row>
        <row r="101">
          <cell r="E101" t="str">
            <v>17.5cm x 17.5cm</v>
          </cell>
        </row>
        <row r="102">
          <cell r="E102" t="str">
            <v>7.5cm x 7.5cm</v>
          </cell>
        </row>
        <row r="103">
          <cell r="E103" t="str">
            <v>10cm x 10cm</v>
          </cell>
        </row>
        <row r="104">
          <cell r="E104" t="str">
            <v>2.5cm x 12.5cm</v>
          </cell>
        </row>
        <row r="105">
          <cell r="E105" t="str">
            <v>17.5cm x 17.5cm</v>
          </cell>
        </row>
        <row r="106">
          <cell r="E106" t="str">
            <v>7.5cm x 7.5cm</v>
          </cell>
        </row>
        <row r="107">
          <cell r="E107" t="str">
            <v>10cm x 10cm</v>
          </cell>
        </row>
        <row r="108">
          <cell r="E108" t="str">
            <v>10cm x 20cm</v>
          </cell>
        </row>
        <row r="109">
          <cell r="E109" t="str">
            <v>15cm x 15cm</v>
          </cell>
        </row>
        <row r="110">
          <cell r="E110" t="str">
            <v>20cm x 20cm</v>
          </cell>
        </row>
        <row r="111">
          <cell r="E111" t="str">
            <v>5cm x 5cm</v>
          </cell>
        </row>
        <row r="112">
          <cell r="E112" t="str">
            <v>10cm x 10cm</v>
          </cell>
        </row>
        <row r="113">
          <cell r="E113" t="str">
            <v>10cm x 20cm</v>
          </cell>
        </row>
        <row r="114">
          <cell r="E114" t="str">
            <v>15cm x 15cm</v>
          </cell>
        </row>
        <row r="115">
          <cell r="E115" t="str">
            <v>20cm x 20cm</v>
          </cell>
        </row>
        <row r="116">
          <cell r="E116" t="str">
            <v>20cm x 50cm</v>
          </cell>
        </row>
        <row r="117">
          <cell r="E117" t="str">
            <v>10cm x 12.5cm</v>
          </cell>
        </row>
        <row r="118">
          <cell r="E118" t="str">
            <v>10cm x 20cm</v>
          </cell>
        </row>
        <row r="119">
          <cell r="E119" t="str">
            <v>10cm x 25cm</v>
          </cell>
        </row>
        <row r="120">
          <cell r="E120" t="str">
            <v>10cm x 30cm</v>
          </cell>
        </row>
        <row r="121">
          <cell r="E121" t="str">
            <v>15cm x 17.5cm</v>
          </cell>
        </row>
        <row r="122">
          <cell r="E122" t="str">
            <v>17cm x 20cm</v>
          </cell>
        </row>
        <row r="123">
          <cell r="E123" t="str">
            <v>7cm x 7.5cm</v>
          </cell>
        </row>
        <row r="124">
          <cell r="E124" t="str">
            <v>10cm x 20cm rectangular</v>
          </cell>
        </row>
        <row r="125">
          <cell r="E125" t="str">
            <v>11cm x 11cm square</v>
          </cell>
        </row>
        <row r="126">
          <cell r="E126" t="str">
            <v>2.5cm x 30.5cm rectangular</v>
          </cell>
        </row>
        <row r="127">
          <cell r="E127" t="str">
            <v>5cm x 5cm square</v>
          </cell>
        </row>
        <row r="128">
          <cell r="E128" t="str">
            <v>10cm x 12cm</v>
          </cell>
        </row>
        <row r="129">
          <cell r="E129" t="str">
            <v>15cm x 20cm</v>
          </cell>
        </row>
        <row r="130">
          <cell r="E130" t="str">
            <v>Askina Calgitrol Paste dressing</v>
          </cell>
        </row>
        <row r="131">
          <cell r="E131" t="str">
            <v>10cm x 12.5cm rectangular</v>
          </cell>
        </row>
        <row r="132">
          <cell r="E132" t="str">
            <v>15cm x 15cm square</v>
          </cell>
        </row>
        <row r="133">
          <cell r="E133" t="str">
            <v>5cm x 5cm square</v>
          </cell>
        </row>
        <row r="134">
          <cell r="E134" t="str">
            <v>10cm x 10cm square</v>
          </cell>
        </row>
        <row r="135">
          <cell r="E135" t="str">
            <v>10cm x 20cm rectangular</v>
          </cell>
        </row>
        <row r="136">
          <cell r="E136" t="str">
            <v>20cm x 40cm rectangular</v>
          </cell>
        </row>
        <row r="137">
          <cell r="E137" t="str">
            <v>5cm x 5cm square</v>
          </cell>
        </row>
        <row r="138">
          <cell r="E138" t="str">
            <v>10cm x 10cm square</v>
          </cell>
        </row>
        <row r="139">
          <cell r="E139" t="str">
            <v>10cm x 20cm rectangular</v>
          </cell>
        </row>
        <row r="140">
          <cell r="E140" t="str">
            <v>20cm x 40cm rectangular</v>
          </cell>
        </row>
        <row r="141">
          <cell r="E141" t="str">
            <v>5cm x 5cm square</v>
          </cell>
        </row>
        <row r="142">
          <cell r="E142" t="str">
            <v>10cm x 12.5cm rectangular</v>
          </cell>
        </row>
        <row r="143">
          <cell r="E143" t="str">
            <v>15cm x 15cm square</v>
          </cell>
        </row>
        <row r="144">
          <cell r="E144" t="str">
            <v>5cm x 5cm square</v>
          </cell>
        </row>
        <row r="145">
          <cell r="E145" t="str">
            <v>10cm x 10cm square</v>
          </cell>
        </row>
        <row r="146">
          <cell r="E146" t="str">
            <v xml:space="preserve"> 5cm x 5cm square</v>
          </cell>
        </row>
        <row r="147">
          <cell r="E147" t="str">
            <v>10.5cm x 10.5cm</v>
          </cell>
        </row>
        <row r="148">
          <cell r="E148" t="str">
            <v>10.5cm x 19cm</v>
          </cell>
        </row>
        <row r="149">
          <cell r="E149" t="str">
            <v>6.5cm x 9.5cm</v>
          </cell>
        </row>
        <row r="150">
          <cell r="E150" t="str">
            <v>10cm x 10cm</v>
          </cell>
        </row>
        <row r="151">
          <cell r="E151" t="str">
            <v>10cm x 20cm</v>
          </cell>
        </row>
        <row r="152">
          <cell r="E152" t="str">
            <v>5cm x 5cm</v>
          </cell>
        </row>
        <row r="153">
          <cell r="E153" t="str">
            <v>10cm x 12.5cm rectangular</v>
          </cell>
        </row>
        <row r="154">
          <cell r="E154" t="str">
            <v>15cm x 15cm square</v>
          </cell>
        </row>
        <row r="155">
          <cell r="E155" t="str">
            <v>20cm x 40cm rectangular</v>
          </cell>
        </row>
        <row r="156">
          <cell r="E156" t="str">
            <v>5cm x 5cm square</v>
          </cell>
        </row>
        <row r="157">
          <cell r="E157" t="str">
            <v>123 square cm</v>
          </cell>
        </row>
        <row r="158">
          <cell r="E158" t="str">
            <v>28 square cm</v>
          </cell>
        </row>
        <row r="159">
          <cell r="E159" t="str">
            <v>10cm x 10cm square</v>
          </cell>
        </row>
        <row r="160">
          <cell r="E160" t="str">
            <v>5cm x 5cm square</v>
          </cell>
        </row>
        <row r="161">
          <cell r="E161" t="str">
            <v>Iodoflex paste dressing</v>
          </cell>
        </row>
        <row r="162">
          <cell r="E162" t="str">
            <v>Iodosorb ointment dressing</v>
          </cell>
        </row>
        <row r="163">
          <cell r="E163" t="str">
            <v>Iodosorb powder dressing sachets</v>
          </cell>
        </row>
        <row r="164">
          <cell r="E164" t="str">
            <v>5cm x 5cm</v>
          </cell>
        </row>
        <row r="165">
          <cell r="E165" t="str">
            <v>9.5cm x 9.5cm</v>
          </cell>
        </row>
        <row r="166">
          <cell r="E166" t="str">
            <v>5cm x 5cm</v>
          </cell>
        </row>
        <row r="167">
          <cell r="E167" t="str">
            <v>9.5cm x 9.5cm</v>
          </cell>
        </row>
        <row r="168">
          <cell r="E168" t="str">
            <v>10cm x 10cm square</v>
          </cell>
        </row>
        <row r="169">
          <cell r="E169" t="str">
            <v>5cm x 5cm square</v>
          </cell>
        </row>
        <row r="170">
          <cell r="E170" t="str">
            <v>10cm x 10cm</v>
          </cell>
        </row>
        <row r="171">
          <cell r="E171" t="str">
            <v>5cm x 5cm</v>
          </cell>
        </row>
        <row r="172">
          <cell r="E172" t="str">
            <v>10cm x 10cm</v>
          </cell>
        </row>
        <row r="173">
          <cell r="E173" t="str">
            <v>5cm x 5cm</v>
          </cell>
        </row>
        <row r="174">
          <cell r="E174" t="str">
            <v>10cm x 10cm</v>
          </cell>
        </row>
        <row r="175">
          <cell r="E175" t="str">
            <v>5cm x 5cm</v>
          </cell>
        </row>
        <row r="176">
          <cell r="E176" t="str">
            <v>10cm x 10cm</v>
          </cell>
        </row>
        <row r="177">
          <cell r="E177" t="str">
            <v xml:space="preserve"> 5cm x 5cm</v>
          </cell>
        </row>
        <row r="178">
          <cell r="E178" t="str">
            <v>11cm x 11cm square</v>
          </cell>
        </row>
        <row r="179">
          <cell r="E179" t="str">
            <v>20cm x 20cm square</v>
          </cell>
        </row>
        <row r="180">
          <cell r="E180" t="str">
            <v>20cm x 30cm rectangular</v>
          </cell>
        </row>
        <row r="181">
          <cell r="E181" t="str">
            <v>6cm x 6cm square</v>
          </cell>
        </row>
        <row r="182">
          <cell r="E182" t="str">
            <v>11cm x 11cm square</v>
          </cell>
        </row>
        <row r="183">
          <cell r="E183" t="str">
            <v>15cm x 15cm square</v>
          </cell>
        </row>
        <row r="184">
          <cell r="E184" t="str">
            <v>7.5cm x 20cm</v>
          </cell>
        </row>
        <row r="185">
          <cell r="E185" t="str">
            <v>Actibalm dressing</v>
          </cell>
        </row>
        <row r="186">
          <cell r="E186" t="str">
            <v>Activon Medical Grade Manuka Honey dressing</v>
          </cell>
        </row>
        <row r="187">
          <cell r="E187" t="str">
            <v>L-Mesitran ointment dressing</v>
          </cell>
        </row>
        <row r="188">
          <cell r="E188" t="str">
            <v>L-Mesitran SOFT ointment dressing</v>
          </cell>
        </row>
        <row r="189">
          <cell r="E189" t="str">
            <v>Manuka Fill dressing</v>
          </cell>
        </row>
        <row r="190">
          <cell r="E190" t="str">
            <v>MANUKApli dressing</v>
          </cell>
        </row>
        <row r="191">
          <cell r="E191" t="str">
            <v>Medihoney Antibacterial Medical Honey dressing</v>
          </cell>
        </row>
        <row r="192">
          <cell r="E192" t="str">
            <v>Medihoney Antibacterial Wound Gel dressing</v>
          </cell>
        </row>
        <row r="193">
          <cell r="E193" t="str">
            <v>Melloxy dressing</v>
          </cell>
        </row>
        <row r="194">
          <cell r="E194" t="str">
            <v>Revamil Balm 2g sachet</v>
          </cell>
        </row>
        <row r="195">
          <cell r="E195" t="str">
            <v>Revamil Balm dressing</v>
          </cell>
        </row>
        <row r="196">
          <cell r="E196" t="str">
            <v>Revamil Wound Gel dressing</v>
          </cell>
        </row>
        <row r="197">
          <cell r="E197" t="str">
            <v>SurgihoneyRO dressing</v>
          </cell>
        </row>
        <row r="198">
          <cell r="E198" t="str">
            <v>10cm x 10cm square</v>
          </cell>
        </row>
        <row r="199">
          <cell r="E199" t="str">
            <v>10cm x 10cm square</v>
          </cell>
        </row>
        <row r="200">
          <cell r="E200" t="str">
            <v>10cm x 10cm square</v>
          </cell>
        </row>
        <row r="201">
          <cell r="E201" t="str">
            <v>10cm x 10cm</v>
          </cell>
        </row>
        <row r="202">
          <cell r="E202" t="str">
            <v>10cm x 20cm</v>
          </cell>
        </row>
        <row r="203">
          <cell r="E203" t="str">
            <v>20cm x 30cm</v>
          </cell>
        </row>
        <row r="204">
          <cell r="E204" t="str">
            <v>30cm x 30cm</v>
          </cell>
        </row>
        <row r="205">
          <cell r="E205" t="str">
            <v>30cm x 60cm</v>
          </cell>
        </row>
        <row r="206">
          <cell r="E206" t="str">
            <v>5cm x 5cm</v>
          </cell>
        </row>
        <row r="207">
          <cell r="E207" t="str">
            <v>10cm x 10cm</v>
          </cell>
        </row>
        <row r="208">
          <cell r="E208" t="str">
            <v>5cm x 5cm</v>
          </cell>
        </row>
        <row r="209">
          <cell r="E209" t="str">
            <v>10cm x10cm</v>
          </cell>
        </row>
        <row r="210">
          <cell r="E210" t="str">
            <v>5cm x 5cm</v>
          </cell>
        </row>
        <row r="211">
          <cell r="E211" t="str">
            <v>10cm x 10cm</v>
          </cell>
        </row>
        <row r="212">
          <cell r="E212" t="str">
            <v>10cm x 20cm</v>
          </cell>
        </row>
        <row r="213">
          <cell r="E213" t="str">
            <v>5cm x 5cm</v>
          </cell>
        </row>
        <row r="214">
          <cell r="E214" t="str">
            <v>8cm x 8cm</v>
          </cell>
        </row>
        <row r="215">
          <cell r="E215" t="str">
            <v>5cm x 5cm square</v>
          </cell>
        </row>
        <row r="216">
          <cell r="E216" t="str">
            <v>10cm x 10cm</v>
          </cell>
        </row>
        <row r="217">
          <cell r="E217" t="str">
            <v>5cm x 5cm</v>
          </cell>
        </row>
        <row r="218">
          <cell r="E218" t="str">
            <v>10cm x 12cm</v>
          </cell>
        </row>
        <row r="219">
          <cell r="E219" t="str">
            <v>10cm x 20cm</v>
          </cell>
        </row>
        <row r="220">
          <cell r="E220" t="str">
            <v>5cm x 6cm</v>
          </cell>
        </row>
        <row r="221">
          <cell r="E221" t="str">
            <v>10cm x 10cm</v>
          </cell>
        </row>
        <row r="222">
          <cell r="E222" t="str">
            <v>10cm x 25cm</v>
          </cell>
        </row>
        <row r="223">
          <cell r="E223" t="str">
            <v>10cm x 10cm square</v>
          </cell>
        </row>
        <row r="224">
          <cell r="E224" t="str">
            <v>10cm x 20cm rectangular</v>
          </cell>
        </row>
        <row r="225">
          <cell r="E225" t="str">
            <v>15cm x 15cm square</v>
          </cell>
        </row>
        <row r="226">
          <cell r="E226" t="str">
            <v>20cm x 20cm square</v>
          </cell>
        </row>
        <row r="227">
          <cell r="E227" t="str">
            <v>5cm x 5cm square</v>
          </cell>
        </row>
        <row r="228">
          <cell r="E228" t="str">
            <v>7.5cm x 7.5cm square</v>
          </cell>
        </row>
        <row r="229">
          <cell r="E229" t="str">
            <v>10cm x 10cm</v>
          </cell>
        </row>
        <row r="230">
          <cell r="E230" t="str">
            <v>10cm x 20cm</v>
          </cell>
        </row>
        <row r="231">
          <cell r="E231" t="str">
            <v>12.5cm x 12.5cm</v>
          </cell>
        </row>
        <row r="232">
          <cell r="E232" t="str">
            <v>15cm x 15cm</v>
          </cell>
        </row>
        <row r="233">
          <cell r="E233" t="str">
            <v>20cm x 20cm</v>
          </cell>
        </row>
        <row r="234">
          <cell r="E234" t="str">
            <v>8cm x 8cm</v>
          </cell>
        </row>
        <row r="235">
          <cell r="E235" t="str">
            <v>10cm x 10cm square</v>
          </cell>
        </row>
        <row r="236">
          <cell r="E236" t="str">
            <v>10cm x 20cm rectangular</v>
          </cell>
        </row>
        <row r="237">
          <cell r="E237" t="str">
            <v>15cm x 15cm square</v>
          </cell>
        </row>
        <row r="238">
          <cell r="E238" t="str">
            <v>2.5cm (4mm hole) (fenestrated) disc</v>
          </cell>
        </row>
        <row r="239">
          <cell r="E239" t="str">
            <v>2.5cm (7mm hole) (fenestrated) disc</v>
          </cell>
        </row>
        <row r="240">
          <cell r="E240" t="str">
            <v>20cm x 20cm square</v>
          </cell>
        </row>
        <row r="241">
          <cell r="E241" t="str">
            <v>5cm x 5cm square</v>
          </cell>
        </row>
        <row r="242">
          <cell r="E242" t="str">
            <v>8.8cm x 7.5cm rectangular (fenestrated)</v>
          </cell>
        </row>
        <row r="243">
          <cell r="E243" t="str">
            <v>10cm x 10cm square</v>
          </cell>
        </row>
        <row r="244">
          <cell r="E244" t="str">
            <v xml:space="preserve"> 8.8cm x 7.5cm rectangular (fenestrated)</v>
          </cell>
        </row>
        <row r="245">
          <cell r="E245" t="str">
            <v>10cm x 12.5cm</v>
          </cell>
        </row>
        <row r="246">
          <cell r="E246" t="str">
            <v>30cm x 30cm</v>
          </cell>
        </row>
        <row r="247">
          <cell r="E247" t="str">
            <v>30cm x 60cm</v>
          </cell>
        </row>
        <row r="248">
          <cell r="E248" t="str">
            <v>7.5cm x 7.5cm</v>
          </cell>
        </row>
        <row r="249">
          <cell r="E249" t="str">
            <v>Prontosan Wound Gel gel dressing</v>
          </cell>
        </row>
        <row r="250">
          <cell r="E250" t="str">
            <v>Prontosan Wound Gel X dressing</v>
          </cell>
        </row>
        <row r="251">
          <cell r="E251" t="str">
            <v>10cm x 10cm square</v>
          </cell>
        </row>
        <row r="252">
          <cell r="E252" t="str">
            <v>14cm x 20cm rectangular</v>
          </cell>
        </row>
        <row r="253">
          <cell r="E253" t="str">
            <v>9cm x 9cm square</v>
          </cell>
        </row>
        <row r="254">
          <cell r="E254" t="str">
            <v>5cm x 5cm square</v>
          </cell>
        </row>
        <row r="255">
          <cell r="E255" t="str">
            <v>11.4cm x 3.7m</v>
          </cell>
        </row>
        <row r="256">
          <cell r="E256" t="str">
            <v>15.2cm x 17.1cm</v>
          </cell>
        </row>
        <row r="257">
          <cell r="E257" t="str">
            <v>10cm x 10cm</v>
          </cell>
        </row>
        <row r="258">
          <cell r="E258" t="str">
            <v>10cm x 20cm</v>
          </cell>
        </row>
        <row r="259">
          <cell r="E259" t="str">
            <v>15cm x 15cm</v>
          </cell>
        </row>
        <row r="260">
          <cell r="E260" t="str">
            <v>5cm x 6.5cm</v>
          </cell>
        </row>
        <row r="261">
          <cell r="E261" t="str">
            <v>14cm x 14cm</v>
          </cell>
        </row>
        <row r="262">
          <cell r="E262" t="str">
            <v>14cm x 24cm</v>
          </cell>
        </row>
        <row r="263">
          <cell r="E263" t="str">
            <v>19cm x 19cm</v>
          </cell>
        </row>
        <row r="264">
          <cell r="E264" t="str">
            <v>24cm x 24cm</v>
          </cell>
        </row>
        <row r="265">
          <cell r="E265" t="str">
            <v>7cm x 8.5cm</v>
          </cell>
        </row>
        <row r="266">
          <cell r="E266" t="str">
            <v>7.5cm x 15cm rectangular</v>
          </cell>
        </row>
        <row r="267">
          <cell r="E267" t="str">
            <v>7.5cm x 7.5cm square</v>
          </cell>
        </row>
        <row r="268">
          <cell r="E268" t="str">
            <v>12.5cm x 12.5cm</v>
          </cell>
        </row>
        <row r="269">
          <cell r="E269" t="str">
            <v>15cm x 15cm</v>
          </cell>
        </row>
        <row r="270">
          <cell r="E270" t="str">
            <v>17.5cm x 17.5cm</v>
          </cell>
        </row>
        <row r="271">
          <cell r="E271" t="str">
            <v>22.5cm x 22.5cm</v>
          </cell>
        </row>
        <row r="272">
          <cell r="E272" t="str">
            <v>7.5cm x 7.5cm</v>
          </cell>
        </row>
        <row r="273">
          <cell r="E273" t="str">
            <v>10cm x 10cm</v>
          </cell>
        </row>
        <row r="274">
          <cell r="E274" t="str">
            <v>10cm x 20cm</v>
          </cell>
        </row>
        <row r="275">
          <cell r="E275" t="str">
            <v>7cm x 9cm</v>
          </cell>
        </row>
        <row r="276">
          <cell r="E276" t="str">
            <v>4cm x 6cm</v>
          </cell>
        </row>
        <row r="277">
          <cell r="E277" t="str">
            <v>7cm x 9cm</v>
          </cell>
        </row>
        <row r="278">
          <cell r="E278" t="str">
            <v>10cm x 10cm square</v>
          </cell>
        </row>
        <row r="279">
          <cell r="E279" t="str">
            <v>10cm x 20cm rectangular</v>
          </cell>
        </row>
        <row r="280">
          <cell r="E280" t="str">
            <v>20cm x 20cm square</v>
          </cell>
        </row>
        <row r="281">
          <cell r="E281" t="str">
            <v>20cm x 30cm rectangular</v>
          </cell>
        </row>
        <row r="282">
          <cell r="E282" t="str">
            <v>Flaminal Forte gel dressing</v>
          </cell>
        </row>
        <row r="283">
          <cell r="E283" t="str">
            <v>Flaminal Hydro gel dressing</v>
          </cell>
        </row>
        <row r="284">
          <cell r="E284" t="str">
            <v>10cm x 10cm square</v>
          </cell>
        </row>
        <row r="285">
          <cell r="E285" t="str">
            <v>15cm x 15cm square</v>
          </cell>
        </row>
        <row r="286">
          <cell r="E286" t="str">
            <v>2.5cm x 45cm rectangular</v>
          </cell>
        </row>
        <row r="287">
          <cell r="E287" t="str">
            <v>4cm x 10cm rectangular</v>
          </cell>
        </row>
        <row r="288">
          <cell r="E288" t="str">
            <v>4cm x 20cm rectangular</v>
          </cell>
        </row>
        <row r="289">
          <cell r="E289" t="str">
            <v>5cm x 5cm square</v>
          </cell>
        </row>
        <row r="290">
          <cell r="E290" t="str">
            <v>10cm x 10cm square</v>
          </cell>
        </row>
        <row r="291">
          <cell r="E291" t="str">
            <v>15cm x 15cm square</v>
          </cell>
        </row>
        <row r="292">
          <cell r="E292" t="str">
            <v>2.5cm x 30cm rectangular</v>
          </cell>
        </row>
        <row r="293">
          <cell r="E293" t="str">
            <v>5cm x 5cm square</v>
          </cell>
        </row>
        <row r="294">
          <cell r="E294" t="str">
            <v>Octenilin Wound Gel dressing</v>
          </cell>
        </row>
      </sheetData>
      <sheetData sheetId="4"/>
      <sheetData sheetId="5"/>
      <sheetData sheetId="6"/>
      <sheetData sheetId="7"/>
      <sheetData sheetId="8"/>
      <sheetData sheetId="9"/>
      <sheetData sheetId="10"/>
      <sheetData sheetId="11"/>
      <sheetData sheetId="12"/>
      <sheetData sheetId="13"/>
      <sheetData sheetId="14"/>
      <sheetData sheetId="15"/>
      <sheetData sheetId="16">
        <row r="5">
          <cell r="L5" t="str">
            <v>Per 100,000 population</v>
          </cell>
        </row>
        <row r="6">
          <cell r="L6" t="str">
            <v>England ICB</v>
          </cell>
        </row>
        <row r="7">
          <cell r="L7" t="str">
            <v>National</v>
          </cell>
        </row>
        <row r="8">
          <cell r="L8" t="str">
            <v>NHSE regions</v>
          </cell>
        </row>
        <row r="9">
          <cell r="L9" t="str">
            <v>Wales – Health Boards</v>
          </cell>
        </row>
        <row r="10">
          <cell r="L10" t="str">
            <v>NI – Health and Social Care Trusts</v>
          </cell>
        </row>
        <row r="11">
          <cell r="L11" t="str">
            <v>LA Wales</v>
          </cell>
        </row>
        <row r="12">
          <cell r="L12" t="str">
            <v>LA NI</v>
          </cell>
        </row>
        <row r="13">
          <cell r="L13" t="str">
            <v>LA England</v>
          </cell>
        </row>
        <row r="14">
          <cell r="L14" t="str">
            <v>England – CCGs</v>
          </cell>
        </row>
        <row r="521">
          <cell r="B521" t="str">
            <v>Antrim and Newtownabbey</v>
          </cell>
        </row>
        <row r="522">
          <cell r="B522" t="str">
            <v>Ards and North Down</v>
          </cell>
        </row>
        <row r="523">
          <cell r="B523" t="str">
            <v>Armagh City, Banbridge and Craigavon</v>
          </cell>
        </row>
        <row r="524">
          <cell r="B524" t="str">
            <v>Belfast</v>
          </cell>
        </row>
        <row r="525">
          <cell r="B525" t="str">
            <v>Causeway Coast and Glens</v>
          </cell>
        </row>
        <row r="526">
          <cell r="B526" t="str">
            <v>Derry City and Strabane</v>
          </cell>
        </row>
        <row r="527">
          <cell r="B527" t="str">
            <v>Fermanagh and Omagh</v>
          </cell>
        </row>
        <row r="528">
          <cell r="B528" t="str">
            <v>Lisburn and Castlereagh</v>
          </cell>
        </row>
        <row r="529">
          <cell r="B529" t="str">
            <v>Mid and East Antrim</v>
          </cell>
        </row>
        <row r="530">
          <cell r="B530" t="str">
            <v>Mid Ulster</v>
          </cell>
        </row>
        <row r="531">
          <cell r="B531" t="str">
            <v>Newry, Mourne and Down</v>
          </cell>
        </row>
      </sheetData>
      <sheetData sheetId="17"/>
      <sheetData sheetId="18"/>
      <sheetData sheetId="19"/>
      <sheetData sheetId="20"/>
      <sheetData sheetId="21"/>
      <sheetData sheetId="22"/>
      <sheetData sheetId="23"/>
      <sheetData sheetId="24"/>
      <sheetData sheetId="25"/>
      <sheetData sheetId="2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etail1"/>
      <sheetName val="Market share by agent"/>
      <sheetName val="Sheet1"/>
      <sheetName val="Market share by supplier"/>
      <sheetName val="EAG matched data clean"/>
      <sheetName val="Based on items rather than QTY"/>
      <sheetName val="SNOMED_Codes (2)"/>
      <sheetName val="PCA listing"/>
      <sheetName val="Pivot updated"/>
      <sheetName val="Sheet7"/>
      <sheetName val="EAG&amp;PCA analysis"/>
      <sheetName val="price selecting tool"/>
      <sheetName val="Sheet4"/>
      <sheetName val="Apendix H ex EAG report"/>
      <sheetName val="Based on CPRD data"/>
      <sheetName val="Pivot"/>
      <sheetName val="CPRD exc discontinued "/>
      <sheetName val="AMDs based on PCA "/>
    </sheetNames>
    <sheetDataSet>
      <sheetData sheetId="0" refreshError="1"/>
      <sheetData sheetId="1">
        <row r="4">
          <cell r="A4" t="str">
            <v>Chitosan</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ow r="27">
          <cell r="A27">
            <v>4</v>
          </cell>
        </row>
        <row r="28">
          <cell r="A28">
            <v>5</v>
          </cell>
        </row>
        <row r="29">
          <cell r="A29">
            <v>6</v>
          </cell>
        </row>
        <row r="30">
          <cell r="A30">
            <v>7</v>
          </cell>
        </row>
      </sheetData>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page"/>
      <sheetName val="Guide"/>
      <sheetName val="Population &amp; resource summary"/>
      <sheetName val="Instructions CA"/>
      <sheetName val="Population selection"/>
      <sheetName val="MFF 2014-15"/>
      <sheetName val="Assumptions input old"/>
      <sheetName val="Assumptions input"/>
      <sheetName val="Unit costs"/>
      <sheetName val="Resource impact template old"/>
      <sheetName val="Resource impact template"/>
      <sheetName val="Resource impact overtime old"/>
      <sheetName val="Resource impact over time"/>
      <sheetName val="Sensitivity analysis"/>
      <sheetName val="References"/>
    </sheetNames>
    <sheetDataSet>
      <sheetData sheetId="0"/>
      <sheetData sheetId="1"/>
      <sheetData sheetId="2"/>
      <sheetData sheetId="3"/>
      <sheetData sheetId="4">
        <row r="12">
          <cell r="L12" t="str">
            <v>Per 100,000 population</v>
          </cell>
        </row>
        <row r="13">
          <cell r="L13" t="str">
            <v>National</v>
          </cell>
        </row>
        <row r="14">
          <cell r="L14" t="str">
            <v>England – CCGs</v>
          </cell>
        </row>
        <row r="15">
          <cell r="L15" t="str">
            <v>Wales – Health Boards</v>
          </cell>
        </row>
        <row r="16">
          <cell r="L16" t="str">
            <v>NI – Health and Social Care Trusts</v>
          </cell>
        </row>
        <row r="17">
          <cell r="L17" t="str">
            <v>England STPs</v>
          </cell>
        </row>
        <row r="18">
          <cell r="L18" t="str">
            <v>NHSE area teams</v>
          </cell>
        </row>
        <row r="19">
          <cell r="L19" t="str">
            <v>Local authorities</v>
          </cell>
        </row>
      </sheetData>
      <sheetData sheetId="5"/>
      <sheetData sheetId="6"/>
      <sheetData sheetId="7"/>
      <sheetData sheetId="8"/>
      <sheetData sheetId="9"/>
      <sheetData sheetId="10">
        <row r="6">
          <cell r="A6" t="str">
            <v>Recommendation 1.2.17 &amp; 1.2.20 - People with unstable angina or NSTEMI - Primary Care Impact</v>
          </cell>
        </row>
      </sheetData>
      <sheetData sheetId="11"/>
      <sheetData sheetId="12"/>
      <sheetData sheetId="13"/>
      <sheetData sheetId="14"/>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0">
    <tabColor theme="1"/>
    <pageSetUpPr fitToPage="1"/>
  </sheetPr>
  <dimension ref="A2:E25"/>
  <sheetViews>
    <sheetView showGridLines="0" tabSelected="1" zoomScale="80" zoomScaleNormal="80" zoomScaleSheetLayoutView="80" workbookViewId="0">
      <selection activeCell="B72" sqref="B72"/>
    </sheetView>
  </sheetViews>
  <sheetFormatPr defaultRowHeight="15" x14ac:dyDescent="0.25"/>
  <cols>
    <col min="1" max="1" width="1.5703125" customWidth="1"/>
    <col min="2" max="2" width="31.5703125" customWidth="1"/>
    <col min="3" max="3" width="89.42578125" customWidth="1"/>
    <col min="4" max="4" width="2.5703125" customWidth="1"/>
    <col min="5" max="5" width="1.5703125" customWidth="1"/>
    <col min="6" max="6" width="1.42578125" customWidth="1"/>
    <col min="11" max="11" width="31" customWidth="1"/>
  </cols>
  <sheetData>
    <row r="2" spans="1:5" x14ac:dyDescent="0.25">
      <c r="A2" s="11"/>
      <c r="B2" s="17"/>
      <c r="C2" s="17"/>
      <c r="D2" s="17"/>
      <c r="E2" s="5"/>
    </row>
    <row r="3" spans="1:5" x14ac:dyDescent="0.25">
      <c r="A3" s="7"/>
      <c r="E3" s="6"/>
    </row>
    <row r="4" spans="1:5" x14ac:dyDescent="0.25">
      <c r="A4" s="7"/>
      <c r="E4" s="6"/>
    </row>
    <row r="5" spans="1:5" x14ac:dyDescent="0.25">
      <c r="A5" s="7"/>
      <c r="E5" s="6"/>
    </row>
    <row r="6" spans="1:5" x14ac:dyDescent="0.25">
      <c r="A6" s="7"/>
      <c r="B6" s="12"/>
      <c r="C6" s="12"/>
      <c r="D6" s="12"/>
      <c r="E6" s="6"/>
    </row>
    <row r="7" spans="1:5" ht="31.5" x14ac:dyDescent="0.5">
      <c r="A7" s="7"/>
      <c r="B7" s="13" t="s">
        <v>0</v>
      </c>
      <c r="C7" s="12"/>
      <c r="D7" s="12"/>
      <c r="E7" s="6"/>
    </row>
    <row r="8" spans="1:5" x14ac:dyDescent="0.25">
      <c r="A8" s="7"/>
      <c r="B8" s="12"/>
      <c r="C8" s="12"/>
      <c r="D8" s="12"/>
      <c r="E8" s="6"/>
    </row>
    <row r="9" spans="1:5" x14ac:dyDescent="0.25">
      <c r="A9" s="7"/>
      <c r="E9" s="6"/>
    </row>
    <row r="10" spans="1:5" ht="31.5" x14ac:dyDescent="0.5">
      <c r="A10" s="7"/>
      <c r="B10" s="29" t="s">
        <v>100</v>
      </c>
      <c r="E10" s="6"/>
    </row>
    <row r="11" spans="1:5" ht="39.6" customHeight="1" x14ac:dyDescent="0.25">
      <c r="A11" s="7"/>
      <c r="B11" s="18" t="s">
        <v>115</v>
      </c>
      <c r="E11" s="6"/>
    </row>
    <row r="12" spans="1:5" ht="31.5" x14ac:dyDescent="0.25">
      <c r="A12" s="7"/>
      <c r="B12" s="18" t="s">
        <v>116</v>
      </c>
      <c r="E12" s="6"/>
    </row>
    <row r="13" spans="1:5" ht="31.5" x14ac:dyDescent="0.25">
      <c r="A13" s="7"/>
      <c r="B13" s="18"/>
      <c r="E13" s="6"/>
    </row>
    <row r="14" spans="1:5" ht="31.5" x14ac:dyDescent="0.5">
      <c r="A14" s="7"/>
      <c r="B14" s="14" t="s">
        <v>117</v>
      </c>
      <c r="C14" s="15"/>
      <c r="E14" s="6"/>
    </row>
    <row r="15" spans="1:5" ht="31.5" x14ac:dyDescent="0.5">
      <c r="A15" s="7"/>
      <c r="C15" s="15"/>
      <c r="E15" s="6"/>
    </row>
    <row r="16" spans="1:5" ht="31.5" x14ac:dyDescent="0.5">
      <c r="A16" s="7"/>
      <c r="B16" s="18" t="s">
        <v>179</v>
      </c>
      <c r="C16" s="15"/>
      <c r="E16" s="6"/>
    </row>
    <row r="17" spans="1:5" ht="31.5" x14ac:dyDescent="0.5">
      <c r="A17" s="7"/>
      <c r="C17" s="15"/>
      <c r="E17" s="6"/>
    </row>
    <row r="18" spans="1:5" x14ac:dyDescent="0.25">
      <c r="A18" s="7"/>
      <c r="E18" s="6"/>
    </row>
    <row r="19" spans="1:5" x14ac:dyDescent="0.25">
      <c r="A19" s="7"/>
      <c r="B19" s="2" t="s">
        <v>1</v>
      </c>
      <c r="C19" s="68" t="s">
        <v>90</v>
      </c>
      <c r="E19" s="6"/>
    </row>
    <row r="20" spans="1:5" x14ac:dyDescent="0.25">
      <c r="A20" s="7"/>
      <c r="B20" s="2" t="s">
        <v>2</v>
      </c>
      <c r="C20" s="70" t="s">
        <v>91</v>
      </c>
      <c r="E20" s="6"/>
    </row>
    <row r="21" spans="1:5" x14ac:dyDescent="0.25">
      <c r="A21" s="7"/>
      <c r="B21" s="2" t="s">
        <v>6</v>
      </c>
      <c r="C21" s="69" t="s">
        <v>94</v>
      </c>
      <c r="E21" s="6"/>
    </row>
    <row r="22" spans="1:5" x14ac:dyDescent="0.25">
      <c r="A22" s="7"/>
      <c r="B22" s="2" t="s">
        <v>3</v>
      </c>
      <c r="C22" s="62" t="s">
        <v>92</v>
      </c>
      <c r="E22" s="6"/>
    </row>
    <row r="23" spans="1:5" x14ac:dyDescent="0.25">
      <c r="A23" s="7"/>
      <c r="B23" s="2" t="s">
        <v>5</v>
      </c>
      <c r="C23" s="62" t="s">
        <v>93</v>
      </c>
      <c r="E23" s="6"/>
    </row>
    <row r="24" spans="1:5" x14ac:dyDescent="0.25">
      <c r="A24" s="7"/>
      <c r="B24" s="2" t="s">
        <v>4</v>
      </c>
      <c r="C24" s="126" t="s">
        <v>180</v>
      </c>
      <c r="E24" s="6"/>
    </row>
    <row r="25" spans="1:5" x14ac:dyDescent="0.25">
      <c r="A25" s="8"/>
      <c r="B25" s="9"/>
      <c r="C25" s="9"/>
      <c r="D25" s="9"/>
      <c r="E25" s="10"/>
    </row>
  </sheetData>
  <sheetProtection algorithmName="SHA-512" hashValue="fI2cgNqs/PWD/cqtHlzcIEOlJfYD6AtCsU8gixGxne7n5MQLN1urfJU/9kZdy6zYIlZtY479ZnVFzM0x9TvIMA==" saltValue="AYVm02xj1pKuFQrCpOixpw==" spinCount="100000" sheet="1" objects="1" scenarios="1"/>
  <pageMargins left="0.23622047244094491" right="0.23622047244094491" top="0.74803149606299213" bottom="0.74803149606299213" header="0.31496062992125984" footer="0.31496062992125984"/>
  <pageSetup paperSize="9" scale="77" fitToHeight="0" orientation="portrait"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1D9DD8-E21E-4ADD-A4D5-97E78444301E}">
  <sheetPr codeName="Sheet3">
    <tabColor theme="1"/>
    <pageSetUpPr fitToPage="1"/>
  </sheetPr>
  <dimension ref="A1:S25"/>
  <sheetViews>
    <sheetView showGridLines="0" zoomScale="70" zoomScaleNormal="70" zoomScaleSheetLayoutView="80" workbookViewId="0"/>
  </sheetViews>
  <sheetFormatPr defaultRowHeight="15" x14ac:dyDescent="0.25"/>
  <cols>
    <col min="1" max="1" width="25.5703125" style="61" customWidth="1"/>
    <col min="2" max="2" width="1.5703125" customWidth="1"/>
    <col min="3" max="3" width="100.42578125" customWidth="1"/>
  </cols>
  <sheetData>
    <row r="1" spans="1:19" ht="26.25" x14ac:dyDescent="0.4">
      <c r="A1" s="89" t="s">
        <v>99</v>
      </c>
      <c r="B1" s="90"/>
      <c r="C1" s="131"/>
    </row>
    <row r="3" spans="1:19" ht="42" customHeight="1" x14ac:dyDescent="0.25">
      <c r="A3" s="91"/>
      <c r="B3" s="90"/>
      <c r="C3" s="92" t="s">
        <v>155</v>
      </c>
      <c r="E3" s="170"/>
      <c r="F3" s="170"/>
      <c r="G3" s="170"/>
      <c r="H3" s="170"/>
      <c r="I3" s="170"/>
      <c r="J3" s="170"/>
      <c r="K3" s="170"/>
      <c r="L3" s="170"/>
      <c r="M3" s="170"/>
      <c r="N3" s="170"/>
      <c r="O3" s="170"/>
      <c r="P3" s="170"/>
      <c r="Q3" s="170"/>
      <c r="R3" s="170"/>
      <c r="S3" s="170"/>
    </row>
    <row r="5" spans="1:19" ht="60" customHeight="1" x14ac:dyDescent="0.25">
      <c r="A5" s="130" t="s">
        <v>95</v>
      </c>
      <c r="B5" s="63"/>
      <c r="C5" s="67" t="s">
        <v>124</v>
      </c>
    </row>
    <row r="6" spans="1:19" x14ac:dyDescent="0.25">
      <c r="A6" s="66"/>
      <c r="C6" s="6"/>
    </row>
    <row r="7" spans="1:19" ht="45.6" customHeight="1" x14ac:dyDescent="0.25">
      <c r="A7" s="130" t="s">
        <v>96</v>
      </c>
      <c r="B7" s="64"/>
      <c r="C7" s="67" t="s">
        <v>134</v>
      </c>
    </row>
    <row r="8" spans="1:19" x14ac:dyDescent="0.25">
      <c r="A8" s="66"/>
      <c r="C8" s="6"/>
    </row>
    <row r="9" spans="1:19" ht="149.44999999999999" customHeight="1" x14ac:dyDescent="0.25">
      <c r="A9" s="130" t="s">
        <v>97</v>
      </c>
      <c r="B9" s="64"/>
      <c r="C9" s="94" t="s">
        <v>143</v>
      </c>
    </row>
    <row r="10" spans="1:19" x14ac:dyDescent="0.25">
      <c r="A10" s="66"/>
      <c r="C10" s="6"/>
    </row>
    <row r="11" spans="1:19" ht="75" customHeight="1" x14ac:dyDescent="0.25">
      <c r="A11" s="130" t="s">
        <v>98</v>
      </c>
      <c r="B11" s="63"/>
      <c r="C11" s="67" t="s">
        <v>157</v>
      </c>
    </row>
    <row r="12" spans="1:19" x14ac:dyDescent="0.25">
      <c r="A12" s="66"/>
      <c r="C12" s="127"/>
    </row>
    <row r="13" spans="1:19" ht="42" customHeight="1" x14ac:dyDescent="0.25">
      <c r="A13" s="91"/>
      <c r="B13" s="90"/>
      <c r="C13" s="92" t="s">
        <v>109</v>
      </c>
      <c r="E13" s="170"/>
      <c r="F13" s="170"/>
      <c r="G13" s="170"/>
      <c r="H13" s="170"/>
      <c r="I13" s="170"/>
      <c r="J13" s="170"/>
      <c r="K13" s="170"/>
      <c r="L13" s="170"/>
      <c r="M13" s="170"/>
      <c r="N13" s="170"/>
      <c r="O13" s="170"/>
      <c r="P13" s="170"/>
      <c r="Q13" s="170"/>
      <c r="R13" s="170"/>
      <c r="S13" s="170"/>
    </row>
    <row r="14" spans="1:19" x14ac:dyDescent="0.25">
      <c r="A14" s="66"/>
      <c r="C14" s="123"/>
    </row>
    <row r="15" spans="1:19" ht="90" customHeight="1" x14ac:dyDescent="0.25">
      <c r="A15" s="88" t="s">
        <v>149</v>
      </c>
      <c r="B15" s="65"/>
      <c r="C15" s="67" t="s">
        <v>172</v>
      </c>
    </row>
    <row r="16" spans="1:19" x14ac:dyDescent="0.25">
      <c r="A16" s="66"/>
      <c r="C16" s="127"/>
    </row>
    <row r="17" spans="1:3" ht="114.95" customHeight="1" x14ac:dyDescent="0.25">
      <c r="A17" s="88" t="s">
        <v>150</v>
      </c>
      <c r="C17" s="67" t="s">
        <v>173</v>
      </c>
    </row>
    <row r="18" spans="1:3" x14ac:dyDescent="0.25">
      <c r="A18" s="66"/>
      <c r="C18" s="127"/>
    </row>
    <row r="19" spans="1:3" ht="80.099999999999994" customHeight="1" x14ac:dyDescent="0.25">
      <c r="A19" s="88" t="s">
        <v>151</v>
      </c>
      <c r="C19" s="67" t="s">
        <v>142</v>
      </c>
    </row>
    <row r="20" spans="1:3" x14ac:dyDescent="0.25">
      <c r="A20" s="66"/>
      <c r="C20" s="127"/>
    </row>
    <row r="21" spans="1:3" ht="80.099999999999994" customHeight="1" x14ac:dyDescent="0.25">
      <c r="A21" s="88" t="s">
        <v>152</v>
      </c>
      <c r="C21" s="67" t="s">
        <v>144</v>
      </c>
    </row>
    <row r="22" spans="1:3" x14ac:dyDescent="0.25">
      <c r="A22" s="66"/>
      <c r="C22" s="127"/>
    </row>
    <row r="23" spans="1:3" ht="80.099999999999994" customHeight="1" x14ac:dyDescent="0.25">
      <c r="A23" s="130" t="s">
        <v>153</v>
      </c>
      <c r="C23" s="67" t="s">
        <v>154</v>
      </c>
    </row>
    <row r="25" spans="1:3" ht="80.099999999999994" customHeight="1" x14ac:dyDescent="0.25">
      <c r="A25" s="88" t="s">
        <v>108</v>
      </c>
      <c r="B25" s="65"/>
      <c r="C25" s="67" t="s">
        <v>174</v>
      </c>
    </row>
  </sheetData>
  <sheetProtection algorithmName="SHA-512" hashValue="wJWCzsLWWb/sJWvqrfNz9ZSsiQTAPDxNjKJAb9/TxVvP7oB/WGvXzCczmFspCGGAabftCSZxRTWVjvAKxo0/zg==" saltValue="3rTVSabUm8+48XPLet4N4w==" spinCount="100000" sheet="1" objects="1" scenarios="1"/>
  <mergeCells count="2">
    <mergeCell ref="E13:S13"/>
    <mergeCell ref="E3:S3"/>
  </mergeCells>
  <pageMargins left="0.7" right="0.7" top="0.75" bottom="0.75" header="0.3" footer="0.3"/>
  <pageSetup paperSize="9" scale="68" fitToHeight="0"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E3A479-8069-4183-BC65-2288B6C6AB97}">
  <sheetPr>
    <tabColor theme="8" tint="0.59999389629810485"/>
  </sheetPr>
  <dimension ref="A1:Z165"/>
  <sheetViews>
    <sheetView showGridLines="0" zoomScale="80" zoomScaleNormal="80" workbookViewId="0"/>
  </sheetViews>
  <sheetFormatPr defaultColWidth="2.5703125" defaultRowHeight="15" x14ac:dyDescent="0.25"/>
  <cols>
    <col min="1" max="1" width="2.42578125" customWidth="1"/>
    <col min="2" max="2" width="22.140625" customWidth="1"/>
    <col min="3" max="3" width="10.5703125" style="111" customWidth="1"/>
    <col min="4" max="4" width="29.85546875" style="111" customWidth="1"/>
    <col min="5" max="5" width="1.5703125" customWidth="1"/>
    <col min="6" max="9" width="12.5703125" customWidth="1"/>
    <col min="10" max="10" width="14.140625" customWidth="1"/>
    <col min="11" max="11" width="1.5703125" customWidth="1"/>
    <col min="12" max="15" width="12.5703125" customWidth="1"/>
    <col min="16" max="16" width="1.5703125" customWidth="1"/>
    <col min="17" max="18" width="12.5703125" customWidth="1"/>
    <col min="19" max="19" width="1.5703125" customWidth="1"/>
    <col min="20" max="22" width="12.5703125" customWidth="1"/>
    <col min="23" max="23" width="13.42578125" customWidth="1"/>
    <col min="24" max="24" width="8.85546875" hidden="1" customWidth="1"/>
    <col min="25" max="25" width="8.85546875" style="113" hidden="1" customWidth="1"/>
    <col min="26" max="26" width="8.85546875" hidden="1" customWidth="1"/>
    <col min="27" max="1588" width="8.85546875" customWidth="1"/>
  </cols>
  <sheetData>
    <row r="1" spans="2:22" ht="21" customHeight="1" x14ac:dyDescent="0.25">
      <c r="B1" s="4" t="s">
        <v>110</v>
      </c>
      <c r="C1" s="4"/>
      <c r="D1" s="3"/>
      <c r="E1" s="4"/>
      <c r="F1" s="4"/>
      <c r="G1" s="3"/>
      <c r="H1" s="3"/>
      <c r="I1" s="3"/>
      <c r="J1" s="3"/>
      <c r="K1" s="3"/>
      <c r="L1" s="3"/>
      <c r="M1" s="3"/>
      <c r="N1" s="3"/>
      <c r="O1" s="3"/>
      <c r="P1" s="3"/>
      <c r="Q1" s="3"/>
      <c r="R1" s="3"/>
      <c r="S1" s="3"/>
      <c r="T1" s="3"/>
      <c r="U1" s="3"/>
      <c r="V1" s="3"/>
    </row>
    <row r="2" spans="2:22" ht="5.25" customHeight="1" x14ac:dyDescent="0.25">
      <c r="B2" s="111"/>
      <c r="D2"/>
    </row>
    <row r="3" spans="2:22" ht="20.100000000000001" customHeight="1" x14ac:dyDescent="0.25">
      <c r="B3" s="149" t="s">
        <v>139</v>
      </c>
      <c r="C3" s="124"/>
      <c r="D3" s="124"/>
      <c r="E3" s="124"/>
      <c r="F3" s="124"/>
      <c r="G3" s="124"/>
      <c r="H3" s="124"/>
      <c r="I3" s="124"/>
      <c r="J3" s="124"/>
      <c r="K3" s="124"/>
      <c r="L3" s="124"/>
      <c r="M3" s="124"/>
      <c r="N3" s="124"/>
      <c r="O3" s="124"/>
      <c r="P3" s="124"/>
      <c r="Q3" s="124"/>
      <c r="R3" s="124"/>
      <c r="S3" s="124"/>
      <c r="T3" s="124"/>
      <c r="U3" s="124"/>
    </row>
    <row r="4" spans="2:22" x14ac:dyDescent="0.25">
      <c r="B4" s="150" t="s">
        <v>140</v>
      </c>
      <c r="D4"/>
    </row>
    <row r="5" spans="2:22" ht="15" customHeight="1" x14ac:dyDescent="0.25">
      <c r="B5" s="102" t="s">
        <v>175</v>
      </c>
      <c r="C5" s="125"/>
      <c r="D5" s="125"/>
      <c r="E5" s="125"/>
      <c r="F5" s="125"/>
      <c r="G5" s="125"/>
      <c r="H5" s="125"/>
      <c r="I5" s="125"/>
      <c r="J5" s="125"/>
      <c r="K5" s="125"/>
      <c r="L5" s="125"/>
      <c r="M5" s="125"/>
      <c r="N5" s="125"/>
      <c r="O5" s="125"/>
      <c r="P5" s="125"/>
      <c r="Q5" s="125"/>
      <c r="R5" s="125"/>
      <c r="S5" s="125"/>
      <c r="T5" s="125"/>
      <c r="U5" s="125"/>
      <c r="V5" s="125"/>
    </row>
    <row r="6" spans="2:22" ht="15" customHeight="1" x14ac:dyDescent="0.25">
      <c r="B6" s="102" t="s">
        <v>176</v>
      </c>
      <c r="C6" s="125"/>
      <c r="D6" s="125"/>
      <c r="E6" s="125"/>
      <c r="F6" s="125"/>
      <c r="G6" s="125"/>
      <c r="H6" s="125"/>
      <c r="I6" s="125"/>
      <c r="J6" s="125"/>
      <c r="K6" s="125"/>
      <c r="L6" s="125"/>
      <c r="M6" s="125"/>
      <c r="N6" s="125"/>
      <c r="O6" s="125"/>
      <c r="P6" s="125"/>
      <c r="Q6" s="125"/>
      <c r="R6" s="125"/>
      <c r="S6" s="125"/>
      <c r="T6" s="125"/>
      <c r="U6" s="125"/>
      <c r="V6" s="125"/>
    </row>
    <row r="7" spans="2:22" ht="15" customHeight="1" x14ac:dyDescent="0.25">
      <c r="B7" s="102" t="s">
        <v>145</v>
      </c>
      <c r="C7" s="125"/>
      <c r="D7" s="125"/>
      <c r="E7" s="125"/>
      <c r="F7" s="125"/>
      <c r="G7" s="125"/>
      <c r="H7" s="125"/>
      <c r="I7" s="125"/>
      <c r="J7" s="125"/>
      <c r="K7" s="125"/>
      <c r="L7" s="125"/>
      <c r="M7" s="125"/>
      <c r="N7" s="125"/>
      <c r="O7" s="125"/>
      <c r="P7" s="125"/>
      <c r="Q7" s="125"/>
      <c r="R7" s="125"/>
      <c r="S7" s="125"/>
      <c r="T7" s="125"/>
      <c r="U7" s="125"/>
    </row>
    <row r="8" spans="2:22" ht="15" customHeight="1" x14ac:dyDescent="0.25">
      <c r="B8" s="102" t="s">
        <v>146</v>
      </c>
      <c r="D8"/>
    </row>
    <row r="9" spans="2:22" ht="25.35" customHeight="1" x14ac:dyDescent="0.25">
      <c r="B9" s="96" t="s">
        <v>111</v>
      </c>
      <c r="C9" s="96"/>
      <c r="D9"/>
      <c r="E9" s="93"/>
      <c r="F9" s="93"/>
      <c r="G9" s="93"/>
    </row>
    <row r="10" spans="2:22" ht="63" x14ac:dyDescent="0.25">
      <c r="B10" s="148" t="s">
        <v>170</v>
      </c>
      <c r="C10" s="145"/>
      <c r="D10" s="146" t="s">
        <v>114</v>
      </c>
      <c r="E10" s="161"/>
      <c r="F10" s="160" t="s">
        <v>165</v>
      </c>
      <c r="G10" s="147" t="s">
        <v>102</v>
      </c>
      <c r="H10" s="135" t="s">
        <v>161</v>
      </c>
      <c r="I10" s="151" t="s">
        <v>162</v>
      </c>
    </row>
    <row r="11" spans="2:22" x14ac:dyDescent="0.25">
      <c r="B11" s="138" t="str">
        <f>IF(D11="","",INDEX($B$22:$B59,MATCH(G11,$Y$22:$Y$58,0),1))</f>
        <v/>
      </c>
      <c r="C11" s="139"/>
      <c r="D11" s="129" t="str">
        <f>IFERROR(INDEX($X$22:$X$58, MATCH(G11,$Y$22:$Y$58,0),1),"")</f>
        <v/>
      </c>
      <c r="E11" s="134"/>
      <c r="F11" s="162" t="str">
        <f>IF(D11="","",INDEX($Z$22:$Z60,MATCH(G11,$Y$22:$Y$60,0),1))</f>
        <v/>
      </c>
      <c r="G11" s="159" t="str">
        <f>IFERROR(SMALL($Y$21:$Y$58,1),"")</f>
        <v/>
      </c>
      <c r="H11" s="121"/>
      <c r="I11" s="136" t="str">
        <f>IFERROR($H$11*D11,"")</f>
        <v/>
      </c>
    </row>
    <row r="12" spans="2:22" x14ac:dyDescent="0.25">
      <c r="B12" s="138" t="str">
        <f>IF(D12="","",INDEX($B$22:$B60,MATCH(G12,$Y$22:$Y$58,0),1))</f>
        <v/>
      </c>
      <c r="C12" s="139"/>
      <c r="D12" s="129" t="str">
        <f>IF(G12="","",IFERROR(INDEX($X$22:$X$58, MATCH(G12,$Y$22:$Y$58,0),1),""))</f>
        <v/>
      </c>
      <c r="E12" s="134"/>
      <c r="F12" s="162" t="str">
        <f>IF(D12="","",INDEX($Z$22:$Z61,MATCH(G12,$Y$22:$Y$60,0),1))</f>
        <v/>
      </c>
      <c r="G12" s="159" t="str">
        <f>IFERROR(SMALL($Y$21:$Y$58,2),"")</f>
        <v/>
      </c>
      <c r="H12" s="2" t="str">
        <f>IF($H$11="","",$H$11)</f>
        <v/>
      </c>
      <c r="I12" s="136" t="str">
        <f>IFERROR($H$12*D12,"")</f>
        <v/>
      </c>
    </row>
    <row r="13" spans="2:22" x14ac:dyDescent="0.25">
      <c r="B13" s="138" t="str">
        <f>IF(D13="","",INDEX($B$22:$B61,MATCH(G13,$Y$22:$Y$58,0),1))</f>
        <v/>
      </c>
      <c r="C13" s="139"/>
      <c r="D13" s="129" t="str">
        <f t="shared" ref="D13:D15" si="0">IF(G13="","",IFERROR(INDEX($X$22:$X$58, MATCH(G13,$Y$22:$Y$58,0),1),""))</f>
        <v/>
      </c>
      <c r="E13" s="134"/>
      <c r="F13" s="162" t="str">
        <f>IF(D13="","",INDEX($Z$22:$Z62,MATCH(G13,$Y$22:$Y$60,0),1))</f>
        <v/>
      </c>
      <c r="G13" s="159" t="str">
        <f>IFERROR(SMALL($Y$21:$Y$58,3),"")</f>
        <v/>
      </c>
      <c r="H13" s="2" t="str">
        <f t="shared" ref="H13:H15" si="1">IF($H$11="","",$H$11)</f>
        <v/>
      </c>
      <c r="I13" s="136" t="str">
        <f t="shared" ref="I13:I15" si="2">IFERROR($H$12*D13,"")</f>
        <v/>
      </c>
    </row>
    <row r="14" spans="2:22" x14ac:dyDescent="0.25">
      <c r="B14" s="138" t="str">
        <f>IF(D14="","",INDEX($B$22:$B62,MATCH(G14,$Y$22:$Y$58,0),1))</f>
        <v/>
      </c>
      <c r="C14" s="139"/>
      <c r="D14" s="129" t="str">
        <f t="shared" si="0"/>
        <v/>
      </c>
      <c r="E14" s="134"/>
      <c r="F14" s="162" t="str">
        <f>IF(D14="","",INDEX($Z$22:$Z63,MATCH(G14,$Y$22:$Y$60,0),1))</f>
        <v/>
      </c>
      <c r="G14" s="159" t="str">
        <f>IFERROR(SMALL($Y$21:$Y$58,4),"")</f>
        <v/>
      </c>
      <c r="H14" s="2" t="str">
        <f t="shared" si="1"/>
        <v/>
      </c>
      <c r="I14" s="136" t="str">
        <f t="shared" si="2"/>
        <v/>
      </c>
    </row>
    <row r="15" spans="2:22" x14ac:dyDescent="0.25">
      <c r="B15" s="138" t="str">
        <f>IF(D15="","",INDEX($B$22:$B63,MATCH(G15,$Y$22:$Y$58,0),1))</f>
        <v/>
      </c>
      <c r="C15" s="139"/>
      <c r="D15" s="129" t="str">
        <f t="shared" si="0"/>
        <v/>
      </c>
      <c r="E15" s="134"/>
      <c r="F15" s="162" t="str">
        <f>IF(D15="","",INDEX($Z$22:$Z64,MATCH(G15,$Y$22:$Y$60,0),1))</f>
        <v/>
      </c>
      <c r="G15" s="159" t="str">
        <f>IFERROR(SMALL($Y$21:$Y$58,5),"")</f>
        <v/>
      </c>
      <c r="H15" s="2" t="str">
        <f t="shared" si="1"/>
        <v/>
      </c>
      <c r="I15" s="136" t="str">
        <f t="shared" si="2"/>
        <v/>
      </c>
    </row>
    <row r="16" spans="2:22" ht="13.7" customHeight="1" x14ac:dyDescent="0.25"/>
    <row r="17" spans="2:26" ht="20.100000000000001" customHeight="1" x14ac:dyDescent="0.25">
      <c r="B17" s="163" t="s">
        <v>177</v>
      </c>
    </row>
    <row r="18" spans="2:26" ht="24.6" customHeight="1" x14ac:dyDescent="0.25">
      <c r="B18" s="163" t="s">
        <v>178</v>
      </c>
    </row>
    <row r="19" spans="2:26" x14ac:dyDescent="0.25">
      <c r="C19" s="171" t="s">
        <v>135</v>
      </c>
      <c r="D19" s="172"/>
      <c r="F19" s="173" t="s">
        <v>136</v>
      </c>
      <c r="G19" s="175"/>
      <c r="H19" s="175"/>
      <c r="I19" s="175"/>
      <c r="J19" s="174"/>
      <c r="L19" s="173" t="s">
        <v>137</v>
      </c>
      <c r="M19" s="175"/>
      <c r="N19" s="175"/>
      <c r="O19" s="174"/>
      <c r="Q19" s="173" t="s">
        <v>138</v>
      </c>
      <c r="R19" s="174"/>
    </row>
    <row r="20" spans="2:26" ht="105" x14ac:dyDescent="0.25">
      <c r="B20" s="141" t="s">
        <v>163</v>
      </c>
      <c r="C20" s="142" t="s">
        <v>122</v>
      </c>
      <c r="D20" s="143" t="s">
        <v>133</v>
      </c>
      <c r="E20" s="115"/>
      <c r="F20" s="143" t="s">
        <v>159</v>
      </c>
      <c r="G20" s="143" t="s">
        <v>158</v>
      </c>
      <c r="H20" s="143" t="s">
        <v>103</v>
      </c>
      <c r="I20" s="143" t="s">
        <v>147</v>
      </c>
      <c r="J20" s="143" t="s">
        <v>160</v>
      </c>
      <c r="K20" s="115"/>
      <c r="L20" s="143" t="s">
        <v>125</v>
      </c>
      <c r="M20" s="144" t="s">
        <v>123</v>
      </c>
      <c r="N20" s="144" t="s">
        <v>101</v>
      </c>
      <c r="O20" s="144" t="s">
        <v>89</v>
      </c>
      <c r="P20" s="115"/>
      <c r="Q20" s="143" t="s">
        <v>130</v>
      </c>
      <c r="R20" s="143" t="s">
        <v>129</v>
      </c>
      <c r="S20" s="115"/>
      <c r="T20" s="143" t="s">
        <v>118</v>
      </c>
      <c r="U20" s="143" t="s">
        <v>128</v>
      </c>
      <c r="V20" s="143" t="s">
        <v>127</v>
      </c>
      <c r="W20" s="143" t="s">
        <v>126</v>
      </c>
      <c r="X20" s="109" t="s">
        <v>132</v>
      </c>
      <c r="Y20" s="109" t="s">
        <v>131</v>
      </c>
      <c r="Z20" s="158" t="s">
        <v>171</v>
      </c>
    </row>
    <row r="21" spans="2:26" x14ac:dyDescent="0.25">
      <c r="E21" s="115"/>
      <c r="F21" s="61"/>
      <c r="G21" s="61"/>
      <c r="H21" s="116"/>
      <c r="I21" s="116"/>
      <c r="J21" s="116"/>
      <c r="K21" s="115"/>
      <c r="L21" s="116"/>
      <c r="M21" s="117"/>
      <c r="N21" s="117"/>
      <c r="O21" s="117"/>
      <c r="P21" s="115"/>
      <c r="Q21" s="118"/>
      <c r="R21" s="118"/>
      <c r="S21" s="115"/>
      <c r="T21" s="116"/>
      <c r="U21" s="116"/>
      <c r="V21" s="116"/>
      <c r="W21" s="116"/>
      <c r="X21" s="116"/>
      <c r="Y21" s="116"/>
    </row>
    <row r="22" spans="2:26" x14ac:dyDescent="0.25">
      <c r="B22" s="152" t="s">
        <v>164</v>
      </c>
      <c r="C22" s="167"/>
      <c r="D22" s="128" t="s">
        <v>156</v>
      </c>
      <c r="E22" s="6"/>
      <c r="F22" s="132">
        <v>0</v>
      </c>
      <c r="G22" s="132"/>
      <c r="H22" s="164">
        <f>IF(G22=0,0,G22-F22)</f>
        <v>0</v>
      </c>
      <c r="I22" s="85"/>
      <c r="J22" s="85"/>
      <c r="L22" s="121"/>
      <c r="M22" s="121"/>
      <c r="N22" s="121"/>
      <c r="O22" s="104" t="str">
        <f>IFERROR(VLOOKUP(N22,payscales!$B$12:$M$47,12,FALSE),"")</f>
        <v/>
      </c>
      <c r="Q22" s="122"/>
      <c r="R22" s="122"/>
      <c r="T22" s="103">
        <f>H22*I22*Q22</f>
        <v>0</v>
      </c>
      <c r="U22" s="103">
        <f>H22*J22*R22</f>
        <v>0</v>
      </c>
      <c r="V22" s="104" t="str">
        <f>IFERROR((H22*L22)*M22/60*O22,"")</f>
        <v/>
      </c>
      <c r="W22" s="103">
        <f>SUM(T22:V22)</f>
        <v>0</v>
      </c>
      <c r="X22" s="155" t="str">
        <f>IF(W28=0,"",W28)</f>
        <v/>
      </c>
      <c r="Y22" s="119" t="str">
        <f>IFERROR(IF($X22=0,"",IF($X22&gt;0,RANK($X22,$X$22:$X$58,1) - COUNTIF($X$22:$X$58,0), RANK($X22,$X$22:$X$58,1))),"")</f>
        <v/>
      </c>
      <c r="Z22">
        <f>SUM(H22:H27)</f>
        <v>0</v>
      </c>
    </row>
    <row r="23" spans="2:26" x14ac:dyDescent="0.25">
      <c r="B23" s="153"/>
      <c r="C23" s="167"/>
      <c r="D23" s="128" t="s">
        <v>156</v>
      </c>
      <c r="E23" s="6"/>
      <c r="F23" s="165">
        <f>G22</f>
        <v>0</v>
      </c>
      <c r="G23" s="132"/>
      <c r="H23" s="164">
        <f t="shared" ref="H23:H27" si="3">IF(G23=0,0,G23-F23)</f>
        <v>0</v>
      </c>
      <c r="I23" s="85"/>
      <c r="J23" s="85"/>
      <c r="L23" s="121"/>
      <c r="M23" s="121"/>
      <c r="N23" s="121"/>
      <c r="O23" s="104" t="str">
        <f>IFERROR(VLOOKUP(N23,payscales!$B$12:$M$47,12,FALSE),"")</f>
        <v/>
      </c>
      <c r="Q23" s="122"/>
      <c r="R23" s="122"/>
      <c r="T23" s="103">
        <f t="shared" ref="T23:T27" si="4">H23*I23*Q23</f>
        <v>0</v>
      </c>
      <c r="U23" s="103">
        <f t="shared" ref="U23:U27" si="5">H23*J23*R23</f>
        <v>0</v>
      </c>
      <c r="V23" s="104" t="str">
        <f t="shared" ref="V23:V27" si="6">IFERROR((H23*L23)*M23/60*O23,"")</f>
        <v/>
      </c>
      <c r="W23" s="103">
        <f t="shared" ref="W23:W27" si="7">SUM(T23:V23)</f>
        <v>0</v>
      </c>
      <c r="X23" s="112"/>
      <c r="Y23" s="114"/>
    </row>
    <row r="24" spans="2:26" x14ac:dyDescent="0.25">
      <c r="B24" s="153"/>
      <c r="C24" s="167"/>
      <c r="D24" s="128" t="s">
        <v>156</v>
      </c>
      <c r="E24" s="6"/>
      <c r="F24" s="165">
        <f>G23</f>
        <v>0</v>
      </c>
      <c r="G24" s="132"/>
      <c r="H24" s="164">
        <f t="shared" si="3"/>
        <v>0</v>
      </c>
      <c r="I24" s="85"/>
      <c r="J24" s="85"/>
      <c r="L24" s="121"/>
      <c r="M24" s="121"/>
      <c r="N24" s="121"/>
      <c r="O24" s="104" t="str">
        <f>IFERROR(VLOOKUP(N24,payscales!$B$12:$M$47,12,FALSE),"")</f>
        <v/>
      </c>
      <c r="Q24" s="122"/>
      <c r="R24" s="122"/>
      <c r="T24" s="103">
        <f t="shared" ref="T24" si="8">H24*I24*Q24</f>
        <v>0</v>
      </c>
      <c r="U24" s="103">
        <f t="shared" ref="U24" si="9">H24*J24*R24</f>
        <v>0</v>
      </c>
      <c r="V24" s="104" t="str">
        <f t="shared" ref="V24" si="10">IFERROR((H24*L24)*M24/60*O24,"")</f>
        <v/>
      </c>
      <c r="W24" s="103">
        <f t="shared" ref="W24" si="11">SUM(T24:V24)</f>
        <v>0</v>
      </c>
      <c r="X24" s="112"/>
      <c r="Y24" s="114"/>
    </row>
    <row r="25" spans="2:26" x14ac:dyDescent="0.25">
      <c r="B25" s="153"/>
      <c r="C25" s="167"/>
      <c r="D25" s="128" t="s">
        <v>156</v>
      </c>
      <c r="E25" s="6"/>
      <c r="F25" s="165">
        <f>G24</f>
        <v>0</v>
      </c>
      <c r="G25" s="132"/>
      <c r="H25" s="164">
        <f t="shared" si="3"/>
        <v>0</v>
      </c>
      <c r="I25" s="85"/>
      <c r="J25" s="85"/>
      <c r="L25" s="121"/>
      <c r="M25" s="121"/>
      <c r="N25" s="121"/>
      <c r="O25" s="104" t="str">
        <f>IFERROR(VLOOKUP(N25,payscales!$B$12:$M$47,12,FALSE),"")</f>
        <v/>
      </c>
      <c r="Q25" s="122"/>
      <c r="R25" s="122"/>
      <c r="T25" s="103">
        <f t="shared" si="4"/>
        <v>0</v>
      </c>
      <c r="U25" s="103">
        <f t="shared" si="5"/>
        <v>0</v>
      </c>
      <c r="V25" s="104" t="str">
        <f t="shared" si="6"/>
        <v/>
      </c>
      <c r="W25" s="103">
        <f t="shared" si="7"/>
        <v>0</v>
      </c>
      <c r="X25" s="95"/>
      <c r="Y25" s="120"/>
    </row>
    <row r="26" spans="2:26" x14ac:dyDescent="0.25">
      <c r="B26" s="153"/>
      <c r="C26" s="169"/>
      <c r="D26" s="128" t="s">
        <v>156</v>
      </c>
      <c r="F26" s="165">
        <f>G25</f>
        <v>0</v>
      </c>
      <c r="G26" s="132"/>
      <c r="H26" s="164">
        <f t="shared" si="3"/>
        <v>0</v>
      </c>
      <c r="I26" s="85"/>
      <c r="J26" s="85"/>
      <c r="L26" s="121"/>
      <c r="M26" s="121"/>
      <c r="N26" s="121"/>
      <c r="O26" s="104" t="str">
        <f>IFERROR(VLOOKUP(N26,payscales!$B$12:$M$47,12,FALSE),"")</f>
        <v/>
      </c>
      <c r="Q26" s="122"/>
      <c r="R26" s="122"/>
      <c r="T26" s="103">
        <f t="shared" si="4"/>
        <v>0</v>
      </c>
      <c r="U26" s="103">
        <f t="shared" si="5"/>
        <v>0</v>
      </c>
      <c r="V26" s="104" t="str">
        <f t="shared" si="6"/>
        <v/>
      </c>
      <c r="W26" s="103">
        <f t="shared" si="7"/>
        <v>0</v>
      </c>
      <c r="X26" s="95"/>
      <c r="Y26" s="120"/>
    </row>
    <row r="27" spans="2:26" x14ac:dyDescent="0.25">
      <c r="B27" s="154"/>
      <c r="C27" s="169"/>
      <c r="D27" s="128" t="s">
        <v>156</v>
      </c>
      <c r="F27" s="165">
        <f>G26</f>
        <v>0</v>
      </c>
      <c r="G27" s="132"/>
      <c r="H27" s="164">
        <f t="shared" si="3"/>
        <v>0</v>
      </c>
      <c r="I27" s="85"/>
      <c r="J27" s="85"/>
      <c r="L27" s="121"/>
      <c r="M27" s="121"/>
      <c r="N27" s="121"/>
      <c r="O27" s="104" t="str">
        <f>IFERROR(VLOOKUP(N27,payscales!$B$12:$M$47,12,FALSE),"")</f>
        <v/>
      </c>
      <c r="Q27" s="122"/>
      <c r="R27" s="122"/>
      <c r="T27" s="103">
        <f t="shared" si="4"/>
        <v>0</v>
      </c>
      <c r="U27" s="103">
        <f t="shared" si="5"/>
        <v>0</v>
      </c>
      <c r="V27" s="104" t="str">
        <f t="shared" si="6"/>
        <v/>
      </c>
      <c r="W27" s="103">
        <f t="shared" si="7"/>
        <v>0</v>
      </c>
      <c r="X27" s="95"/>
      <c r="Y27" s="120"/>
    </row>
    <row r="28" spans="2:26" x14ac:dyDescent="0.25">
      <c r="D28" s="65"/>
      <c r="F28" s="110"/>
      <c r="G28" s="110"/>
      <c r="I28" s="16"/>
      <c r="J28" s="16"/>
      <c r="Q28" s="105"/>
      <c r="R28" s="105"/>
      <c r="T28" s="105"/>
      <c r="U28" s="106"/>
      <c r="V28" s="107" t="s">
        <v>148</v>
      </c>
      <c r="W28" s="108">
        <f>SUM(W22:W27)</f>
        <v>0</v>
      </c>
      <c r="X28" s="112"/>
      <c r="Y28" s="114" t="str">
        <f>IFERROR(IF($X28=0,"",IF($X28&gt;0,RANK($X28,$X$22:$X$58,1) - COUNTIF($X$22:$X$58,0), RANK($X28,$X$22:$X$58,1))),"")</f>
        <v/>
      </c>
    </row>
    <row r="29" spans="2:26" ht="9.9499999999999993" customHeight="1" x14ac:dyDescent="0.25">
      <c r="D29" s="65"/>
      <c r="F29" s="110"/>
      <c r="G29" s="110"/>
      <c r="I29" s="16"/>
      <c r="J29" s="16"/>
      <c r="W29" s="127"/>
      <c r="X29" s="6"/>
      <c r="Y29" s="114" t="str">
        <f>IFERROR(IF($X29=0,"",IF($X29&gt;0,RANK($X29,$X$22:$X$58,1) - COUNTIF($X$22:$X$58,0), RANK($X29,$X$22:$X$58,1))),"")</f>
        <v/>
      </c>
    </row>
    <row r="30" spans="2:26" x14ac:dyDescent="0.25">
      <c r="B30" s="140" t="s">
        <v>166</v>
      </c>
      <c r="C30" s="166"/>
      <c r="D30" s="128" t="s">
        <v>156</v>
      </c>
      <c r="E30" s="6"/>
      <c r="F30" s="132">
        <v>0</v>
      </c>
      <c r="G30" s="132"/>
      <c r="H30" s="164">
        <f>IF(G30=0,0,G30-F30)</f>
        <v>0</v>
      </c>
      <c r="I30" s="85"/>
      <c r="J30" s="85"/>
      <c r="L30" s="121"/>
      <c r="M30" s="121"/>
      <c r="N30" s="121"/>
      <c r="O30" s="104" t="str">
        <f>IFERROR(VLOOKUP(N30,payscales!$B$12:$M$47,12,FALSE),"")</f>
        <v/>
      </c>
      <c r="Q30" s="122"/>
      <c r="R30" s="122"/>
      <c r="T30" s="103">
        <f>H30*I30*Q30</f>
        <v>0</v>
      </c>
      <c r="U30" s="103">
        <f>H30*J30*R30</f>
        <v>0</v>
      </c>
      <c r="V30" s="104" t="str">
        <f>IFERROR((H30*L30)*M30/60*O30,"")</f>
        <v/>
      </c>
      <c r="W30" s="103">
        <f>SUM(T30:V30)</f>
        <v>0</v>
      </c>
      <c r="X30" s="155" t="str">
        <f>IF(W36=0,"",W36)</f>
        <v/>
      </c>
      <c r="Y30" s="119" t="str">
        <f>IFERROR(IF($X30=0,"",IF($X30&gt;0,RANK($X30,$X$22:$X$58,1) - COUNTIF($X$22:$X$58,0), RANK($X30,$X$22:$X$58,1))),"")</f>
        <v/>
      </c>
      <c r="Z30">
        <f>SUM(H30:H35)</f>
        <v>0</v>
      </c>
    </row>
    <row r="31" spans="2:26" x14ac:dyDescent="0.25">
      <c r="B31" s="95"/>
      <c r="C31" s="166"/>
      <c r="D31" s="128" t="s">
        <v>156</v>
      </c>
      <c r="E31" s="6"/>
      <c r="F31" s="165">
        <f>G30</f>
        <v>0</v>
      </c>
      <c r="G31" s="132"/>
      <c r="H31" s="164">
        <f t="shared" ref="H31:H35" si="12">IF(G31=0,0,G31-F31)</f>
        <v>0</v>
      </c>
      <c r="I31" s="85"/>
      <c r="J31" s="85"/>
      <c r="L31" s="121"/>
      <c r="M31" s="121"/>
      <c r="N31" s="121"/>
      <c r="O31" s="104" t="str">
        <f>IFERROR(VLOOKUP(N31,payscales!$B$12:$M$47,12,FALSE),"")</f>
        <v/>
      </c>
      <c r="Q31" s="122"/>
      <c r="R31" s="122"/>
      <c r="T31" s="103">
        <f t="shared" ref="T31:T35" si="13">H31*I31*Q31</f>
        <v>0</v>
      </c>
      <c r="U31" s="103">
        <f t="shared" ref="U31:U35" si="14">H31*J31*R31</f>
        <v>0</v>
      </c>
      <c r="V31" s="104" t="str">
        <f t="shared" ref="V31:V35" si="15">IFERROR((H31*L31)*M31/60*O31,"")</f>
        <v/>
      </c>
      <c r="W31" s="103">
        <f t="shared" ref="W31:W35" si="16">SUM(T31:V31)</f>
        <v>0</v>
      </c>
      <c r="X31" s="112"/>
      <c r="Y31" s="114"/>
    </row>
    <row r="32" spans="2:26" x14ac:dyDescent="0.25">
      <c r="B32" s="95"/>
      <c r="C32" s="166"/>
      <c r="D32" s="128" t="s">
        <v>156</v>
      </c>
      <c r="E32" s="6"/>
      <c r="F32" s="165">
        <f>G31</f>
        <v>0</v>
      </c>
      <c r="G32" s="132"/>
      <c r="H32" s="164">
        <f t="shared" si="12"/>
        <v>0</v>
      </c>
      <c r="I32" s="85"/>
      <c r="J32" s="85"/>
      <c r="L32" s="121"/>
      <c r="M32" s="121"/>
      <c r="N32" s="121"/>
      <c r="O32" s="104" t="str">
        <f>IFERROR(VLOOKUP(N32,payscales!$B$12:$M$47,12,FALSE),"")</f>
        <v/>
      </c>
      <c r="Q32" s="122"/>
      <c r="R32" s="122"/>
      <c r="T32" s="103">
        <f t="shared" si="13"/>
        <v>0</v>
      </c>
      <c r="U32" s="103">
        <f t="shared" si="14"/>
        <v>0</v>
      </c>
      <c r="V32" s="104" t="str">
        <f t="shared" si="15"/>
        <v/>
      </c>
      <c r="W32" s="103">
        <f t="shared" si="16"/>
        <v>0</v>
      </c>
      <c r="X32" s="112"/>
      <c r="Y32" s="114"/>
    </row>
    <row r="33" spans="2:26" x14ac:dyDescent="0.25">
      <c r="B33" s="95"/>
      <c r="C33" s="167"/>
      <c r="D33" s="128" t="s">
        <v>156</v>
      </c>
      <c r="E33" s="6"/>
      <c r="F33" s="165">
        <f>G32</f>
        <v>0</v>
      </c>
      <c r="G33" s="132"/>
      <c r="H33" s="164">
        <f t="shared" si="12"/>
        <v>0</v>
      </c>
      <c r="I33" s="85"/>
      <c r="J33" s="85"/>
      <c r="L33" s="121"/>
      <c r="M33" s="121"/>
      <c r="N33" s="121"/>
      <c r="O33" s="104" t="str">
        <f>IFERROR(VLOOKUP(N33,payscales!$B$12:$M$47,12,FALSE),"")</f>
        <v/>
      </c>
      <c r="Q33" s="122"/>
      <c r="R33" s="122"/>
      <c r="T33" s="103">
        <f t="shared" si="13"/>
        <v>0</v>
      </c>
      <c r="U33" s="103">
        <f t="shared" si="14"/>
        <v>0</v>
      </c>
      <c r="V33" s="104" t="str">
        <f t="shared" si="15"/>
        <v/>
      </c>
      <c r="W33" s="103">
        <f t="shared" si="16"/>
        <v>0</v>
      </c>
      <c r="X33" s="95"/>
      <c r="Y33" s="120"/>
    </row>
    <row r="34" spans="2:26" x14ac:dyDescent="0.25">
      <c r="B34" s="95"/>
      <c r="C34" s="168"/>
      <c r="D34" s="128" t="s">
        <v>156</v>
      </c>
      <c r="F34" s="165">
        <f>G33</f>
        <v>0</v>
      </c>
      <c r="G34" s="132"/>
      <c r="H34" s="164">
        <f t="shared" si="12"/>
        <v>0</v>
      </c>
      <c r="I34" s="85"/>
      <c r="J34" s="85"/>
      <c r="L34" s="121"/>
      <c r="M34" s="121"/>
      <c r="N34" s="121"/>
      <c r="O34" s="104" t="str">
        <f>IFERROR(VLOOKUP(N34,payscales!$B$12:$M$47,12,FALSE),"")</f>
        <v/>
      </c>
      <c r="Q34" s="122"/>
      <c r="R34" s="122"/>
      <c r="T34" s="103">
        <f t="shared" si="13"/>
        <v>0</v>
      </c>
      <c r="U34" s="103">
        <f t="shared" si="14"/>
        <v>0</v>
      </c>
      <c r="V34" s="104" t="str">
        <f t="shared" si="15"/>
        <v/>
      </c>
      <c r="W34" s="103">
        <f t="shared" si="16"/>
        <v>0</v>
      </c>
      <c r="X34" s="95"/>
      <c r="Y34" s="120"/>
    </row>
    <row r="35" spans="2:26" x14ac:dyDescent="0.25">
      <c r="B35" s="137"/>
      <c r="C35" s="168"/>
      <c r="D35" s="128" t="s">
        <v>156</v>
      </c>
      <c r="F35" s="165">
        <f>G34</f>
        <v>0</v>
      </c>
      <c r="G35" s="132"/>
      <c r="H35" s="164">
        <f t="shared" si="12"/>
        <v>0</v>
      </c>
      <c r="I35" s="85"/>
      <c r="J35" s="85"/>
      <c r="L35" s="121"/>
      <c r="M35" s="121"/>
      <c r="N35" s="121"/>
      <c r="O35" s="104" t="str">
        <f>IFERROR(VLOOKUP(N35,payscales!$B$12:$M$47,12,FALSE),"")</f>
        <v/>
      </c>
      <c r="Q35" s="122"/>
      <c r="R35" s="122"/>
      <c r="T35" s="103">
        <f t="shared" si="13"/>
        <v>0</v>
      </c>
      <c r="U35" s="103">
        <f t="shared" si="14"/>
        <v>0</v>
      </c>
      <c r="V35" s="104" t="str">
        <f t="shared" si="15"/>
        <v/>
      </c>
      <c r="W35" s="103">
        <f t="shared" si="16"/>
        <v>0</v>
      </c>
      <c r="X35" s="95"/>
      <c r="Y35" s="120"/>
    </row>
    <row r="36" spans="2:26" x14ac:dyDescent="0.25">
      <c r="D36" s="65"/>
      <c r="F36" s="110"/>
      <c r="G36" s="110"/>
      <c r="I36" s="16"/>
      <c r="J36" s="16"/>
      <c r="Q36" s="105"/>
      <c r="R36" s="105"/>
      <c r="T36" s="105"/>
      <c r="U36" s="106"/>
      <c r="V36" s="107" t="s">
        <v>148</v>
      </c>
      <c r="W36" s="108">
        <f>SUM(W30:W35)</f>
        <v>0</v>
      </c>
      <c r="X36" s="112"/>
      <c r="Y36" s="114" t="str">
        <f>IFERROR(IF($X36=0,"",IF($X36&gt;0,RANK($X36,$X$22:$X$58,1) - COUNTIF($X$22:$X$58,0), RANK($X36,$X$22:$X$58,1))),"")</f>
        <v/>
      </c>
    </row>
    <row r="37" spans="2:26" ht="9.9499999999999993" customHeight="1" x14ac:dyDescent="0.25">
      <c r="F37" s="110"/>
      <c r="G37" s="110"/>
      <c r="I37" s="16"/>
      <c r="J37" s="16"/>
      <c r="X37" s="95"/>
      <c r="Y37" s="114" t="str">
        <f>IFERROR(IF($X37=0,"",IF($X37&gt;0,RANK($X37,$X$22:$X$58,1) - COUNTIF($X$22:$X$58,0), RANK($X37,$X$22:$X$58,1))),"")</f>
        <v/>
      </c>
    </row>
    <row r="38" spans="2:26" x14ac:dyDescent="0.25">
      <c r="B38" s="140" t="s">
        <v>167</v>
      </c>
      <c r="C38" s="166"/>
      <c r="D38" s="128" t="s">
        <v>156</v>
      </c>
      <c r="E38" s="6"/>
      <c r="F38" s="132">
        <v>0</v>
      </c>
      <c r="G38" s="132"/>
      <c r="H38" s="164">
        <f>IF(G38=0,0,G38-F38)</f>
        <v>0</v>
      </c>
      <c r="I38" s="85"/>
      <c r="J38" s="85"/>
      <c r="L38" s="121"/>
      <c r="M38" s="121"/>
      <c r="N38" s="121"/>
      <c r="O38" s="104" t="str">
        <f>IFERROR(VLOOKUP(N38,payscales!$B$12:$M$47,12,FALSE),"")</f>
        <v/>
      </c>
      <c r="Q38" s="122"/>
      <c r="R38" s="122"/>
      <c r="T38" s="103">
        <f>H38*I38*Q38</f>
        <v>0</v>
      </c>
      <c r="U38" s="103">
        <f>H38*J38*R38</f>
        <v>0</v>
      </c>
      <c r="V38" s="104" t="str">
        <f>IFERROR((H38*L38)*M38/60*O38,"")</f>
        <v/>
      </c>
      <c r="W38" s="103">
        <f>SUM(T38:V38)</f>
        <v>0</v>
      </c>
      <c r="X38" s="155" t="str">
        <f>IF(W44=0,"",W44)</f>
        <v/>
      </c>
      <c r="Y38" s="119" t="str">
        <f>IFERROR(IF($X38=0,"",IF($X38&gt;0,RANK($X38,$X$22:$X$58,1) - COUNTIF($X$22:$X$58,0), RANK($X38,$X$22:$X$58,1))),"")</f>
        <v/>
      </c>
      <c r="Z38">
        <f>SUM(H38:H43)</f>
        <v>0</v>
      </c>
    </row>
    <row r="39" spans="2:26" x14ac:dyDescent="0.25">
      <c r="B39" s="95"/>
      <c r="C39" s="166"/>
      <c r="D39" s="128" t="s">
        <v>156</v>
      </c>
      <c r="E39" s="6"/>
      <c r="F39" s="165">
        <f>G38</f>
        <v>0</v>
      </c>
      <c r="G39" s="132"/>
      <c r="H39" s="164">
        <f t="shared" ref="H39:H43" si="17">IF(G39=0,0,G39-F39)</f>
        <v>0</v>
      </c>
      <c r="I39" s="85"/>
      <c r="J39" s="85"/>
      <c r="L39" s="121"/>
      <c r="M39" s="121"/>
      <c r="N39" s="121"/>
      <c r="O39" s="104" t="str">
        <f>IFERROR(VLOOKUP(N39,payscales!$B$12:$M$47,12,FALSE),"")</f>
        <v/>
      </c>
      <c r="Q39" s="122"/>
      <c r="R39" s="122"/>
      <c r="T39" s="103">
        <f t="shared" ref="T39:T43" si="18">H39*I39*Q39</f>
        <v>0</v>
      </c>
      <c r="U39" s="103">
        <f t="shared" ref="U39:U43" si="19">H39*J39*R39</f>
        <v>0</v>
      </c>
      <c r="V39" s="104" t="str">
        <f t="shared" ref="V39:V43" si="20">IFERROR((H39*L39)*M39/60*O39,"")</f>
        <v/>
      </c>
      <c r="W39" s="103">
        <f t="shared" ref="W39:W43" si="21">SUM(T39:V39)</f>
        <v>0</v>
      </c>
      <c r="X39" s="112"/>
      <c r="Y39" s="114"/>
    </row>
    <row r="40" spans="2:26" x14ac:dyDescent="0.25">
      <c r="B40" s="95"/>
      <c r="C40" s="166"/>
      <c r="D40" s="128" t="s">
        <v>156</v>
      </c>
      <c r="E40" s="6"/>
      <c r="F40" s="165">
        <f>G39</f>
        <v>0</v>
      </c>
      <c r="G40" s="132"/>
      <c r="H40" s="164">
        <f t="shared" si="17"/>
        <v>0</v>
      </c>
      <c r="I40" s="85"/>
      <c r="J40" s="85"/>
      <c r="L40" s="121"/>
      <c r="M40" s="121"/>
      <c r="N40" s="121"/>
      <c r="O40" s="104" t="str">
        <f>IFERROR(VLOOKUP(N40,payscales!$B$12:$M$47,12,FALSE),"")</f>
        <v/>
      </c>
      <c r="Q40" s="122"/>
      <c r="R40" s="122"/>
      <c r="T40" s="103">
        <f t="shared" si="18"/>
        <v>0</v>
      </c>
      <c r="U40" s="103">
        <f t="shared" si="19"/>
        <v>0</v>
      </c>
      <c r="V40" s="104" t="str">
        <f t="shared" si="20"/>
        <v/>
      </c>
      <c r="W40" s="103">
        <f t="shared" si="21"/>
        <v>0</v>
      </c>
      <c r="X40" s="112"/>
      <c r="Y40" s="114"/>
    </row>
    <row r="41" spans="2:26" x14ac:dyDescent="0.25">
      <c r="B41" s="95"/>
      <c r="C41" s="166"/>
      <c r="D41" s="128" t="s">
        <v>156</v>
      </c>
      <c r="E41" s="6"/>
      <c r="F41" s="165">
        <f>G40</f>
        <v>0</v>
      </c>
      <c r="G41" s="132"/>
      <c r="H41" s="164">
        <f t="shared" si="17"/>
        <v>0</v>
      </c>
      <c r="I41" s="85"/>
      <c r="J41" s="85"/>
      <c r="L41" s="121"/>
      <c r="M41" s="121"/>
      <c r="N41" s="121"/>
      <c r="O41" s="104" t="str">
        <f>IFERROR(VLOOKUP(N41,payscales!$B$12:$M$47,12,FALSE),"")</f>
        <v/>
      </c>
      <c r="Q41" s="122"/>
      <c r="R41" s="122"/>
      <c r="T41" s="103">
        <f t="shared" si="18"/>
        <v>0</v>
      </c>
      <c r="U41" s="103">
        <f t="shared" si="19"/>
        <v>0</v>
      </c>
      <c r="V41" s="104" t="str">
        <f t="shared" si="20"/>
        <v/>
      </c>
      <c r="W41" s="103">
        <f t="shared" si="21"/>
        <v>0</v>
      </c>
      <c r="X41" s="95"/>
      <c r="Y41" s="120"/>
    </row>
    <row r="42" spans="2:26" x14ac:dyDescent="0.25">
      <c r="B42" s="95"/>
      <c r="C42" s="168"/>
      <c r="D42" s="128" t="s">
        <v>156</v>
      </c>
      <c r="F42" s="165">
        <f>G41</f>
        <v>0</v>
      </c>
      <c r="G42" s="132"/>
      <c r="H42" s="164">
        <f t="shared" si="17"/>
        <v>0</v>
      </c>
      <c r="I42" s="85"/>
      <c r="J42" s="85"/>
      <c r="L42" s="121"/>
      <c r="M42" s="121"/>
      <c r="N42" s="121"/>
      <c r="O42" s="104" t="str">
        <f>IFERROR(VLOOKUP(N42,payscales!$B$12:$M$47,12,FALSE),"")</f>
        <v/>
      </c>
      <c r="Q42" s="122"/>
      <c r="R42" s="122"/>
      <c r="T42" s="103">
        <f t="shared" si="18"/>
        <v>0</v>
      </c>
      <c r="U42" s="103">
        <f t="shared" si="19"/>
        <v>0</v>
      </c>
      <c r="V42" s="104" t="str">
        <f t="shared" si="20"/>
        <v/>
      </c>
      <c r="W42" s="103">
        <f t="shared" si="21"/>
        <v>0</v>
      </c>
      <c r="X42" s="95"/>
      <c r="Y42" s="120"/>
    </row>
    <row r="43" spans="2:26" x14ac:dyDescent="0.25">
      <c r="B43" s="137"/>
      <c r="C43" s="168"/>
      <c r="D43" s="128" t="s">
        <v>156</v>
      </c>
      <c r="F43" s="165">
        <f>G42</f>
        <v>0</v>
      </c>
      <c r="G43" s="132"/>
      <c r="H43" s="164">
        <f t="shared" si="17"/>
        <v>0</v>
      </c>
      <c r="I43" s="85"/>
      <c r="J43" s="85"/>
      <c r="L43" s="121"/>
      <c r="M43" s="121"/>
      <c r="N43" s="121"/>
      <c r="O43" s="104" t="str">
        <f>IFERROR(VLOOKUP(N43,payscales!$B$12:$M$47,12,FALSE),"")</f>
        <v/>
      </c>
      <c r="Q43" s="122"/>
      <c r="R43" s="122"/>
      <c r="T43" s="103">
        <f t="shared" si="18"/>
        <v>0</v>
      </c>
      <c r="U43" s="103">
        <f t="shared" si="19"/>
        <v>0</v>
      </c>
      <c r="V43" s="104" t="str">
        <f t="shared" si="20"/>
        <v/>
      </c>
      <c r="W43" s="103">
        <f t="shared" si="21"/>
        <v>0</v>
      </c>
      <c r="X43" s="95"/>
      <c r="Y43" s="120"/>
    </row>
    <row r="44" spans="2:26" x14ac:dyDescent="0.25">
      <c r="D44" s="65"/>
      <c r="F44" s="110"/>
      <c r="G44" s="110"/>
      <c r="I44" s="16"/>
      <c r="J44" s="16"/>
      <c r="Q44" s="105"/>
      <c r="R44" s="105"/>
      <c r="T44" s="105"/>
      <c r="U44" s="106"/>
      <c r="V44" s="107" t="s">
        <v>148</v>
      </c>
      <c r="W44" s="108">
        <f>SUM(W38:W43)</f>
        <v>0</v>
      </c>
      <c r="X44" s="112"/>
      <c r="Y44" s="114" t="str">
        <f>IFERROR(IF($X44=0,"",IF($X44&gt;0,RANK($X44,$X$22:$X$58,1) - COUNTIF($X$22:$X$58,0), RANK($X44,$X$22:$X$58,1))),"")</f>
        <v/>
      </c>
    </row>
    <row r="45" spans="2:26" ht="9.9499999999999993" customHeight="1" x14ac:dyDescent="0.25">
      <c r="F45" s="110"/>
      <c r="G45" s="110"/>
      <c r="I45" s="16"/>
      <c r="J45" s="16"/>
      <c r="X45" s="95"/>
      <c r="Y45" s="114" t="str">
        <f>IFERROR(IF($X45=0,"",IF($X45&gt;0,RANK($X45,$X$22:$X$58,1) - COUNTIF($X$22:$X$58,0), RANK($X45,$X$22:$X$58,1))),"")</f>
        <v/>
      </c>
    </row>
    <row r="46" spans="2:26" x14ac:dyDescent="0.25">
      <c r="B46" s="140" t="s">
        <v>168</v>
      </c>
      <c r="C46" s="166"/>
      <c r="D46" s="128" t="s">
        <v>156</v>
      </c>
      <c r="E46" s="6"/>
      <c r="F46" s="132">
        <v>0</v>
      </c>
      <c r="G46" s="132"/>
      <c r="H46" s="164">
        <f>IF(G46=0,0,G46-F46)</f>
        <v>0</v>
      </c>
      <c r="I46" s="85"/>
      <c r="J46" s="85"/>
      <c r="L46" s="121"/>
      <c r="M46" s="121"/>
      <c r="N46" s="121"/>
      <c r="O46" s="104" t="str">
        <f>IFERROR(VLOOKUP(N46,payscales!$B$12:$M$47,12,FALSE),"")</f>
        <v/>
      </c>
      <c r="Q46" s="122"/>
      <c r="R46" s="122"/>
      <c r="T46" s="103">
        <f>H46*I46*Q46</f>
        <v>0</v>
      </c>
      <c r="U46" s="103">
        <f>H46*J46*R46</f>
        <v>0</v>
      </c>
      <c r="V46" s="104" t="str">
        <f>IFERROR((H46*L46)*M46/60*O46,"")</f>
        <v/>
      </c>
      <c r="W46" s="103">
        <f>SUM(T46:V46)</f>
        <v>0</v>
      </c>
      <c r="X46" s="155" t="str">
        <f>IF(W52=0,"",W52)</f>
        <v/>
      </c>
      <c r="Y46" s="119" t="str">
        <f>IFERROR(IF($X46=0,"",IF($X46&gt;0,RANK($X46,$X$22:$X$58,1) - COUNTIF($X$22:$X$58,0), RANK($X46,$X$22:$X$58,1))),"")</f>
        <v/>
      </c>
      <c r="Z46">
        <f>SUM(H46:H51)</f>
        <v>0</v>
      </c>
    </row>
    <row r="47" spans="2:26" x14ac:dyDescent="0.25">
      <c r="B47" s="95"/>
      <c r="C47" s="166"/>
      <c r="D47" s="128" t="s">
        <v>156</v>
      </c>
      <c r="E47" s="6"/>
      <c r="F47" s="165">
        <f>G46</f>
        <v>0</v>
      </c>
      <c r="G47" s="132"/>
      <c r="H47" s="164">
        <f t="shared" ref="H47:H51" si="22">IF(G47=0,0,G47-F47)</f>
        <v>0</v>
      </c>
      <c r="I47" s="85"/>
      <c r="J47" s="85"/>
      <c r="L47" s="121"/>
      <c r="M47" s="121"/>
      <c r="N47" s="121"/>
      <c r="O47" s="104" t="str">
        <f>IFERROR(VLOOKUP(N47,payscales!$B$12:$M$47,12,FALSE),"")</f>
        <v/>
      </c>
      <c r="Q47" s="122"/>
      <c r="R47" s="122"/>
      <c r="T47" s="103">
        <f t="shared" ref="T47:T51" si="23">H47*I47*Q47</f>
        <v>0</v>
      </c>
      <c r="U47" s="103">
        <f t="shared" ref="U47:U51" si="24">H47*J47*R47</f>
        <v>0</v>
      </c>
      <c r="V47" s="104" t="str">
        <f t="shared" ref="V47:V51" si="25">IFERROR((H47*L47)*M47/60*O47,"")</f>
        <v/>
      </c>
      <c r="W47" s="103">
        <f t="shared" ref="W47:W51" si="26">SUM(T47:V47)</f>
        <v>0</v>
      </c>
      <c r="X47" s="112"/>
      <c r="Y47" s="114" t="str">
        <f>IFERROR(IF($X47=0,"",IF($X47&gt;0,RANK($X47,$X$22:$X$58,1) - COUNTIF($X$22:$X$58,0), RANK($X47,$X$22:$X$58,1))),"")</f>
        <v/>
      </c>
    </row>
    <row r="48" spans="2:26" x14ac:dyDescent="0.25">
      <c r="B48" s="95"/>
      <c r="C48" s="166"/>
      <c r="D48" s="128" t="s">
        <v>156</v>
      </c>
      <c r="E48" s="6"/>
      <c r="F48" s="165">
        <f>G47</f>
        <v>0</v>
      </c>
      <c r="G48" s="132"/>
      <c r="H48" s="164">
        <f t="shared" si="22"/>
        <v>0</v>
      </c>
      <c r="I48" s="85"/>
      <c r="J48" s="85"/>
      <c r="L48" s="121"/>
      <c r="M48" s="121"/>
      <c r="N48" s="121"/>
      <c r="O48" s="104" t="str">
        <f>IFERROR(VLOOKUP(N48,payscales!$B$12:$M$47,12,FALSE),"")</f>
        <v/>
      </c>
      <c r="Q48" s="122"/>
      <c r="R48" s="122"/>
      <c r="T48" s="103">
        <f t="shared" si="23"/>
        <v>0</v>
      </c>
      <c r="U48" s="103">
        <f t="shared" si="24"/>
        <v>0</v>
      </c>
      <c r="V48" s="104" t="str">
        <f t="shared" si="25"/>
        <v/>
      </c>
      <c r="W48" s="103">
        <f t="shared" si="26"/>
        <v>0</v>
      </c>
      <c r="X48" s="112"/>
      <c r="Y48" s="114"/>
    </row>
    <row r="49" spans="2:26" x14ac:dyDescent="0.25">
      <c r="B49" s="95"/>
      <c r="C49" s="166"/>
      <c r="D49" s="128" t="s">
        <v>156</v>
      </c>
      <c r="E49" s="6"/>
      <c r="F49" s="165">
        <f>G48</f>
        <v>0</v>
      </c>
      <c r="G49" s="132"/>
      <c r="H49" s="164">
        <f t="shared" si="22"/>
        <v>0</v>
      </c>
      <c r="I49" s="85"/>
      <c r="J49" s="85"/>
      <c r="L49" s="121"/>
      <c r="M49" s="121"/>
      <c r="N49" s="121"/>
      <c r="O49" s="104" t="str">
        <f>IFERROR(VLOOKUP(N49,payscales!$B$12:$M$47,12,FALSE),"")</f>
        <v/>
      </c>
      <c r="Q49" s="122"/>
      <c r="R49" s="122"/>
      <c r="T49" s="103">
        <f t="shared" si="23"/>
        <v>0</v>
      </c>
      <c r="U49" s="103">
        <f t="shared" si="24"/>
        <v>0</v>
      </c>
      <c r="V49" s="104" t="str">
        <f t="shared" si="25"/>
        <v/>
      </c>
      <c r="W49" s="103">
        <f t="shared" si="26"/>
        <v>0</v>
      </c>
      <c r="X49" s="95"/>
      <c r="Y49" s="120"/>
    </row>
    <row r="50" spans="2:26" x14ac:dyDescent="0.25">
      <c r="B50" s="95"/>
      <c r="C50" s="168"/>
      <c r="D50" s="128" t="s">
        <v>156</v>
      </c>
      <c r="F50" s="165">
        <f>G49</f>
        <v>0</v>
      </c>
      <c r="G50" s="132"/>
      <c r="H50" s="164">
        <f t="shared" si="22"/>
        <v>0</v>
      </c>
      <c r="I50" s="85"/>
      <c r="J50" s="85"/>
      <c r="L50" s="121"/>
      <c r="M50" s="121"/>
      <c r="N50" s="121"/>
      <c r="O50" s="104" t="str">
        <f>IFERROR(VLOOKUP(N50,payscales!$B$12:$M$47,12,FALSE),"")</f>
        <v/>
      </c>
      <c r="Q50" s="122"/>
      <c r="R50" s="122"/>
      <c r="T50" s="103">
        <f t="shared" si="23"/>
        <v>0</v>
      </c>
      <c r="U50" s="103">
        <f t="shared" si="24"/>
        <v>0</v>
      </c>
      <c r="V50" s="104" t="str">
        <f t="shared" si="25"/>
        <v/>
      </c>
      <c r="W50" s="103">
        <f t="shared" si="26"/>
        <v>0</v>
      </c>
      <c r="X50" s="95"/>
      <c r="Y50" s="120"/>
    </row>
    <row r="51" spans="2:26" x14ac:dyDescent="0.25">
      <c r="B51" s="137"/>
      <c r="C51" s="168"/>
      <c r="D51" s="128" t="s">
        <v>156</v>
      </c>
      <c r="F51" s="165">
        <f>G50</f>
        <v>0</v>
      </c>
      <c r="G51" s="132"/>
      <c r="H51" s="164">
        <f t="shared" si="22"/>
        <v>0</v>
      </c>
      <c r="I51" s="85"/>
      <c r="J51" s="85"/>
      <c r="L51" s="121"/>
      <c r="M51" s="121"/>
      <c r="N51" s="121"/>
      <c r="O51" s="104" t="str">
        <f>IFERROR(VLOOKUP(N51,payscales!$B$12:$M$47,12,FALSE),"")</f>
        <v/>
      </c>
      <c r="Q51" s="122"/>
      <c r="R51" s="122"/>
      <c r="T51" s="103">
        <f t="shared" si="23"/>
        <v>0</v>
      </c>
      <c r="U51" s="103">
        <f t="shared" si="24"/>
        <v>0</v>
      </c>
      <c r="V51" s="104" t="str">
        <f t="shared" si="25"/>
        <v/>
      </c>
      <c r="W51" s="103">
        <f t="shared" si="26"/>
        <v>0</v>
      </c>
      <c r="X51" s="95"/>
      <c r="Y51" s="120"/>
    </row>
    <row r="52" spans="2:26" x14ac:dyDescent="0.25">
      <c r="D52" s="65"/>
      <c r="F52" s="110"/>
      <c r="G52" s="110"/>
      <c r="I52" s="16"/>
      <c r="J52" s="16"/>
      <c r="Q52" s="105"/>
      <c r="R52" s="105"/>
      <c r="T52" s="105"/>
      <c r="U52" s="106"/>
      <c r="V52" s="107" t="s">
        <v>148</v>
      </c>
      <c r="W52" s="108">
        <f>SUM(W46:W51)</f>
        <v>0</v>
      </c>
      <c r="X52" s="112"/>
      <c r="Y52" s="114" t="str">
        <f>IFERROR(IF($X52=0,"",IF($X52&gt;0,RANK($X52,$X$22:$X$58,1) - COUNTIF($X$22:$X$58,0), RANK($X52,$X$22:$X$58,1))),"")</f>
        <v/>
      </c>
    </row>
    <row r="53" spans="2:26" ht="9.9499999999999993" customHeight="1" x14ac:dyDescent="0.25">
      <c r="I53" s="16"/>
      <c r="J53" s="16"/>
      <c r="X53" s="95"/>
      <c r="Y53" s="114" t="str">
        <f>IFERROR(IF($X53=0,"",IF($X53&gt;0,RANK($X53,$X$22:$X$58,1) - COUNTIF($X$22:$X$58,0), RANK($X53,$X$22:$X$58,1))),"")</f>
        <v/>
      </c>
    </row>
    <row r="54" spans="2:26" x14ac:dyDescent="0.25">
      <c r="B54" s="140" t="s">
        <v>169</v>
      </c>
      <c r="C54" s="166"/>
      <c r="D54" s="128" t="s">
        <v>156</v>
      </c>
      <c r="E54" s="6"/>
      <c r="F54" s="132">
        <v>0</v>
      </c>
      <c r="G54" s="132"/>
      <c r="H54" s="164">
        <f>IF(G54=0,0,G54-F54)</f>
        <v>0</v>
      </c>
      <c r="I54" s="85"/>
      <c r="J54" s="85"/>
      <c r="L54" s="121"/>
      <c r="M54" s="121"/>
      <c r="N54" s="121"/>
      <c r="O54" s="104" t="str">
        <f>IFERROR(VLOOKUP(N54,payscales!$B$12:$M$47,12,FALSE),"")</f>
        <v/>
      </c>
      <c r="Q54" s="122"/>
      <c r="R54" s="122"/>
      <c r="T54" s="103">
        <f>H54*I54*Q54</f>
        <v>0</v>
      </c>
      <c r="U54" s="103">
        <f>H54*J54*R54</f>
        <v>0</v>
      </c>
      <c r="V54" s="104" t="str">
        <f>IFERROR((H54*L54)*M54/60*O54,"")</f>
        <v/>
      </c>
      <c r="W54" s="103">
        <f>SUM(T54:V54)</f>
        <v>0</v>
      </c>
      <c r="X54" s="155" t="str">
        <f>IF(W60=0,"",W60)</f>
        <v/>
      </c>
      <c r="Y54" s="119" t="str">
        <f>IFERROR(IF($X54=0,"",IF($X54&gt;0,RANK($X54,$X$22:$X$58,1) - COUNTIF($X$22:$X$58,0), RANK($X54,$X$22:$X$58,1))),"")</f>
        <v/>
      </c>
      <c r="Z54">
        <f>SUM(H54:H59)</f>
        <v>0</v>
      </c>
    </row>
    <row r="55" spans="2:26" x14ac:dyDescent="0.25">
      <c r="B55" s="95"/>
      <c r="C55" s="166"/>
      <c r="D55" s="128" t="s">
        <v>156</v>
      </c>
      <c r="E55" s="6"/>
      <c r="F55" s="165">
        <f>G54</f>
        <v>0</v>
      </c>
      <c r="G55" s="132"/>
      <c r="H55" s="164">
        <f t="shared" ref="H55:H59" si="27">IF(G55=0,0,G55-F55)</f>
        <v>0</v>
      </c>
      <c r="I55" s="85"/>
      <c r="J55" s="85"/>
      <c r="L55" s="121"/>
      <c r="M55" s="121"/>
      <c r="N55" s="121"/>
      <c r="O55" s="104" t="str">
        <f>IFERROR(VLOOKUP(N55,payscales!$B$12:$M$47,12,FALSE),"")</f>
        <v/>
      </c>
      <c r="Q55" s="122"/>
      <c r="R55" s="122"/>
      <c r="T55" s="103">
        <f t="shared" ref="T55:T59" si="28">H55*I55*Q55</f>
        <v>0</v>
      </c>
      <c r="U55" s="103">
        <f t="shared" ref="U55:U59" si="29">H55*J55*R55</f>
        <v>0</v>
      </c>
      <c r="V55" s="104" t="str">
        <f t="shared" ref="V55:V59" si="30">IFERROR((H55*L55)*M55/60*O55,"")</f>
        <v/>
      </c>
      <c r="W55" s="103">
        <f t="shared" ref="W55:W59" si="31">SUM(T55:V55)</f>
        <v>0</v>
      </c>
      <c r="X55" s="112"/>
      <c r="Y55" s="114"/>
    </row>
    <row r="56" spans="2:26" x14ac:dyDescent="0.25">
      <c r="B56" s="95"/>
      <c r="C56" s="166"/>
      <c r="D56" s="128" t="s">
        <v>156</v>
      </c>
      <c r="E56" s="6"/>
      <c r="F56" s="165">
        <f>G55</f>
        <v>0</v>
      </c>
      <c r="G56" s="132"/>
      <c r="H56" s="164">
        <f t="shared" si="27"/>
        <v>0</v>
      </c>
      <c r="I56" s="85"/>
      <c r="J56" s="85"/>
      <c r="L56" s="121"/>
      <c r="M56" s="121"/>
      <c r="N56" s="121"/>
      <c r="O56" s="104" t="str">
        <f>IFERROR(VLOOKUP(N56,payscales!$B$12:$M$47,12,FALSE),"")</f>
        <v/>
      </c>
      <c r="Q56" s="122"/>
      <c r="R56" s="122"/>
      <c r="T56" s="103">
        <f t="shared" si="28"/>
        <v>0</v>
      </c>
      <c r="U56" s="103">
        <f t="shared" si="29"/>
        <v>0</v>
      </c>
      <c r="V56" s="104" t="str">
        <f t="shared" si="30"/>
        <v/>
      </c>
      <c r="W56" s="103">
        <f t="shared" si="31"/>
        <v>0</v>
      </c>
      <c r="X56" s="112"/>
      <c r="Y56" s="114"/>
    </row>
    <row r="57" spans="2:26" x14ac:dyDescent="0.25">
      <c r="B57" s="95"/>
      <c r="C57" s="167"/>
      <c r="D57" s="128" t="s">
        <v>156</v>
      </c>
      <c r="E57" s="6"/>
      <c r="F57" s="165">
        <f>G56</f>
        <v>0</v>
      </c>
      <c r="G57" s="132"/>
      <c r="H57" s="164">
        <f t="shared" si="27"/>
        <v>0</v>
      </c>
      <c r="I57" s="85"/>
      <c r="J57" s="85"/>
      <c r="L57" s="121"/>
      <c r="M57" s="121"/>
      <c r="N57" s="121"/>
      <c r="O57" s="104" t="str">
        <f>IFERROR(VLOOKUP(N57,payscales!$B$12:$M$47,12,FALSE),"")</f>
        <v/>
      </c>
      <c r="Q57" s="122"/>
      <c r="R57" s="122"/>
      <c r="T57" s="103">
        <f t="shared" si="28"/>
        <v>0</v>
      </c>
      <c r="U57" s="103">
        <f t="shared" si="29"/>
        <v>0</v>
      </c>
      <c r="V57" s="104" t="str">
        <f t="shared" si="30"/>
        <v/>
      </c>
      <c r="W57" s="103">
        <f t="shared" si="31"/>
        <v>0</v>
      </c>
      <c r="X57" s="95"/>
      <c r="Y57" s="120"/>
    </row>
    <row r="58" spans="2:26" x14ac:dyDescent="0.25">
      <c r="B58" s="95"/>
      <c r="C58" s="168"/>
      <c r="D58" s="128" t="s">
        <v>156</v>
      </c>
      <c r="F58" s="165">
        <f>G57</f>
        <v>0</v>
      </c>
      <c r="G58" s="132"/>
      <c r="H58" s="164">
        <f t="shared" si="27"/>
        <v>0</v>
      </c>
      <c r="I58" s="85"/>
      <c r="J58" s="85"/>
      <c r="L58" s="121"/>
      <c r="M58" s="121"/>
      <c r="N58" s="121"/>
      <c r="O58" s="104" t="str">
        <f>IFERROR(VLOOKUP(N58,payscales!$B$12:$M$47,12,FALSE),"")</f>
        <v/>
      </c>
      <c r="Q58" s="122"/>
      <c r="R58" s="122"/>
      <c r="T58" s="103">
        <f t="shared" si="28"/>
        <v>0</v>
      </c>
      <c r="U58" s="103">
        <f t="shared" si="29"/>
        <v>0</v>
      </c>
      <c r="V58" s="104" t="str">
        <f t="shared" si="30"/>
        <v/>
      </c>
      <c r="W58" s="103">
        <f t="shared" si="31"/>
        <v>0</v>
      </c>
      <c r="X58" s="95"/>
      <c r="Y58" s="120"/>
    </row>
    <row r="59" spans="2:26" x14ac:dyDescent="0.25">
      <c r="B59" s="137"/>
      <c r="C59" s="168"/>
      <c r="D59" s="128" t="s">
        <v>156</v>
      </c>
      <c r="F59" s="165">
        <f>G58</f>
        <v>0</v>
      </c>
      <c r="G59" s="132"/>
      <c r="H59" s="164">
        <f t="shared" si="27"/>
        <v>0</v>
      </c>
      <c r="I59" s="85"/>
      <c r="J59" s="85"/>
      <c r="L59" s="121"/>
      <c r="M59" s="121"/>
      <c r="N59" s="121"/>
      <c r="O59" s="104" t="str">
        <f>IFERROR(VLOOKUP(N59,payscales!$B$12:$M$47,12,FALSE),"")</f>
        <v/>
      </c>
      <c r="Q59" s="122"/>
      <c r="R59" s="122"/>
      <c r="T59" s="103">
        <f t="shared" si="28"/>
        <v>0</v>
      </c>
      <c r="U59" s="103">
        <f t="shared" si="29"/>
        <v>0</v>
      </c>
      <c r="V59" s="104" t="str">
        <f t="shared" si="30"/>
        <v/>
      </c>
      <c r="W59" s="103">
        <f t="shared" si="31"/>
        <v>0</v>
      </c>
      <c r="X59" s="95"/>
      <c r="Y59" s="120"/>
    </row>
    <row r="60" spans="2:26" x14ac:dyDescent="0.25">
      <c r="D60" s="65"/>
      <c r="F60" s="110"/>
      <c r="G60" s="110"/>
      <c r="I60" s="133"/>
      <c r="Q60" s="105"/>
      <c r="R60" s="105"/>
      <c r="T60" s="105"/>
      <c r="U60" s="106"/>
      <c r="V60" s="107" t="s">
        <v>148</v>
      </c>
      <c r="W60" s="108">
        <f>SUM(W54:W59)</f>
        <v>0</v>
      </c>
      <c r="X60" s="156"/>
      <c r="Y60" s="157" t="str">
        <f>IFERROR(IF($X60=0,"",IF($X60&gt;0,RANK($X60,$X$22:$X$58,1) - COUNTIF($X$22:$X$58,0), RANK($X60,$X$22:$X$58,1))),"")</f>
        <v/>
      </c>
    </row>
    <row r="162" spans="1:1" hidden="1" x14ac:dyDescent="0.25">
      <c r="A162" t="s">
        <v>141</v>
      </c>
    </row>
    <row r="163" spans="1:1" hidden="1" x14ac:dyDescent="0.25">
      <c r="A163" t="s">
        <v>120</v>
      </c>
    </row>
    <row r="164" spans="1:1" hidden="1" x14ac:dyDescent="0.25">
      <c r="A164" t="s">
        <v>121</v>
      </c>
    </row>
    <row r="165" spans="1:1" hidden="1" x14ac:dyDescent="0.25">
      <c r="A165" t="s">
        <v>119</v>
      </c>
    </row>
  </sheetData>
  <sheetProtection algorithmName="SHA-512" hashValue="3XKei+rsC8Zwj1Hgu/H1/FMQTuHRr0rxdEM8iYjV5xNoGDcHYoM4o77homuuVp8/p2V6F1qP7V9uGOQWfG9xvQ==" saltValue="AXTP8PmnvDhnrGibqaLUQQ==" spinCount="100000" sheet="1" objects="1" scenarios="1"/>
  <mergeCells count="4">
    <mergeCell ref="C19:D19"/>
    <mergeCell ref="Q19:R19"/>
    <mergeCell ref="F19:J19"/>
    <mergeCell ref="L19:O19"/>
  </mergeCells>
  <dataValidations disablePrompts="1" count="2">
    <dataValidation type="list" allowBlank="1" showInputMessage="1" showErrorMessage="1" sqref="C30:C35 C22:C27 C54:C59 C38:C43 C46:C51" xr:uid="{EDFCC57D-FD0C-4E61-918D-44BBAF1E7A43}">
      <formula1>Type</formula1>
    </dataValidation>
    <dataValidation type="list" allowBlank="1" showInputMessage="1" showErrorMessage="1" sqref="N38:N43 N46:N51 N30:N35 N22:N27 N54:N59" xr:uid="{90C69449-8EB4-474F-B025-E6E7C8ECDDFD}">
      <formula1>Bands</formula1>
    </dataValidation>
  </dataValidations>
  <pageMargins left="0.7" right="0.7" top="0.75" bottom="0.75" header="0.3" footer="0.3"/>
  <pageSetup paperSize="9" scale="29" orientation="portrait" r:id="rId1"/>
  <ignoredErrors>
    <ignoredError sqref="O28:O29 O37 O45 O53 H22:H59 F23:F37 G36 G45 G52:G53 F47:F59 F39:F45" unlockedFormula="1"/>
  </ignoredError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811ABE-116B-4C8E-85F7-DC902CC059F5}">
  <sheetPr>
    <tabColor theme="8" tint="0.59999389629810485"/>
    <pageSetUpPr fitToPage="1"/>
  </sheetPr>
  <dimension ref="A1:AB102"/>
  <sheetViews>
    <sheetView showGridLines="0" zoomScale="80" zoomScaleNormal="80" zoomScaleSheetLayoutView="80" workbookViewId="0"/>
  </sheetViews>
  <sheetFormatPr defaultColWidth="8.5703125" defaultRowHeight="15" x14ac:dyDescent="0.25"/>
  <cols>
    <col min="1" max="1" width="13.5703125" customWidth="1"/>
    <col min="2" max="2" width="41.5703125" customWidth="1"/>
    <col min="3" max="4" width="12.5703125" customWidth="1"/>
    <col min="5" max="6" width="11.5703125" customWidth="1"/>
    <col min="7" max="7" width="10.42578125" style="20" customWidth="1"/>
    <col min="8" max="8" width="11.5703125" customWidth="1"/>
    <col min="9" max="9" width="12.5703125" customWidth="1"/>
    <col min="10" max="12" width="15.42578125" customWidth="1"/>
    <col min="13" max="14" width="9" customWidth="1"/>
    <col min="15" max="15" width="11.42578125" customWidth="1"/>
    <col min="16" max="16" width="12.5703125" hidden="1" customWidth="1"/>
    <col min="17" max="17" width="15.42578125" hidden="1" customWidth="1"/>
    <col min="18" max="18" width="13.42578125" hidden="1" customWidth="1"/>
    <col min="19" max="19" width="14.42578125" hidden="1" customWidth="1"/>
    <col min="20" max="20" width="10.42578125" hidden="1" customWidth="1"/>
    <col min="21" max="22" width="8.5703125" hidden="1" customWidth="1"/>
    <col min="23" max="23" width="8.5703125" customWidth="1"/>
    <col min="24" max="24" width="47.42578125" bestFit="1" customWidth="1"/>
    <col min="25" max="25" width="10" customWidth="1"/>
    <col min="28" max="28" width="10.5703125" bestFit="1" customWidth="1"/>
  </cols>
  <sheetData>
    <row r="1" spans="1:26" ht="21" customHeight="1" x14ac:dyDescent="0.25">
      <c r="A1" s="34" t="s">
        <v>14</v>
      </c>
      <c r="B1" s="34"/>
      <c r="C1" s="34"/>
      <c r="D1" s="34"/>
      <c r="E1" s="34"/>
      <c r="F1" s="34"/>
      <c r="G1" s="34"/>
      <c r="H1" s="34"/>
      <c r="I1" s="34"/>
      <c r="J1" s="34"/>
      <c r="K1" s="34"/>
      <c r="L1" s="34"/>
      <c r="M1" s="34"/>
      <c r="N1" s="34"/>
      <c r="O1" s="34"/>
    </row>
    <row r="2" spans="1:26" ht="14.85" customHeight="1" thickBot="1" x14ac:dyDescent="0.3">
      <c r="A2" s="1"/>
      <c r="B2" s="1"/>
      <c r="C2" s="1"/>
      <c r="D2" s="1"/>
      <c r="E2" s="1"/>
      <c r="F2" s="1"/>
      <c r="G2" s="1"/>
      <c r="H2" s="1"/>
      <c r="I2" s="1"/>
      <c r="J2" s="1"/>
      <c r="K2" s="1"/>
      <c r="L2" s="1"/>
      <c r="M2" s="1"/>
      <c r="N2" s="1"/>
      <c r="O2" s="1"/>
    </row>
    <row r="3" spans="1:26" ht="14.85" customHeight="1" x14ac:dyDescent="0.25">
      <c r="A3" s="1"/>
      <c r="B3" s="35" t="s">
        <v>7</v>
      </c>
      <c r="C3" s="36"/>
      <c r="D3" s="1"/>
      <c r="E3" s="1"/>
      <c r="F3" s="1"/>
      <c r="G3" s="1"/>
      <c r="H3" s="1"/>
      <c r="I3" s="1"/>
      <c r="J3" s="1"/>
      <c r="K3" s="1"/>
      <c r="L3" s="1"/>
      <c r="M3" s="1"/>
      <c r="N3" s="1"/>
      <c r="O3" s="1"/>
    </row>
    <row r="4" spans="1:26" ht="14.85" customHeight="1" x14ac:dyDescent="0.25">
      <c r="A4" s="1"/>
      <c r="B4" s="37" t="s">
        <v>15</v>
      </c>
      <c r="C4" s="57" t="s">
        <v>16</v>
      </c>
      <c r="D4" s="38" t="s">
        <v>112</v>
      </c>
      <c r="E4" s="1"/>
      <c r="F4" s="1"/>
      <c r="G4" s="1"/>
      <c r="H4" s="1"/>
      <c r="I4" s="1"/>
      <c r="J4" s="1"/>
      <c r="K4" s="1"/>
      <c r="L4" s="1"/>
      <c r="M4" s="1"/>
      <c r="N4" s="1"/>
      <c r="O4" s="1"/>
    </row>
    <row r="5" spans="1:26" ht="14.85" customHeight="1" x14ac:dyDescent="0.25">
      <c r="A5" s="1"/>
      <c r="B5" s="37" t="s">
        <v>17</v>
      </c>
      <c r="C5" s="58">
        <v>5000</v>
      </c>
      <c r="D5" s="1"/>
      <c r="E5" s="1"/>
      <c r="F5" s="1"/>
      <c r="G5" s="1"/>
      <c r="H5" s="1"/>
      <c r="I5" s="1"/>
      <c r="J5" s="1"/>
      <c r="K5" s="1"/>
      <c r="L5" s="1"/>
      <c r="M5" s="1"/>
      <c r="N5" s="1"/>
      <c r="O5" s="1"/>
    </row>
    <row r="6" spans="1:26" ht="14.85" customHeight="1" x14ac:dyDescent="0.25">
      <c r="A6" s="1"/>
      <c r="B6" s="37" t="s">
        <v>18</v>
      </c>
      <c r="C6" s="59">
        <v>0.15</v>
      </c>
      <c r="D6" s="1"/>
      <c r="E6" s="1"/>
      <c r="F6" s="1"/>
      <c r="G6" s="1"/>
      <c r="H6" s="1"/>
      <c r="I6" s="1"/>
      <c r="J6" s="1"/>
      <c r="K6" s="1"/>
      <c r="L6" s="1"/>
      <c r="M6" s="1"/>
      <c r="N6" s="1"/>
      <c r="O6" s="1"/>
    </row>
    <row r="7" spans="1:26" ht="14.85" customHeight="1" x14ac:dyDescent="0.25">
      <c r="A7" s="1"/>
      <c r="B7" s="37" t="s">
        <v>19</v>
      </c>
      <c r="C7" s="59">
        <v>0.23780000000000001</v>
      </c>
      <c r="D7" s="1"/>
      <c r="E7" s="1"/>
      <c r="F7" s="1"/>
      <c r="G7" s="1"/>
      <c r="H7" s="1"/>
      <c r="I7" s="1"/>
      <c r="J7" s="1"/>
      <c r="K7" s="1"/>
      <c r="L7" s="1"/>
      <c r="M7" s="1"/>
      <c r="N7" s="1"/>
      <c r="O7" s="1"/>
    </row>
    <row r="8" spans="1:26" ht="14.85" customHeight="1" x14ac:dyDescent="0.25">
      <c r="A8" s="1"/>
      <c r="B8" s="37" t="s">
        <v>20</v>
      </c>
      <c r="C8" s="59">
        <v>5.0000000000000001E-3</v>
      </c>
      <c r="D8" s="1"/>
      <c r="E8" s="1"/>
      <c r="F8" s="1"/>
      <c r="G8" s="1"/>
      <c r="H8" s="1"/>
      <c r="I8" s="1"/>
      <c r="J8" s="1"/>
      <c r="K8" s="1"/>
      <c r="L8" s="1"/>
      <c r="M8" s="1"/>
      <c r="N8" s="1"/>
      <c r="O8" s="1"/>
    </row>
    <row r="9" spans="1:26" ht="14.85" customHeight="1" thickBot="1" x14ac:dyDescent="0.3">
      <c r="A9" s="1"/>
      <c r="B9" s="39" t="s">
        <v>21</v>
      </c>
      <c r="C9" s="60">
        <v>0</v>
      </c>
      <c r="D9" s="1"/>
      <c r="E9" s="1"/>
      <c r="F9" s="1"/>
      <c r="G9" s="1"/>
      <c r="H9" s="1"/>
      <c r="I9" s="1"/>
      <c r="J9" s="1"/>
      <c r="K9" s="1"/>
      <c r="L9" s="1"/>
      <c r="M9" s="1"/>
      <c r="N9" s="1"/>
      <c r="O9" s="1"/>
      <c r="T9" s="40"/>
    </row>
    <row r="10" spans="1:26" ht="15.75" thickBot="1" x14ac:dyDescent="0.3">
      <c r="R10" s="41"/>
      <c r="T10" s="41"/>
    </row>
    <row r="11" spans="1:26" ht="109.7" customHeight="1" thickBot="1" x14ac:dyDescent="0.3">
      <c r="A11" s="42" t="s">
        <v>22</v>
      </c>
      <c r="B11" s="43" t="s">
        <v>23</v>
      </c>
      <c r="C11" s="44" t="s">
        <v>106</v>
      </c>
      <c r="D11" s="44" t="s">
        <v>24</v>
      </c>
      <c r="E11" s="44" t="s">
        <v>25</v>
      </c>
      <c r="F11" s="44" t="s">
        <v>26</v>
      </c>
      <c r="G11" s="45" t="s">
        <v>27</v>
      </c>
      <c r="H11" s="44" t="s">
        <v>28</v>
      </c>
      <c r="I11" s="46" t="s">
        <v>29</v>
      </c>
      <c r="J11" s="47" t="s">
        <v>113</v>
      </c>
      <c r="K11" s="73" t="s">
        <v>104</v>
      </c>
      <c r="L11" s="73" t="s">
        <v>105</v>
      </c>
      <c r="M11" s="48" t="s">
        <v>13</v>
      </c>
      <c r="N11" s="49" t="s">
        <v>30</v>
      </c>
      <c r="O11" s="50" t="s">
        <v>31</v>
      </c>
      <c r="Q11" t="s">
        <v>16</v>
      </c>
      <c r="R11" t="s">
        <v>32</v>
      </c>
      <c r="S11" t="s">
        <v>33</v>
      </c>
      <c r="T11" t="s">
        <v>34</v>
      </c>
    </row>
    <row r="12" spans="1:26" x14ac:dyDescent="0.25">
      <c r="A12" s="51">
        <v>2</v>
      </c>
      <c r="B12" s="52" t="s">
        <v>35</v>
      </c>
      <c r="C12" s="74">
        <f>HLOOKUP($C$4,$Q$11:$T$41,2,FALSE)</f>
        <v>24465</v>
      </c>
      <c r="D12" s="74">
        <f>C12*$C$9</f>
        <v>0</v>
      </c>
      <c r="E12" s="74">
        <f>C12*(100%+$C$9)</f>
        <v>24465</v>
      </c>
      <c r="F12" s="74">
        <f>(E12-$C$5)*$C$6</f>
        <v>2919.75</v>
      </c>
      <c r="G12" s="75">
        <f>E12*$C$8</f>
        <v>122.325</v>
      </c>
      <c r="H12" s="74">
        <f>E12*$C$7</f>
        <v>5817.777</v>
      </c>
      <c r="I12" s="76">
        <f>SUM(E12:H12)</f>
        <v>33324.851999999999</v>
      </c>
      <c r="J12" s="83">
        <v>1560</v>
      </c>
      <c r="K12" s="84">
        <v>1</v>
      </c>
      <c r="L12" s="83">
        <f>J12*K12</f>
        <v>1560</v>
      </c>
      <c r="M12" s="97">
        <f>ROUND(I12/L12,2)</f>
        <v>21.36</v>
      </c>
      <c r="N12" s="53">
        <v>0.41</v>
      </c>
      <c r="O12" s="54">
        <v>0.83</v>
      </c>
      <c r="P12" t="b">
        <f>M12=$M$12</f>
        <v>1</v>
      </c>
      <c r="Q12" s="40">
        <v>24465</v>
      </c>
      <c r="R12" s="16">
        <v>30074</v>
      </c>
      <c r="S12" s="16">
        <v>29179</v>
      </c>
      <c r="T12" s="16">
        <v>25768</v>
      </c>
      <c r="X12" s="11"/>
      <c r="Y12" s="99"/>
      <c r="Z12" s="100"/>
    </row>
    <row r="13" spans="1:26" x14ac:dyDescent="0.25">
      <c r="A13" s="25">
        <v>2</v>
      </c>
      <c r="B13" s="23" t="s">
        <v>36</v>
      </c>
      <c r="C13" s="77">
        <f>HLOOKUP($C$4,$Q$11:$T$41,3,FALSE)</f>
        <v>24465</v>
      </c>
      <c r="D13" s="77">
        <f t="shared" ref="D13:D47" si="0">C13*$C$9</f>
        <v>0</v>
      </c>
      <c r="E13" s="77">
        <f t="shared" ref="E13:E47" si="1">C13*(100%+$C$9)</f>
        <v>24465</v>
      </c>
      <c r="F13" s="77">
        <f t="shared" ref="F13:F47" si="2">(E13-$C$5)*$C$6</f>
        <v>2919.75</v>
      </c>
      <c r="G13" s="78">
        <f t="shared" ref="G13:G47" si="3">E13*$C$8</f>
        <v>122.325</v>
      </c>
      <c r="H13" s="77">
        <f t="shared" ref="H13:H47" si="4">E13*$C$7</f>
        <v>5817.777</v>
      </c>
      <c r="I13" s="76">
        <f t="shared" ref="I13:I47" si="5">SUM(E13:H13)</f>
        <v>33324.851999999999</v>
      </c>
      <c r="J13" s="85">
        <v>1560</v>
      </c>
      <c r="K13" s="84">
        <v>1</v>
      </c>
      <c r="L13" s="83">
        <f t="shared" ref="L13:L47" si="6">J13*K13</f>
        <v>1560</v>
      </c>
      <c r="M13" s="97">
        <f t="shared" ref="M13:M41" si="7">ROUND(I13/L13,2)</f>
        <v>21.36</v>
      </c>
      <c r="N13" s="21">
        <v>0.41</v>
      </c>
      <c r="O13" s="30">
        <v>0.83</v>
      </c>
      <c r="P13" t="b">
        <f>M13=payscales!M13</f>
        <v>1</v>
      </c>
      <c r="Q13" s="40">
        <v>24465</v>
      </c>
      <c r="R13" s="16">
        <v>30074</v>
      </c>
      <c r="S13" s="16">
        <v>29179</v>
      </c>
      <c r="T13" s="16">
        <v>25768</v>
      </c>
      <c r="X13" s="27" t="s">
        <v>37</v>
      </c>
      <c r="Z13" s="6"/>
    </row>
    <row r="14" spans="1:26" x14ac:dyDescent="0.25">
      <c r="A14" s="25">
        <v>3</v>
      </c>
      <c r="B14" s="23" t="s">
        <v>38</v>
      </c>
      <c r="C14" s="77">
        <f>HLOOKUP($C$4,$Q$11:$T$41,4,FALSE)</f>
        <v>24937</v>
      </c>
      <c r="D14" s="77">
        <f t="shared" si="0"/>
        <v>0</v>
      </c>
      <c r="E14" s="77">
        <f t="shared" si="1"/>
        <v>24937</v>
      </c>
      <c r="F14" s="77">
        <f t="shared" si="2"/>
        <v>2990.5499999999997</v>
      </c>
      <c r="G14" s="78">
        <f t="shared" si="3"/>
        <v>124.685</v>
      </c>
      <c r="H14" s="77">
        <f t="shared" si="4"/>
        <v>5930.0186000000003</v>
      </c>
      <c r="I14" s="76">
        <f t="shared" si="5"/>
        <v>33982.253600000004</v>
      </c>
      <c r="J14" s="85">
        <v>1560</v>
      </c>
      <c r="K14" s="84">
        <v>1</v>
      </c>
      <c r="L14" s="83">
        <f t="shared" si="6"/>
        <v>1560</v>
      </c>
      <c r="M14" s="97">
        <f t="shared" si="7"/>
        <v>21.78</v>
      </c>
      <c r="N14" s="21">
        <v>0.35</v>
      </c>
      <c r="O14" s="30">
        <v>0.69</v>
      </c>
      <c r="P14" t="b">
        <f>M14=payscales!M14</f>
        <v>1</v>
      </c>
      <c r="Q14" s="40">
        <v>24937</v>
      </c>
      <c r="R14" s="16">
        <v>30546</v>
      </c>
      <c r="S14" s="16">
        <v>29651</v>
      </c>
      <c r="T14" s="16">
        <v>26240</v>
      </c>
      <c r="U14" t="s">
        <v>16</v>
      </c>
      <c r="X14" s="28" t="s">
        <v>39</v>
      </c>
      <c r="Y14" s="71">
        <v>260</v>
      </c>
      <c r="Z14" s="6"/>
    </row>
    <row r="15" spans="1:26" x14ac:dyDescent="0.25">
      <c r="A15" s="25">
        <v>3</v>
      </c>
      <c r="B15" s="23" t="s">
        <v>40</v>
      </c>
      <c r="C15" s="77">
        <f>HLOOKUP($C$4,$Q$11:$T$41,5,FALSE)</f>
        <v>26598</v>
      </c>
      <c r="D15" s="77">
        <f t="shared" si="0"/>
        <v>0</v>
      </c>
      <c r="E15" s="77">
        <f t="shared" si="1"/>
        <v>26598</v>
      </c>
      <c r="F15" s="77">
        <f t="shared" si="2"/>
        <v>3239.7</v>
      </c>
      <c r="G15" s="78">
        <f t="shared" si="3"/>
        <v>132.99</v>
      </c>
      <c r="H15" s="77">
        <f t="shared" si="4"/>
        <v>6325.0044000000007</v>
      </c>
      <c r="I15" s="76">
        <f t="shared" si="5"/>
        <v>36295.6944</v>
      </c>
      <c r="J15" s="85">
        <v>1560</v>
      </c>
      <c r="K15" s="84">
        <v>1</v>
      </c>
      <c r="L15" s="83">
        <f t="shared" si="6"/>
        <v>1560</v>
      </c>
      <c r="M15" s="97">
        <f t="shared" si="7"/>
        <v>23.27</v>
      </c>
      <c r="N15" s="21">
        <v>0.35</v>
      </c>
      <c r="O15" s="30">
        <v>0.69</v>
      </c>
      <c r="P15" t="b">
        <f>M15=payscales!M15</f>
        <v>1</v>
      </c>
      <c r="Q15" s="40">
        <v>26598</v>
      </c>
      <c r="R15" s="16">
        <v>32207</v>
      </c>
      <c r="S15" s="16">
        <v>31312</v>
      </c>
      <c r="T15" s="16">
        <v>27928</v>
      </c>
      <c r="U15" t="s">
        <v>41</v>
      </c>
      <c r="X15" s="28" t="s">
        <v>42</v>
      </c>
      <c r="Y15" s="71">
        <v>-40</v>
      </c>
      <c r="Z15" s="6"/>
    </row>
    <row r="16" spans="1:26" x14ac:dyDescent="0.25">
      <c r="A16" s="25">
        <v>4</v>
      </c>
      <c r="B16" s="23" t="s">
        <v>43</v>
      </c>
      <c r="C16" s="77">
        <f>HLOOKUP($C$4,$Q$11:$T$41,6,FALSE)</f>
        <v>27485</v>
      </c>
      <c r="D16" s="77">
        <f t="shared" si="0"/>
        <v>0</v>
      </c>
      <c r="E16" s="77">
        <f t="shared" si="1"/>
        <v>27485</v>
      </c>
      <c r="F16" s="77">
        <f t="shared" si="2"/>
        <v>3372.75</v>
      </c>
      <c r="G16" s="78">
        <f t="shared" si="3"/>
        <v>137.42500000000001</v>
      </c>
      <c r="H16" s="77">
        <f t="shared" si="4"/>
        <v>6535.933</v>
      </c>
      <c r="I16" s="76">
        <f t="shared" si="5"/>
        <v>37531.108</v>
      </c>
      <c r="J16" s="85">
        <v>1560</v>
      </c>
      <c r="K16" s="84">
        <v>1</v>
      </c>
      <c r="L16" s="83">
        <f t="shared" si="6"/>
        <v>1560</v>
      </c>
      <c r="M16" s="97">
        <f t="shared" si="7"/>
        <v>24.06</v>
      </c>
      <c r="N16" s="21">
        <v>0.3</v>
      </c>
      <c r="O16" s="30">
        <v>0.6</v>
      </c>
      <c r="P16" t="b">
        <f>M16=payscales!M16</f>
        <v>1</v>
      </c>
      <c r="Q16" s="40">
        <v>27485</v>
      </c>
      <c r="R16" s="16">
        <v>33094</v>
      </c>
      <c r="S16" s="16">
        <v>32199</v>
      </c>
      <c r="T16" s="16">
        <v>28860</v>
      </c>
      <c r="U16" t="s">
        <v>44</v>
      </c>
      <c r="X16" s="28" t="s">
        <v>45</v>
      </c>
      <c r="Y16" s="71">
        <v>-2</v>
      </c>
      <c r="Z16" s="6"/>
    </row>
    <row r="17" spans="1:28" x14ac:dyDescent="0.25">
      <c r="A17" s="25">
        <v>4</v>
      </c>
      <c r="B17" s="23" t="s">
        <v>46</v>
      </c>
      <c r="C17" s="77">
        <f>HLOOKUP($C$4,$Q$11:$T$41,7,FALSE)</f>
        <v>30162</v>
      </c>
      <c r="D17" s="77">
        <f t="shared" si="0"/>
        <v>0</v>
      </c>
      <c r="E17" s="77">
        <f t="shared" si="1"/>
        <v>30162</v>
      </c>
      <c r="F17" s="77">
        <f t="shared" si="2"/>
        <v>3774.2999999999997</v>
      </c>
      <c r="G17" s="78">
        <f t="shared" si="3"/>
        <v>150.81</v>
      </c>
      <c r="H17" s="77">
        <f t="shared" si="4"/>
        <v>7172.5236000000004</v>
      </c>
      <c r="I17" s="76">
        <f t="shared" si="5"/>
        <v>41259.633600000001</v>
      </c>
      <c r="J17" s="85">
        <v>1560</v>
      </c>
      <c r="K17" s="84">
        <v>1</v>
      </c>
      <c r="L17" s="83">
        <f t="shared" si="6"/>
        <v>1560</v>
      </c>
      <c r="M17" s="97">
        <f t="shared" si="7"/>
        <v>26.45</v>
      </c>
      <c r="N17" s="21">
        <v>0.3</v>
      </c>
      <c r="O17" s="30">
        <v>0.6</v>
      </c>
      <c r="P17" t="b">
        <f>M17=payscales!M17</f>
        <v>1</v>
      </c>
      <c r="Q17" s="40">
        <v>30162</v>
      </c>
      <c r="R17" s="16">
        <v>36195</v>
      </c>
      <c r="S17" s="16">
        <v>34876</v>
      </c>
      <c r="T17" s="16">
        <v>31671</v>
      </c>
      <c r="U17" t="s">
        <v>47</v>
      </c>
      <c r="X17" s="28" t="s">
        <v>48</v>
      </c>
      <c r="Y17" s="71">
        <v>-10</v>
      </c>
      <c r="Z17" s="6"/>
    </row>
    <row r="18" spans="1:28" x14ac:dyDescent="0.25">
      <c r="A18" s="25">
        <v>5</v>
      </c>
      <c r="B18" s="23" t="s">
        <v>49</v>
      </c>
      <c r="C18" s="77">
        <f>HLOOKUP($C$4,$Q$11:$T$41,8,FALSE)</f>
        <v>31049</v>
      </c>
      <c r="D18" s="77">
        <f t="shared" si="0"/>
        <v>0</v>
      </c>
      <c r="E18" s="77">
        <f t="shared" si="1"/>
        <v>31049</v>
      </c>
      <c r="F18" s="77">
        <f t="shared" si="2"/>
        <v>3907.35</v>
      </c>
      <c r="G18" s="78">
        <f t="shared" si="3"/>
        <v>155.245</v>
      </c>
      <c r="H18" s="77">
        <f t="shared" si="4"/>
        <v>7383.4522000000006</v>
      </c>
      <c r="I18" s="76">
        <f t="shared" si="5"/>
        <v>42495.047200000001</v>
      </c>
      <c r="J18" s="85">
        <v>1560</v>
      </c>
      <c r="K18" s="84">
        <v>1</v>
      </c>
      <c r="L18" s="83">
        <f t="shared" si="6"/>
        <v>1560</v>
      </c>
      <c r="M18" s="97">
        <f t="shared" si="7"/>
        <v>27.24</v>
      </c>
      <c r="N18" s="21">
        <v>0.3</v>
      </c>
      <c r="O18" s="30">
        <v>0.6</v>
      </c>
      <c r="P18" t="b">
        <f>M18=payscales!M18</f>
        <v>1</v>
      </c>
      <c r="Q18" s="40">
        <v>31049</v>
      </c>
      <c r="R18" s="16">
        <v>37259</v>
      </c>
      <c r="S18" s="16">
        <v>35763</v>
      </c>
      <c r="T18" s="16">
        <v>32602</v>
      </c>
      <c r="X18" s="28"/>
      <c r="Y18" s="99">
        <v>208</v>
      </c>
      <c r="Z18" s="6"/>
    </row>
    <row r="19" spans="1:28" x14ac:dyDescent="0.25">
      <c r="A19" s="25">
        <v>5</v>
      </c>
      <c r="B19" s="23" t="s">
        <v>50</v>
      </c>
      <c r="C19" s="77">
        <f>HLOOKUP($C$4,$Q$11:$T$41,9,FALSE)</f>
        <v>33487</v>
      </c>
      <c r="D19" s="77">
        <f t="shared" si="0"/>
        <v>0</v>
      </c>
      <c r="E19" s="77">
        <f t="shared" si="1"/>
        <v>33487</v>
      </c>
      <c r="F19" s="77">
        <f t="shared" si="2"/>
        <v>4273.05</v>
      </c>
      <c r="G19" s="78">
        <f t="shared" si="3"/>
        <v>167.435</v>
      </c>
      <c r="H19" s="77">
        <f t="shared" si="4"/>
        <v>7963.2085999999999</v>
      </c>
      <c r="I19" s="76">
        <f t="shared" si="5"/>
        <v>45890.693599999999</v>
      </c>
      <c r="J19" s="85">
        <v>1560</v>
      </c>
      <c r="K19" s="84">
        <v>1</v>
      </c>
      <c r="L19" s="83">
        <f t="shared" si="6"/>
        <v>1560</v>
      </c>
      <c r="M19" s="97">
        <f t="shared" si="7"/>
        <v>29.42</v>
      </c>
      <c r="N19" s="21">
        <v>0.3</v>
      </c>
      <c r="O19" s="30">
        <v>0.6</v>
      </c>
      <c r="P19" t="b">
        <f>M19=payscales!M19</f>
        <v>1</v>
      </c>
      <c r="Q19" s="40">
        <v>33487</v>
      </c>
      <c r="R19" s="16">
        <v>40185</v>
      </c>
      <c r="S19" s="16">
        <v>38511</v>
      </c>
      <c r="T19" s="16">
        <v>35162</v>
      </c>
      <c r="X19" s="28" t="s">
        <v>51</v>
      </c>
      <c r="Y19" s="19">
        <f>7.5*Y18</f>
        <v>1560</v>
      </c>
      <c r="Z19" s="6"/>
    </row>
    <row r="20" spans="1:28" x14ac:dyDescent="0.25">
      <c r="A20" s="25">
        <v>5</v>
      </c>
      <c r="B20" s="23" t="s">
        <v>52</v>
      </c>
      <c r="C20" s="77">
        <f>HLOOKUP($C$4,$Q$11:$T$41,10,FALSE)</f>
        <v>37796</v>
      </c>
      <c r="D20" s="77">
        <f t="shared" si="0"/>
        <v>0</v>
      </c>
      <c r="E20" s="77">
        <f t="shared" si="1"/>
        <v>37796</v>
      </c>
      <c r="F20" s="77">
        <f t="shared" si="2"/>
        <v>4919.3999999999996</v>
      </c>
      <c r="G20" s="78">
        <f t="shared" si="3"/>
        <v>188.98</v>
      </c>
      <c r="H20" s="77">
        <f t="shared" si="4"/>
        <v>8987.8888000000006</v>
      </c>
      <c r="I20" s="76">
        <f t="shared" si="5"/>
        <v>51892.268800000005</v>
      </c>
      <c r="J20" s="85">
        <v>1560</v>
      </c>
      <c r="K20" s="84">
        <v>1</v>
      </c>
      <c r="L20" s="83">
        <f t="shared" si="6"/>
        <v>1560</v>
      </c>
      <c r="M20" s="97">
        <f t="shared" si="7"/>
        <v>33.26</v>
      </c>
      <c r="N20" s="21">
        <v>0.3</v>
      </c>
      <c r="O20" s="30">
        <v>0.6</v>
      </c>
      <c r="P20" t="b">
        <f>M20=payscales!M20</f>
        <v>1</v>
      </c>
      <c r="Q20" s="40">
        <v>37796</v>
      </c>
      <c r="R20" s="16">
        <v>45356</v>
      </c>
      <c r="S20" s="16">
        <v>43466</v>
      </c>
      <c r="T20" s="16">
        <v>39686</v>
      </c>
      <c r="X20" s="7"/>
      <c r="Z20" s="6"/>
    </row>
    <row r="21" spans="1:28" x14ac:dyDescent="0.25">
      <c r="A21" s="25">
        <v>6</v>
      </c>
      <c r="B21" s="23" t="s">
        <v>53</v>
      </c>
      <c r="C21" s="77">
        <f>HLOOKUP($C$4,$Q$11:$T$41,11,FALSE)</f>
        <v>38682</v>
      </c>
      <c r="D21" s="77">
        <f t="shared" si="0"/>
        <v>0</v>
      </c>
      <c r="E21" s="77">
        <f t="shared" si="1"/>
        <v>38682</v>
      </c>
      <c r="F21" s="77">
        <f t="shared" si="2"/>
        <v>5052.3</v>
      </c>
      <c r="G21" s="78">
        <f t="shared" si="3"/>
        <v>193.41</v>
      </c>
      <c r="H21" s="77">
        <f t="shared" si="4"/>
        <v>9198.5796000000009</v>
      </c>
      <c r="I21" s="76">
        <f t="shared" si="5"/>
        <v>53126.289600000004</v>
      </c>
      <c r="J21" s="85">
        <v>1560</v>
      </c>
      <c r="K21" s="84">
        <v>1</v>
      </c>
      <c r="L21" s="83">
        <f t="shared" si="6"/>
        <v>1560</v>
      </c>
      <c r="M21" s="97">
        <f t="shared" si="7"/>
        <v>34.06</v>
      </c>
      <c r="N21" s="21">
        <v>0.3</v>
      </c>
      <c r="O21" s="30">
        <v>0.6</v>
      </c>
      <c r="P21" t="b">
        <f>M21=payscales!M21</f>
        <v>1</v>
      </c>
      <c r="Q21" s="40">
        <v>38682</v>
      </c>
      <c r="R21" s="16">
        <v>46419</v>
      </c>
      <c r="S21" s="16">
        <v>44485</v>
      </c>
      <c r="T21" s="16">
        <v>40617</v>
      </c>
      <c r="X21" s="7"/>
      <c r="Z21" s="6"/>
    </row>
    <row r="22" spans="1:28" x14ac:dyDescent="0.25">
      <c r="A22" s="25">
        <v>6</v>
      </c>
      <c r="B22" s="23" t="s">
        <v>11</v>
      </c>
      <c r="C22" s="77">
        <f>HLOOKUP($C$4,$Q$11:$T$41,12,FALSE)</f>
        <v>40823</v>
      </c>
      <c r="D22" s="77">
        <f t="shared" si="0"/>
        <v>0</v>
      </c>
      <c r="E22" s="77">
        <f t="shared" si="1"/>
        <v>40823</v>
      </c>
      <c r="F22" s="77">
        <f t="shared" si="2"/>
        <v>5373.45</v>
      </c>
      <c r="G22" s="78">
        <f t="shared" si="3"/>
        <v>204.11500000000001</v>
      </c>
      <c r="H22" s="77">
        <f t="shared" si="4"/>
        <v>9707.7093999999997</v>
      </c>
      <c r="I22" s="76">
        <f t="shared" si="5"/>
        <v>56108.274399999995</v>
      </c>
      <c r="J22" s="85">
        <v>1560</v>
      </c>
      <c r="K22" s="84">
        <v>1</v>
      </c>
      <c r="L22" s="83">
        <f t="shared" si="6"/>
        <v>1560</v>
      </c>
      <c r="M22" s="97">
        <f t="shared" si="7"/>
        <v>35.97</v>
      </c>
      <c r="N22" s="21">
        <v>0.3</v>
      </c>
      <c r="O22" s="30">
        <v>0.6</v>
      </c>
      <c r="P22" t="b">
        <f>M22=payscales!M22</f>
        <v>1</v>
      </c>
      <c r="Q22" s="40">
        <v>40823</v>
      </c>
      <c r="R22" s="16">
        <v>48988</v>
      </c>
      <c r="S22" s="16">
        <v>46764</v>
      </c>
      <c r="T22" s="16">
        <v>42865</v>
      </c>
      <c r="X22" s="28"/>
      <c r="Z22" s="6"/>
    </row>
    <row r="23" spans="1:28" x14ac:dyDescent="0.25">
      <c r="A23" s="25">
        <v>6</v>
      </c>
      <c r="B23" s="23" t="s">
        <v>55</v>
      </c>
      <c r="C23" s="77">
        <f>HLOOKUP($C$4,$Q$11:$T$41,13,FALSE)</f>
        <v>46580</v>
      </c>
      <c r="D23" s="77">
        <f t="shared" si="0"/>
        <v>0</v>
      </c>
      <c r="E23" s="77">
        <f t="shared" si="1"/>
        <v>46580</v>
      </c>
      <c r="F23" s="77">
        <f t="shared" si="2"/>
        <v>6237</v>
      </c>
      <c r="G23" s="78">
        <f t="shared" si="3"/>
        <v>232.9</v>
      </c>
      <c r="H23" s="77">
        <f t="shared" si="4"/>
        <v>11076.724</v>
      </c>
      <c r="I23" s="76">
        <f t="shared" si="5"/>
        <v>64126.624000000003</v>
      </c>
      <c r="J23" s="85">
        <v>1560</v>
      </c>
      <c r="K23" s="84">
        <v>1</v>
      </c>
      <c r="L23" s="83">
        <f t="shared" si="6"/>
        <v>1560</v>
      </c>
      <c r="M23" s="97">
        <f t="shared" si="7"/>
        <v>41.11</v>
      </c>
      <c r="N23" s="21">
        <v>0.3</v>
      </c>
      <c r="O23" s="30">
        <v>0.6</v>
      </c>
      <c r="P23" t="b">
        <f>M23=payscales!M23</f>
        <v>1</v>
      </c>
      <c r="Q23" s="40">
        <v>46580</v>
      </c>
      <c r="R23" s="16">
        <v>55046</v>
      </c>
      <c r="S23" s="16">
        <v>52521</v>
      </c>
      <c r="T23" s="16">
        <v>48778</v>
      </c>
      <c r="X23" s="27" t="s">
        <v>54</v>
      </c>
      <c r="Z23" s="6"/>
    </row>
    <row r="24" spans="1:28" x14ac:dyDescent="0.25">
      <c r="A24" s="25">
        <v>7</v>
      </c>
      <c r="B24" s="23" t="s">
        <v>57</v>
      </c>
      <c r="C24" s="77">
        <f>HLOOKUP($C$4,$Q$11:$T$41,14,FALSE)</f>
        <v>47810</v>
      </c>
      <c r="D24" s="77">
        <f t="shared" si="0"/>
        <v>0</v>
      </c>
      <c r="E24" s="77">
        <f t="shared" si="1"/>
        <v>47810</v>
      </c>
      <c r="F24" s="77">
        <f t="shared" si="2"/>
        <v>6421.5</v>
      </c>
      <c r="G24" s="78">
        <f t="shared" si="3"/>
        <v>239.05</v>
      </c>
      <c r="H24" s="77">
        <f t="shared" si="4"/>
        <v>11369.218000000001</v>
      </c>
      <c r="I24" s="76">
        <f t="shared" si="5"/>
        <v>65839.768000000011</v>
      </c>
      <c r="J24" s="85">
        <v>1560</v>
      </c>
      <c r="K24" s="84">
        <v>1</v>
      </c>
      <c r="L24" s="83">
        <f t="shared" si="6"/>
        <v>1560</v>
      </c>
      <c r="M24" s="97">
        <f t="shared" si="7"/>
        <v>42.2</v>
      </c>
      <c r="N24" s="21">
        <v>0.3</v>
      </c>
      <c r="O24" s="30">
        <v>0.6</v>
      </c>
      <c r="P24" t="b">
        <f>M24=payscales!M24</f>
        <v>1</v>
      </c>
      <c r="Q24" s="40">
        <v>47810</v>
      </c>
      <c r="R24" s="16">
        <v>56276</v>
      </c>
      <c r="S24" s="16">
        <v>53751</v>
      </c>
      <c r="T24" s="16">
        <v>50008</v>
      </c>
      <c r="X24" s="28" t="s">
        <v>56</v>
      </c>
      <c r="Y24" s="71">
        <v>43</v>
      </c>
      <c r="Z24" s="6"/>
    </row>
    <row r="25" spans="1:28" x14ac:dyDescent="0.25">
      <c r="A25" s="25">
        <v>7</v>
      </c>
      <c r="B25" s="23" t="s">
        <v>9</v>
      </c>
      <c r="C25" s="77">
        <f>HLOOKUP($C$4,$Q$11:$T$41,15,FALSE)</f>
        <v>50273</v>
      </c>
      <c r="D25" s="77">
        <f t="shared" si="0"/>
        <v>0</v>
      </c>
      <c r="E25" s="77">
        <f t="shared" si="1"/>
        <v>50273</v>
      </c>
      <c r="F25" s="77">
        <f t="shared" si="2"/>
        <v>6790.95</v>
      </c>
      <c r="G25" s="78">
        <f t="shared" si="3"/>
        <v>251.36500000000001</v>
      </c>
      <c r="H25" s="77">
        <f t="shared" si="4"/>
        <v>11954.919400000001</v>
      </c>
      <c r="I25" s="76">
        <f t="shared" si="5"/>
        <v>69270.234400000001</v>
      </c>
      <c r="J25" s="85">
        <v>1560</v>
      </c>
      <c r="K25" s="84">
        <v>1</v>
      </c>
      <c r="L25" s="83">
        <f t="shared" si="6"/>
        <v>1560</v>
      </c>
      <c r="M25" s="97">
        <f t="shared" si="7"/>
        <v>44.4</v>
      </c>
      <c r="N25" s="21">
        <v>0.3</v>
      </c>
      <c r="O25" s="30">
        <v>0.6</v>
      </c>
      <c r="P25" t="b">
        <f>M25=payscales!M25</f>
        <v>1</v>
      </c>
      <c r="Q25" s="40">
        <v>50273</v>
      </c>
      <c r="R25" s="16">
        <v>58739</v>
      </c>
      <c r="S25" s="16">
        <v>56214</v>
      </c>
      <c r="T25" s="16">
        <v>52471</v>
      </c>
      <c r="X25" s="28"/>
      <c r="Y25" s="71"/>
      <c r="Z25" s="6"/>
    </row>
    <row r="26" spans="1:28" x14ac:dyDescent="0.25">
      <c r="A26" s="25">
        <v>7</v>
      </c>
      <c r="B26" s="23" t="s">
        <v>59</v>
      </c>
      <c r="C26" s="77">
        <f>HLOOKUP($C$4,$Q$11:$T$41,16,FALSE)</f>
        <v>54710</v>
      </c>
      <c r="D26" s="77">
        <f t="shared" si="0"/>
        <v>0</v>
      </c>
      <c r="E26" s="77">
        <f t="shared" si="1"/>
        <v>54710</v>
      </c>
      <c r="F26" s="77">
        <f t="shared" si="2"/>
        <v>7456.5</v>
      </c>
      <c r="G26" s="78">
        <f t="shared" si="3"/>
        <v>273.55</v>
      </c>
      <c r="H26" s="77">
        <f t="shared" si="4"/>
        <v>13010.038</v>
      </c>
      <c r="I26" s="76">
        <f t="shared" si="5"/>
        <v>75450.088000000003</v>
      </c>
      <c r="J26" s="85">
        <v>1560</v>
      </c>
      <c r="K26" s="84">
        <v>1</v>
      </c>
      <c r="L26" s="83">
        <f t="shared" si="6"/>
        <v>1560</v>
      </c>
      <c r="M26" s="97">
        <f t="shared" si="7"/>
        <v>48.37</v>
      </c>
      <c r="N26" s="21">
        <v>0.3</v>
      </c>
      <c r="O26" s="30">
        <v>0.6</v>
      </c>
      <c r="P26" t="b">
        <f>M26=payscales!M26</f>
        <v>1</v>
      </c>
      <c r="Q26" s="40">
        <v>54710</v>
      </c>
      <c r="R26" s="16">
        <v>63176</v>
      </c>
      <c r="S26" s="16">
        <v>60651</v>
      </c>
      <c r="T26" s="16">
        <v>56908</v>
      </c>
      <c r="X26" s="28" t="s">
        <v>58</v>
      </c>
      <c r="Y26" s="71">
        <v>10</v>
      </c>
      <c r="Z26" s="6"/>
      <c r="AB26" s="41"/>
    </row>
    <row r="27" spans="1:28" x14ac:dyDescent="0.25">
      <c r="A27" s="25" t="s">
        <v>61</v>
      </c>
      <c r="B27" s="23" t="s">
        <v>10</v>
      </c>
      <c r="C27" s="77">
        <f>HLOOKUP($C$4,$Q$11:$T$41,17,FALSE)</f>
        <v>55690</v>
      </c>
      <c r="D27" s="77">
        <f t="shared" si="0"/>
        <v>0</v>
      </c>
      <c r="E27" s="77">
        <f t="shared" si="1"/>
        <v>55690</v>
      </c>
      <c r="F27" s="77">
        <f t="shared" si="2"/>
        <v>7603.5</v>
      </c>
      <c r="G27" s="78">
        <f t="shared" si="3"/>
        <v>278.45</v>
      </c>
      <c r="H27" s="77">
        <f t="shared" si="4"/>
        <v>13243.082</v>
      </c>
      <c r="I27" s="76">
        <f t="shared" si="5"/>
        <v>76815.031999999992</v>
      </c>
      <c r="J27" s="85">
        <v>1560</v>
      </c>
      <c r="K27" s="84">
        <v>1</v>
      </c>
      <c r="L27" s="83">
        <f t="shared" si="6"/>
        <v>1560</v>
      </c>
      <c r="M27" s="97">
        <f t="shared" si="7"/>
        <v>49.24</v>
      </c>
      <c r="N27" s="21">
        <v>0.3</v>
      </c>
      <c r="O27" s="30">
        <v>0.6</v>
      </c>
      <c r="P27" t="b">
        <f>M27=payscales!M27</f>
        <v>1</v>
      </c>
      <c r="Q27" s="40">
        <v>55690</v>
      </c>
      <c r="R27" s="16">
        <v>64156</v>
      </c>
      <c r="S27" s="16">
        <v>61631</v>
      </c>
      <c r="T27" s="16">
        <v>57888</v>
      </c>
      <c r="X27" s="28" t="s">
        <v>60</v>
      </c>
      <c r="Y27" s="71">
        <v>-2</v>
      </c>
      <c r="Z27" s="6"/>
      <c r="AB27" s="41"/>
    </row>
    <row r="28" spans="1:28" x14ac:dyDescent="0.25">
      <c r="A28" s="25" t="s">
        <v>61</v>
      </c>
      <c r="B28" s="23" t="s">
        <v>12</v>
      </c>
      <c r="C28" s="77">
        <f>HLOOKUP($C$4,$Q$11:$T$41,18,FALSE)</f>
        <v>58487</v>
      </c>
      <c r="D28" s="77">
        <f t="shared" si="0"/>
        <v>0</v>
      </c>
      <c r="E28" s="77">
        <f t="shared" si="1"/>
        <v>58487</v>
      </c>
      <c r="F28" s="77">
        <f t="shared" si="2"/>
        <v>8023.0499999999993</v>
      </c>
      <c r="G28" s="78">
        <f t="shared" si="3"/>
        <v>292.435</v>
      </c>
      <c r="H28" s="77">
        <f t="shared" si="4"/>
        <v>13908.2086</v>
      </c>
      <c r="I28" s="76">
        <f t="shared" si="5"/>
        <v>80710.693599999999</v>
      </c>
      <c r="J28" s="85">
        <v>1560</v>
      </c>
      <c r="K28" s="84">
        <v>1</v>
      </c>
      <c r="L28" s="83">
        <f t="shared" si="6"/>
        <v>1560</v>
      </c>
      <c r="M28" s="97">
        <f t="shared" si="7"/>
        <v>51.74</v>
      </c>
      <c r="N28" s="21">
        <v>0.3</v>
      </c>
      <c r="O28" s="30">
        <v>0.6</v>
      </c>
      <c r="P28" t="b">
        <f>M28=payscales!M28</f>
        <v>1</v>
      </c>
      <c r="Q28" s="40">
        <v>58487</v>
      </c>
      <c r="R28" s="16">
        <v>66953</v>
      </c>
      <c r="S28" s="16">
        <v>64428</v>
      </c>
      <c r="T28" s="16">
        <v>60685</v>
      </c>
      <c r="X28" s="28"/>
      <c r="Y28" s="99">
        <v>8</v>
      </c>
      <c r="Z28" s="6"/>
    </row>
    <row r="29" spans="1:28" x14ac:dyDescent="0.25">
      <c r="A29" s="25" t="s">
        <v>61</v>
      </c>
      <c r="B29" s="23" t="s">
        <v>63</v>
      </c>
      <c r="C29" s="77">
        <f>HLOOKUP($C$4,$Q$11:$T$41,19,FALSE)</f>
        <v>62682</v>
      </c>
      <c r="D29" s="77">
        <f t="shared" si="0"/>
        <v>0</v>
      </c>
      <c r="E29" s="77">
        <f t="shared" si="1"/>
        <v>62682</v>
      </c>
      <c r="F29" s="77">
        <f t="shared" si="2"/>
        <v>8652.2999999999993</v>
      </c>
      <c r="G29" s="78">
        <f t="shared" si="3"/>
        <v>313.41000000000003</v>
      </c>
      <c r="H29" s="77">
        <f t="shared" si="4"/>
        <v>14905.7796</v>
      </c>
      <c r="I29" s="76">
        <f t="shared" si="5"/>
        <v>86553.489600000001</v>
      </c>
      <c r="J29" s="85">
        <v>1560</v>
      </c>
      <c r="K29" s="84">
        <v>1</v>
      </c>
      <c r="L29" s="83">
        <f t="shared" si="6"/>
        <v>1560</v>
      </c>
      <c r="M29" s="97">
        <f t="shared" si="7"/>
        <v>55.48</v>
      </c>
      <c r="N29" s="21">
        <v>0.3</v>
      </c>
      <c r="O29" s="30">
        <v>0.6</v>
      </c>
      <c r="P29" t="b">
        <f>M29=payscales!M29</f>
        <v>1</v>
      </c>
      <c r="Q29" s="40">
        <v>62682</v>
      </c>
      <c r="R29" s="16">
        <v>71148</v>
      </c>
      <c r="S29" s="16">
        <v>68623</v>
      </c>
      <c r="T29" s="16">
        <v>64880</v>
      </c>
      <c r="X29" s="28" t="s">
        <v>62</v>
      </c>
      <c r="Y29" s="19">
        <f>Y28*4*Y24</f>
        <v>1376</v>
      </c>
      <c r="Z29" s="6"/>
      <c r="AA29" s="40"/>
      <c r="AB29" s="41"/>
    </row>
    <row r="30" spans="1:28" x14ac:dyDescent="0.25">
      <c r="A30" s="25" t="s">
        <v>64</v>
      </c>
      <c r="B30" s="23" t="s">
        <v>65</v>
      </c>
      <c r="C30" s="77">
        <f>HLOOKUP($C$4,$Q$11:$T$41,20,FALSE)</f>
        <v>64455</v>
      </c>
      <c r="D30" s="77">
        <f t="shared" si="0"/>
        <v>0</v>
      </c>
      <c r="E30" s="77">
        <f t="shared" si="1"/>
        <v>64455</v>
      </c>
      <c r="F30" s="77">
        <f t="shared" si="2"/>
        <v>8918.25</v>
      </c>
      <c r="G30" s="78">
        <f t="shared" si="3"/>
        <v>322.27500000000003</v>
      </c>
      <c r="H30" s="77">
        <f t="shared" si="4"/>
        <v>15327.399000000001</v>
      </c>
      <c r="I30" s="76">
        <f t="shared" si="5"/>
        <v>89022.923999999999</v>
      </c>
      <c r="J30" s="85">
        <v>1560</v>
      </c>
      <c r="K30" s="84">
        <v>1</v>
      </c>
      <c r="L30" s="83">
        <f t="shared" si="6"/>
        <v>1560</v>
      </c>
      <c r="M30" s="97">
        <f t="shared" si="7"/>
        <v>57.07</v>
      </c>
      <c r="N30" s="21">
        <v>0.3</v>
      </c>
      <c r="O30" s="30">
        <v>0.6</v>
      </c>
      <c r="P30" t="b">
        <f>M30=payscales!M30</f>
        <v>1</v>
      </c>
      <c r="Q30" s="40">
        <v>64455</v>
      </c>
      <c r="R30" s="16">
        <v>72921</v>
      </c>
      <c r="S30" s="16">
        <v>70396</v>
      </c>
      <c r="T30" s="16">
        <v>66653</v>
      </c>
      <c r="X30" s="7"/>
      <c r="Z30" s="6"/>
    </row>
    <row r="31" spans="1:28" x14ac:dyDescent="0.25">
      <c r="A31" s="25" t="s">
        <v>64</v>
      </c>
      <c r="B31" s="23" t="s">
        <v>66</v>
      </c>
      <c r="C31" s="77">
        <f>HLOOKUP($C$4,$Q$11:$T$41,21,FALSE)</f>
        <v>68631</v>
      </c>
      <c r="D31" s="77">
        <f t="shared" si="0"/>
        <v>0</v>
      </c>
      <c r="E31" s="77">
        <f t="shared" si="1"/>
        <v>68631</v>
      </c>
      <c r="F31" s="77">
        <f t="shared" si="2"/>
        <v>9544.65</v>
      </c>
      <c r="G31" s="78">
        <f t="shared" si="3"/>
        <v>343.15500000000003</v>
      </c>
      <c r="H31" s="77">
        <f t="shared" si="4"/>
        <v>16320.451800000001</v>
      </c>
      <c r="I31" s="76">
        <f t="shared" si="5"/>
        <v>94839.256799999988</v>
      </c>
      <c r="J31" s="85">
        <v>1560</v>
      </c>
      <c r="K31" s="84">
        <v>1</v>
      </c>
      <c r="L31" s="83">
        <f t="shared" si="6"/>
        <v>1560</v>
      </c>
      <c r="M31" s="97">
        <f t="shared" si="7"/>
        <v>60.79</v>
      </c>
      <c r="N31" s="21">
        <v>0.3</v>
      </c>
      <c r="O31" s="30">
        <v>0.6</v>
      </c>
      <c r="P31" t="b">
        <f>M31=payscales!M31</f>
        <v>1</v>
      </c>
      <c r="Q31" s="40">
        <v>68631</v>
      </c>
      <c r="R31" s="16">
        <v>77097</v>
      </c>
      <c r="S31" s="16">
        <v>74572</v>
      </c>
      <c r="T31" s="16">
        <v>70829</v>
      </c>
      <c r="X31" s="28"/>
      <c r="Z31" s="6"/>
    </row>
    <row r="32" spans="1:28" x14ac:dyDescent="0.25">
      <c r="A32" s="25" t="s">
        <v>64</v>
      </c>
      <c r="B32" s="23" t="s">
        <v>68</v>
      </c>
      <c r="C32" s="77">
        <f>HLOOKUP($C$4,$Q$11:$T$41,22,FALSE)</f>
        <v>74896</v>
      </c>
      <c r="D32" s="77">
        <f t="shared" si="0"/>
        <v>0</v>
      </c>
      <c r="E32" s="77">
        <f t="shared" si="1"/>
        <v>74896</v>
      </c>
      <c r="F32" s="77">
        <f t="shared" si="2"/>
        <v>10484.4</v>
      </c>
      <c r="G32" s="78">
        <f t="shared" si="3"/>
        <v>374.48</v>
      </c>
      <c r="H32" s="77">
        <f t="shared" si="4"/>
        <v>17810.268800000002</v>
      </c>
      <c r="I32" s="76">
        <f t="shared" si="5"/>
        <v>103565.1488</v>
      </c>
      <c r="J32" s="85">
        <v>1560</v>
      </c>
      <c r="K32" s="84">
        <v>1</v>
      </c>
      <c r="L32" s="83">
        <f t="shared" si="6"/>
        <v>1560</v>
      </c>
      <c r="M32" s="97">
        <f t="shared" si="7"/>
        <v>66.39</v>
      </c>
      <c r="N32" s="21">
        <v>0.3</v>
      </c>
      <c r="O32" s="30">
        <v>0.6</v>
      </c>
      <c r="P32" t="b">
        <f>M32=payscales!M32</f>
        <v>1</v>
      </c>
      <c r="Q32" s="40">
        <v>74896</v>
      </c>
      <c r="R32" s="16">
        <v>83362</v>
      </c>
      <c r="S32" s="16">
        <v>80837</v>
      </c>
      <c r="T32" s="16">
        <v>77094</v>
      </c>
      <c r="X32" s="27" t="s">
        <v>67</v>
      </c>
      <c r="Z32" s="6"/>
    </row>
    <row r="33" spans="1:26" x14ac:dyDescent="0.25">
      <c r="A33" s="25" t="s">
        <v>70</v>
      </c>
      <c r="B33" s="23" t="s">
        <v>71</v>
      </c>
      <c r="C33" s="77">
        <f>HLOOKUP($C$4,$Q$11:$T$41,23,FALSE)</f>
        <v>76965</v>
      </c>
      <c r="D33" s="77">
        <f t="shared" si="0"/>
        <v>0</v>
      </c>
      <c r="E33" s="77">
        <f t="shared" si="1"/>
        <v>76965</v>
      </c>
      <c r="F33" s="77">
        <f t="shared" si="2"/>
        <v>10794.75</v>
      </c>
      <c r="G33" s="78">
        <f t="shared" si="3"/>
        <v>384.82499999999999</v>
      </c>
      <c r="H33" s="77">
        <f t="shared" si="4"/>
        <v>18302.277000000002</v>
      </c>
      <c r="I33" s="76">
        <f t="shared" si="5"/>
        <v>106446.852</v>
      </c>
      <c r="J33" s="85">
        <v>1560</v>
      </c>
      <c r="K33" s="84">
        <v>1</v>
      </c>
      <c r="L33" s="83">
        <f t="shared" si="6"/>
        <v>1560</v>
      </c>
      <c r="M33" s="97">
        <f t="shared" si="7"/>
        <v>68.239999999999995</v>
      </c>
      <c r="N33" s="21">
        <v>0.3</v>
      </c>
      <c r="O33" s="30">
        <v>0.6</v>
      </c>
      <c r="P33" t="b">
        <f>M33=payscales!M33</f>
        <v>1</v>
      </c>
      <c r="Q33" s="40">
        <v>76965</v>
      </c>
      <c r="R33" s="16">
        <v>85431</v>
      </c>
      <c r="S33" s="16">
        <v>82906</v>
      </c>
      <c r="T33" s="16">
        <v>79163</v>
      </c>
      <c r="X33" s="28" t="s">
        <v>69</v>
      </c>
      <c r="Y33" s="71">
        <v>44.7</v>
      </c>
      <c r="Z33" s="6"/>
    </row>
    <row r="34" spans="1:26" x14ac:dyDescent="0.25">
      <c r="A34" s="25" t="s">
        <v>70</v>
      </c>
      <c r="B34" s="23" t="s">
        <v>73</v>
      </c>
      <c r="C34" s="77">
        <f>HLOOKUP($C$4,$Q$11:$T$41,24,FALSE)</f>
        <v>81652</v>
      </c>
      <c r="D34" s="77">
        <f t="shared" si="0"/>
        <v>0</v>
      </c>
      <c r="E34" s="77">
        <f t="shared" si="1"/>
        <v>81652</v>
      </c>
      <c r="F34" s="77">
        <f t="shared" si="2"/>
        <v>11497.8</v>
      </c>
      <c r="G34" s="78">
        <f t="shared" si="3"/>
        <v>408.26</v>
      </c>
      <c r="H34" s="77">
        <f t="shared" si="4"/>
        <v>19416.845600000001</v>
      </c>
      <c r="I34" s="76">
        <f t="shared" si="5"/>
        <v>112974.9056</v>
      </c>
      <c r="J34" s="85">
        <v>1560</v>
      </c>
      <c r="K34" s="84">
        <v>1</v>
      </c>
      <c r="L34" s="83">
        <f t="shared" si="6"/>
        <v>1560</v>
      </c>
      <c r="M34" s="97">
        <f t="shared" si="7"/>
        <v>72.42</v>
      </c>
      <c r="N34" s="21">
        <v>0.3</v>
      </c>
      <c r="O34" s="30">
        <v>0.6</v>
      </c>
      <c r="P34" t="b">
        <f>M34=payscales!M34</f>
        <v>1</v>
      </c>
      <c r="Q34" s="40">
        <v>81652</v>
      </c>
      <c r="R34" s="16">
        <v>90118</v>
      </c>
      <c r="S34" s="16">
        <v>87593</v>
      </c>
      <c r="T34" s="16">
        <v>83850</v>
      </c>
      <c r="X34" s="28" t="s">
        <v>72</v>
      </c>
      <c r="Y34" s="71">
        <v>48</v>
      </c>
      <c r="Z34" s="6"/>
    </row>
    <row r="35" spans="1:26" x14ac:dyDescent="0.25">
      <c r="A35" s="25" t="s">
        <v>70</v>
      </c>
      <c r="B35" s="23" t="s">
        <v>75</v>
      </c>
      <c r="C35" s="77">
        <f>HLOOKUP($C$4,$Q$11:$T$41,25,FALSE)</f>
        <v>88682</v>
      </c>
      <c r="D35" s="77">
        <f t="shared" si="0"/>
        <v>0</v>
      </c>
      <c r="E35" s="77">
        <f t="shared" si="1"/>
        <v>88682</v>
      </c>
      <c r="F35" s="77">
        <f t="shared" si="2"/>
        <v>12552.3</v>
      </c>
      <c r="G35" s="78">
        <f t="shared" si="3"/>
        <v>443.41</v>
      </c>
      <c r="H35" s="77">
        <f t="shared" si="4"/>
        <v>21088.579600000001</v>
      </c>
      <c r="I35" s="76">
        <f t="shared" si="5"/>
        <v>122766.2896</v>
      </c>
      <c r="J35" s="85">
        <v>1560</v>
      </c>
      <c r="K35" s="84">
        <v>1</v>
      </c>
      <c r="L35" s="83">
        <f t="shared" si="6"/>
        <v>1560</v>
      </c>
      <c r="M35" s="97">
        <f t="shared" si="7"/>
        <v>78.7</v>
      </c>
      <c r="N35" s="21">
        <v>0.3</v>
      </c>
      <c r="O35" s="30">
        <v>0.6</v>
      </c>
      <c r="P35" t="b">
        <f>M35=payscales!M35</f>
        <v>1</v>
      </c>
      <c r="Q35" s="40">
        <v>88682</v>
      </c>
      <c r="R35" s="16">
        <v>97148</v>
      </c>
      <c r="S35" s="16">
        <v>94623</v>
      </c>
      <c r="T35" s="16">
        <v>90880</v>
      </c>
      <c r="X35" s="28" t="s">
        <v>74</v>
      </c>
      <c r="Y35" s="71">
        <v>2145.6</v>
      </c>
      <c r="Z35" s="6"/>
    </row>
    <row r="36" spans="1:26" x14ac:dyDescent="0.25">
      <c r="A36" s="25" t="s">
        <v>77</v>
      </c>
      <c r="B36" s="23" t="s">
        <v>78</v>
      </c>
      <c r="C36" s="77">
        <f>HLOOKUP($C$4,$Q$11:$T$41,26,FALSE)</f>
        <v>91342</v>
      </c>
      <c r="D36" s="77">
        <f t="shared" si="0"/>
        <v>0</v>
      </c>
      <c r="E36" s="77">
        <f t="shared" si="1"/>
        <v>91342</v>
      </c>
      <c r="F36" s="77">
        <f t="shared" si="2"/>
        <v>12951.3</v>
      </c>
      <c r="G36" s="78">
        <f t="shared" si="3"/>
        <v>456.71000000000004</v>
      </c>
      <c r="H36" s="77">
        <f t="shared" si="4"/>
        <v>21721.1276</v>
      </c>
      <c r="I36" s="76">
        <f t="shared" si="5"/>
        <v>126471.13760000002</v>
      </c>
      <c r="J36" s="85">
        <v>1560</v>
      </c>
      <c r="K36" s="84">
        <v>1</v>
      </c>
      <c r="L36" s="83">
        <f t="shared" si="6"/>
        <v>1560</v>
      </c>
      <c r="M36" s="97">
        <f t="shared" si="7"/>
        <v>81.069999999999993</v>
      </c>
      <c r="N36" s="21">
        <v>0.3</v>
      </c>
      <c r="O36" s="30">
        <v>0.6</v>
      </c>
      <c r="P36" t="b">
        <f>M36=payscales!M36</f>
        <v>1</v>
      </c>
      <c r="Q36" s="40">
        <v>91342</v>
      </c>
      <c r="R36" s="16">
        <v>99808</v>
      </c>
      <c r="S36" s="16">
        <v>97283</v>
      </c>
      <c r="T36" s="16">
        <v>93540</v>
      </c>
      <c r="X36" s="28" t="s">
        <v>76</v>
      </c>
      <c r="Y36" s="72">
        <v>0.6</v>
      </c>
      <c r="Z36" s="6"/>
    </row>
    <row r="37" spans="1:26" x14ac:dyDescent="0.25">
      <c r="A37" s="25" t="s">
        <v>77</v>
      </c>
      <c r="B37" s="23" t="s">
        <v>80</v>
      </c>
      <c r="C37" s="77">
        <f>HLOOKUP($C$4,$Q$11:$T$41,27,FALSE)</f>
        <v>96941</v>
      </c>
      <c r="D37" s="77">
        <f t="shared" si="0"/>
        <v>0</v>
      </c>
      <c r="E37" s="77">
        <f t="shared" si="1"/>
        <v>96941</v>
      </c>
      <c r="F37" s="77">
        <f t="shared" si="2"/>
        <v>13791.15</v>
      </c>
      <c r="G37" s="78">
        <f t="shared" si="3"/>
        <v>484.70499999999998</v>
      </c>
      <c r="H37" s="77">
        <f t="shared" si="4"/>
        <v>23052.569800000001</v>
      </c>
      <c r="I37" s="76">
        <f t="shared" si="5"/>
        <v>134269.42480000001</v>
      </c>
      <c r="J37" s="85">
        <v>1560</v>
      </c>
      <c r="K37" s="84">
        <v>1</v>
      </c>
      <c r="L37" s="83">
        <f t="shared" si="6"/>
        <v>1560</v>
      </c>
      <c r="M37" s="97">
        <f t="shared" si="7"/>
        <v>86.07</v>
      </c>
      <c r="N37" s="21">
        <v>0.3</v>
      </c>
      <c r="O37" s="30">
        <v>0.6</v>
      </c>
      <c r="P37" t="b">
        <f>M37=payscales!M37</f>
        <v>1</v>
      </c>
      <c r="Q37" s="40">
        <v>96941</v>
      </c>
      <c r="R37" s="16">
        <v>105407</v>
      </c>
      <c r="S37" s="16">
        <v>102882</v>
      </c>
      <c r="T37" s="16">
        <v>99139</v>
      </c>
      <c r="X37" s="28" t="s">
        <v>79</v>
      </c>
      <c r="Y37" s="101">
        <f>ROUND(Y36*Y35,0)</f>
        <v>1287</v>
      </c>
      <c r="Z37" s="6"/>
    </row>
    <row r="38" spans="1:26" x14ac:dyDescent="0.25">
      <c r="A38" s="25" t="s">
        <v>77</v>
      </c>
      <c r="B38" s="23" t="s">
        <v>81</v>
      </c>
      <c r="C38" s="77">
        <f>HLOOKUP($C$4,$Q$11:$T$41,28,FALSE)</f>
        <v>105337</v>
      </c>
      <c r="D38" s="77">
        <f t="shared" si="0"/>
        <v>0</v>
      </c>
      <c r="E38" s="77">
        <f t="shared" si="1"/>
        <v>105337</v>
      </c>
      <c r="F38" s="77">
        <f t="shared" si="2"/>
        <v>15050.55</v>
      </c>
      <c r="G38" s="78">
        <f t="shared" si="3"/>
        <v>526.68500000000006</v>
      </c>
      <c r="H38" s="77">
        <f t="shared" si="4"/>
        <v>25049.138600000002</v>
      </c>
      <c r="I38" s="76">
        <f t="shared" si="5"/>
        <v>145963.37359999999</v>
      </c>
      <c r="J38" s="85">
        <v>1560</v>
      </c>
      <c r="K38" s="84">
        <v>1</v>
      </c>
      <c r="L38" s="83">
        <f t="shared" si="6"/>
        <v>1560</v>
      </c>
      <c r="M38" s="97">
        <f t="shared" si="7"/>
        <v>93.57</v>
      </c>
      <c r="N38" s="21">
        <v>0.3</v>
      </c>
      <c r="O38" s="30">
        <v>0.6</v>
      </c>
      <c r="P38" t="b">
        <f>M38=payscales!M38</f>
        <v>1</v>
      </c>
      <c r="Q38" s="40">
        <v>105337</v>
      </c>
      <c r="R38" s="16">
        <v>113803</v>
      </c>
      <c r="S38" s="16">
        <v>111278</v>
      </c>
      <c r="T38" s="16">
        <v>107535</v>
      </c>
      <c r="X38" s="8"/>
      <c r="Y38" s="9"/>
      <c r="Z38" s="10"/>
    </row>
    <row r="39" spans="1:26" x14ac:dyDescent="0.25">
      <c r="A39" s="25">
        <v>9</v>
      </c>
      <c r="B39" s="23" t="s">
        <v>82</v>
      </c>
      <c r="C39" s="77">
        <f>HLOOKUP($C$4,$Q$11:$T$41,29,FALSE)</f>
        <v>109179</v>
      </c>
      <c r="D39" s="77">
        <f t="shared" si="0"/>
        <v>0</v>
      </c>
      <c r="E39" s="77">
        <f t="shared" si="1"/>
        <v>109179</v>
      </c>
      <c r="F39" s="77">
        <f t="shared" si="2"/>
        <v>15626.849999999999</v>
      </c>
      <c r="G39" s="78">
        <f t="shared" si="3"/>
        <v>545.89499999999998</v>
      </c>
      <c r="H39" s="77">
        <f t="shared" si="4"/>
        <v>25962.766200000002</v>
      </c>
      <c r="I39" s="76">
        <f t="shared" si="5"/>
        <v>151314.51120000001</v>
      </c>
      <c r="J39" s="85">
        <v>1560</v>
      </c>
      <c r="K39" s="84">
        <v>1</v>
      </c>
      <c r="L39" s="83">
        <f t="shared" si="6"/>
        <v>1560</v>
      </c>
      <c r="M39" s="97">
        <f t="shared" si="7"/>
        <v>97</v>
      </c>
      <c r="N39" s="21">
        <v>0.3</v>
      </c>
      <c r="O39" s="30">
        <v>0.6</v>
      </c>
      <c r="P39" t="b">
        <f>M39=payscales!M39</f>
        <v>1</v>
      </c>
      <c r="Q39" s="40">
        <v>109179</v>
      </c>
      <c r="R39" s="16">
        <v>117645</v>
      </c>
      <c r="S39" s="16">
        <v>115120</v>
      </c>
      <c r="T39" s="16">
        <v>111377</v>
      </c>
    </row>
    <row r="40" spans="1:26" x14ac:dyDescent="0.25">
      <c r="A40" s="25">
        <v>9</v>
      </c>
      <c r="B40" s="23" t="s">
        <v>83</v>
      </c>
      <c r="C40" s="77">
        <f>HLOOKUP($C$4,$Q$11:$T$41,30,FALSE)</f>
        <v>115763</v>
      </c>
      <c r="D40" s="77">
        <f t="shared" si="0"/>
        <v>0</v>
      </c>
      <c r="E40" s="77">
        <f t="shared" si="1"/>
        <v>115763</v>
      </c>
      <c r="F40" s="77">
        <f t="shared" si="2"/>
        <v>16614.45</v>
      </c>
      <c r="G40" s="78">
        <f t="shared" si="3"/>
        <v>578.81500000000005</v>
      </c>
      <c r="H40" s="77">
        <f t="shared" si="4"/>
        <v>27528.4414</v>
      </c>
      <c r="I40" s="76">
        <f t="shared" si="5"/>
        <v>160484.70640000002</v>
      </c>
      <c r="J40" s="85">
        <v>1560</v>
      </c>
      <c r="K40" s="84">
        <v>1</v>
      </c>
      <c r="L40" s="83">
        <f t="shared" si="6"/>
        <v>1560</v>
      </c>
      <c r="M40" s="97">
        <f t="shared" si="7"/>
        <v>102.87</v>
      </c>
      <c r="N40" s="21">
        <v>0.3</v>
      </c>
      <c r="O40" s="30">
        <v>0.6</v>
      </c>
      <c r="P40" t="b">
        <f>M40=payscales!M40</f>
        <v>1</v>
      </c>
      <c r="Q40" s="40">
        <v>115763</v>
      </c>
      <c r="R40" s="16">
        <v>124229</v>
      </c>
      <c r="S40" s="16">
        <v>121704</v>
      </c>
      <c r="T40" s="16">
        <v>117961</v>
      </c>
    </row>
    <row r="41" spans="1:26" x14ac:dyDescent="0.25">
      <c r="A41" s="25">
        <v>9</v>
      </c>
      <c r="B41" s="23" t="s">
        <v>84</v>
      </c>
      <c r="C41" s="77">
        <f>HLOOKUP($C$4,$Q$11:$T$41,31,FALSE)</f>
        <v>125637</v>
      </c>
      <c r="D41" s="77">
        <f t="shared" si="0"/>
        <v>0</v>
      </c>
      <c r="E41" s="77">
        <f t="shared" si="1"/>
        <v>125637</v>
      </c>
      <c r="F41" s="77">
        <f t="shared" si="2"/>
        <v>18095.55</v>
      </c>
      <c r="G41" s="78">
        <f t="shared" si="3"/>
        <v>628.18500000000006</v>
      </c>
      <c r="H41" s="77">
        <f t="shared" si="4"/>
        <v>29876.478600000002</v>
      </c>
      <c r="I41" s="76">
        <f t="shared" si="5"/>
        <v>174237.21359999999</v>
      </c>
      <c r="J41" s="85">
        <v>1560</v>
      </c>
      <c r="K41" s="84">
        <v>1</v>
      </c>
      <c r="L41" s="83">
        <f t="shared" si="6"/>
        <v>1560</v>
      </c>
      <c r="M41" s="97">
        <f t="shared" si="7"/>
        <v>111.69</v>
      </c>
      <c r="N41" s="21">
        <v>0.3</v>
      </c>
      <c r="O41" s="30">
        <v>0.6</v>
      </c>
      <c r="P41" t="b">
        <f>M41=payscales!M41</f>
        <v>1</v>
      </c>
      <c r="Q41" s="40">
        <v>125637</v>
      </c>
      <c r="R41" s="16">
        <v>134103</v>
      </c>
      <c r="S41" s="16">
        <v>131578</v>
      </c>
      <c r="T41" s="16">
        <v>127835</v>
      </c>
    </row>
    <row r="42" spans="1:26" x14ac:dyDescent="0.25">
      <c r="A42" s="25" t="s">
        <v>67</v>
      </c>
      <c r="B42" s="2" t="s">
        <v>85</v>
      </c>
      <c r="C42" s="77">
        <v>76037.52</v>
      </c>
      <c r="D42" s="77">
        <f t="shared" si="0"/>
        <v>0</v>
      </c>
      <c r="E42" s="77">
        <f t="shared" si="1"/>
        <v>76037.52</v>
      </c>
      <c r="F42" s="77">
        <f t="shared" si="2"/>
        <v>10655.628000000001</v>
      </c>
      <c r="G42" s="78">
        <f t="shared" si="3"/>
        <v>380.18760000000003</v>
      </c>
      <c r="H42" s="77">
        <f>C42*0.2068</f>
        <v>15724.559136000002</v>
      </c>
      <c r="I42" s="76">
        <f t="shared" si="5"/>
        <v>102797.894736</v>
      </c>
      <c r="J42" s="85">
        <f>Y35</f>
        <v>2145.6</v>
      </c>
      <c r="K42" s="84">
        <v>0.6</v>
      </c>
      <c r="L42" s="83">
        <f t="shared" si="6"/>
        <v>1287.3599999999999</v>
      </c>
      <c r="M42" s="97">
        <f>I42/J42</f>
        <v>47.911024765100677</v>
      </c>
      <c r="N42" s="22">
        <v>0</v>
      </c>
      <c r="O42" s="31">
        <v>0</v>
      </c>
      <c r="P42" t="b">
        <f>M42=payscales!M42</f>
        <v>1</v>
      </c>
    </row>
    <row r="43" spans="1:26" x14ac:dyDescent="0.25">
      <c r="A43" s="25" t="s">
        <v>67</v>
      </c>
      <c r="B43" s="2" t="s">
        <v>86</v>
      </c>
      <c r="C43" s="77">
        <v>95390.36</v>
      </c>
      <c r="D43" s="77">
        <f t="shared" si="0"/>
        <v>0</v>
      </c>
      <c r="E43" s="77">
        <f t="shared" si="1"/>
        <v>95390.36</v>
      </c>
      <c r="F43" s="77">
        <f t="shared" si="2"/>
        <v>13558.554</v>
      </c>
      <c r="G43" s="78">
        <f t="shared" si="3"/>
        <v>476.95179999999999</v>
      </c>
      <c r="H43" s="77">
        <f>C43*0.2068</f>
        <v>19726.726448000001</v>
      </c>
      <c r="I43" s="76">
        <f t="shared" si="5"/>
        <v>129152.592248</v>
      </c>
      <c r="J43" s="85">
        <f>Y35</f>
        <v>2145.6</v>
      </c>
      <c r="K43" s="84">
        <v>0.6</v>
      </c>
      <c r="L43" s="83">
        <f t="shared" si="6"/>
        <v>1287.3599999999999</v>
      </c>
      <c r="M43" s="97">
        <f t="shared" ref="M43:M44" si="8">I43/J43</f>
        <v>60.194161189410892</v>
      </c>
      <c r="N43" s="22">
        <v>0</v>
      </c>
      <c r="O43" s="31">
        <v>0</v>
      </c>
      <c r="P43" t="b">
        <f>M43=payscales!M43</f>
        <v>1</v>
      </c>
    </row>
    <row r="44" spans="1:26" x14ac:dyDescent="0.25">
      <c r="A44" s="55" t="s">
        <v>67</v>
      </c>
      <c r="B44" s="56" t="s">
        <v>107</v>
      </c>
      <c r="C44" s="77">
        <v>114743.2</v>
      </c>
      <c r="D44" s="79">
        <f t="shared" si="0"/>
        <v>0</v>
      </c>
      <c r="E44" s="77">
        <f t="shared" si="1"/>
        <v>114743.2</v>
      </c>
      <c r="F44" s="77">
        <f t="shared" si="2"/>
        <v>16461.48</v>
      </c>
      <c r="G44" s="78">
        <f t="shared" si="3"/>
        <v>573.71600000000001</v>
      </c>
      <c r="H44" s="79">
        <f>C44*0.2068</f>
        <v>23728.893759999999</v>
      </c>
      <c r="I44" s="76">
        <f t="shared" si="5"/>
        <v>155507.28975999999</v>
      </c>
      <c r="J44" s="85">
        <f>Y35</f>
        <v>2145.6</v>
      </c>
      <c r="K44" s="84">
        <v>0.6</v>
      </c>
      <c r="L44" s="83">
        <f t="shared" si="6"/>
        <v>1287.3599999999999</v>
      </c>
      <c r="M44" s="97">
        <f t="shared" si="8"/>
        <v>72.477297613721106</v>
      </c>
      <c r="N44" s="22">
        <v>0</v>
      </c>
      <c r="O44" s="31">
        <v>0</v>
      </c>
      <c r="P44" t="b">
        <f>M44=payscales!M44</f>
        <v>1</v>
      </c>
    </row>
    <row r="45" spans="1:26" x14ac:dyDescent="0.25">
      <c r="A45" s="25" t="s">
        <v>54</v>
      </c>
      <c r="B45" s="2" t="s">
        <v>87</v>
      </c>
      <c r="C45" s="77">
        <v>109724.16</v>
      </c>
      <c r="D45" s="77">
        <f t="shared" si="0"/>
        <v>0</v>
      </c>
      <c r="E45" s="77">
        <f t="shared" si="1"/>
        <v>109724.16</v>
      </c>
      <c r="F45" s="77">
        <f t="shared" si="2"/>
        <v>15708.624</v>
      </c>
      <c r="G45" s="78">
        <f t="shared" si="3"/>
        <v>548.62080000000003</v>
      </c>
      <c r="H45" s="77">
        <f t="shared" si="4"/>
        <v>26092.405248000003</v>
      </c>
      <c r="I45" s="76">
        <f t="shared" si="5"/>
        <v>152073.81004800001</v>
      </c>
      <c r="J45" s="85">
        <f>Y24*40</f>
        <v>1720</v>
      </c>
      <c r="K45" s="84">
        <f>Y28/Y26</f>
        <v>0.8</v>
      </c>
      <c r="L45" s="83">
        <f t="shared" si="6"/>
        <v>1376</v>
      </c>
      <c r="M45" s="97">
        <f t="shared" ref="M45:M47" si="9">I45/L45</f>
        <v>110.5187573023256</v>
      </c>
      <c r="N45" s="22">
        <v>0</v>
      </c>
      <c r="O45" s="31">
        <v>0</v>
      </c>
      <c r="P45" t="b">
        <f>M45=payscales!M45</f>
        <v>1</v>
      </c>
    </row>
    <row r="46" spans="1:26" x14ac:dyDescent="0.25">
      <c r="A46" s="25" t="s">
        <v>54</v>
      </c>
      <c r="B46" s="2" t="s">
        <v>8</v>
      </c>
      <c r="C46" s="77">
        <v>126431.136</v>
      </c>
      <c r="D46" s="77">
        <f t="shared" si="0"/>
        <v>0</v>
      </c>
      <c r="E46" s="77">
        <f t="shared" si="1"/>
        <v>126431.136</v>
      </c>
      <c r="F46" s="77">
        <f t="shared" si="2"/>
        <v>18214.670399999999</v>
      </c>
      <c r="G46" s="78">
        <f t="shared" si="3"/>
        <v>632.15567999999996</v>
      </c>
      <c r="H46" s="77">
        <f t="shared" si="4"/>
        <v>30065.324140799999</v>
      </c>
      <c r="I46" s="76">
        <f t="shared" si="5"/>
        <v>175343.28622079999</v>
      </c>
      <c r="J46" s="85">
        <f>J45</f>
        <v>1720</v>
      </c>
      <c r="K46" s="84">
        <f>K45</f>
        <v>0.8</v>
      </c>
      <c r="L46" s="83">
        <f t="shared" si="6"/>
        <v>1376</v>
      </c>
      <c r="M46" s="97">
        <f t="shared" si="9"/>
        <v>127.42971382325581</v>
      </c>
      <c r="N46" s="22">
        <v>0</v>
      </c>
      <c r="O46" s="31">
        <v>0</v>
      </c>
      <c r="P46" t="b">
        <f>M46=payscales!M46</f>
        <v>1</v>
      </c>
    </row>
    <row r="47" spans="1:26" ht="15.75" thickBot="1" x14ac:dyDescent="0.3">
      <c r="A47" s="26" t="s">
        <v>54</v>
      </c>
      <c r="B47" s="24" t="s">
        <v>88</v>
      </c>
      <c r="C47" s="80">
        <v>145477.28</v>
      </c>
      <c r="D47" s="80">
        <f t="shared" si="0"/>
        <v>0</v>
      </c>
      <c r="E47" s="80">
        <f t="shared" si="1"/>
        <v>145477.28</v>
      </c>
      <c r="F47" s="80">
        <f t="shared" si="2"/>
        <v>21071.592000000001</v>
      </c>
      <c r="G47" s="81">
        <f t="shared" si="3"/>
        <v>727.38639999999998</v>
      </c>
      <c r="H47" s="80">
        <f t="shared" si="4"/>
        <v>34594.497184</v>
      </c>
      <c r="I47" s="82">
        <f t="shared" si="5"/>
        <v>201870.755584</v>
      </c>
      <c r="J47" s="86">
        <f>J45</f>
        <v>1720</v>
      </c>
      <c r="K47" s="87">
        <f>K45</f>
        <v>0.8</v>
      </c>
      <c r="L47" s="86">
        <f t="shared" si="6"/>
        <v>1376</v>
      </c>
      <c r="M47" s="98">
        <f t="shared" si="9"/>
        <v>146.70839795348837</v>
      </c>
      <c r="N47" s="32">
        <v>0</v>
      </c>
      <c r="O47" s="33">
        <v>0</v>
      </c>
      <c r="P47" t="b">
        <f>M47=payscales!M47</f>
        <v>1</v>
      </c>
    </row>
    <row r="96" ht="23.45" customHeight="1" x14ac:dyDescent="0.25"/>
    <row r="97" ht="55.7" customHeight="1" x14ac:dyDescent="0.25"/>
    <row r="98" ht="23.45" customHeight="1" x14ac:dyDescent="0.25"/>
    <row r="99" ht="23.45" customHeight="1" x14ac:dyDescent="0.25"/>
    <row r="100" ht="23.45" customHeight="1" x14ac:dyDescent="0.25"/>
    <row r="101" ht="23.45" customHeight="1" x14ac:dyDescent="0.25"/>
    <row r="102" ht="23.45" customHeight="1" x14ac:dyDescent="0.25"/>
  </sheetData>
  <sheetProtection algorithmName="SHA-512" hashValue="lKvxdiLvAsl2m8gF6zJSWR1UgYqCRgR/OrjajzaZodilAw8oKOGF1N/5VBpBh5HnyYiglGDxsa/23YxZL0NddQ==" saltValue="69lQQWaj6vBGa6O+leYPAg==" spinCount="100000" sheet="1" objects="1" scenarios="1"/>
  <dataValidations disablePrompts="1" count="1">
    <dataValidation type="list" allowBlank="1" showInputMessage="1" showErrorMessage="1" sqref="C4" xr:uid="{B585ADDA-FAE0-4592-A7BE-9C6116A86697}">
      <formula1>$U$14:$U$17</formula1>
    </dataValidation>
  </dataValidations>
  <pageMargins left="0.7" right="0.7" top="0.75" bottom="0.75" header="0.3" footer="0.3"/>
  <pageSetup paperSize="9" scale="45" fitToHeight="0" orientation="landscape"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geb11f8ce9d940728585fae6d5409a45 xmlns="acaf4567-dc07-471f-892c-2bcb86ef35ae">
      <Terms xmlns="http://schemas.microsoft.com/office/infopath/2007/PartnerControls"/>
    </geb11f8ce9d940728585fae6d5409a45>
    <lcf76f155ced4ddcb4097134ff3c332f xmlns="acaf4567-dc07-471f-892c-2bcb86ef35ae">
      <Terms xmlns="http://schemas.microsoft.com/office/infopath/2007/PartnerControls"/>
    </lcf76f155ced4ddcb4097134ff3c332f>
    <TaxCatchAll xmlns="0eb656aa-4e79-4e95-9076-bc119a23e0cc" xsi:nil="true"/>
    <SharedWithUsers xmlns="c1f338ac-e338-414f-952c-f74dcc6d59e1">
      <UserInfo>
        <DisplayName/>
        <AccountId xsi:nil="true"/>
        <AccountType/>
      </UserInfo>
    </SharedWithUser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B99456BF0FC3654992BB01F701E3BF13" ma:contentTypeVersion="16" ma:contentTypeDescription="Create a new document." ma:contentTypeScope="" ma:versionID="9c122098d4e003b4384c4da8d0c27443">
  <xsd:schema xmlns:xsd="http://www.w3.org/2001/XMLSchema" xmlns:xs="http://www.w3.org/2001/XMLSchema" xmlns:p="http://schemas.microsoft.com/office/2006/metadata/properties" xmlns:ns2="acaf4567-dc07-471f-892c-2bcb86ef35ae" xmlns:ns3="c1f338ac-e338-414f-952c-f74dcc6d59e1" xmlns:ns4="0eb656aa-4e79-4e95-9076-bc119a23e0cc" targetNamespace="http://schemas.microsoft.com/office/2006/metadata/properties" ma:root="true" ma:fieldsID="d886e9f0196ab673da6bef6c2dfa2844" ns2:_="" ns3:_="" ns4:_="">
    <xsd:import namespace="acaf4567-dc07-471f-892c-2bcb86ef35ae"/>
    <xsd:import namespace="c1f338ac-e338-414f-952c-f74dcc6d59e1"/>
    <xsd:import namespace="0eb656aa-4e79-4e95-9076-bc119a23e0cc"/>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3:SharedWithUsers" minOccurs="0"/>
                <xsd:element ref="ns3:SharedWithDetails" minOccurs="0"/>
                <xsd:element ref="ns2:geb11f8ce9d940728585fae6d5409a45" minOccurs="0"/>
                <xsd:element ref="ns4:TaxCatchAll" minOccurs="0"/>
                <xsd:element ref="ns2:MediaServiceSearchProperties" minOccurs="0"/>
                <xsd:element ref="ns2:lcf76f155ced4ddcb4097134ff3c332f"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af4567-dc07-471f-892c-2bcb86ef35a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geb11f8ce9d940728585fae6d5409a45" ma:index="18" nillable="true" ma:taxonomy="true" ma:internalName="geb11f8ce9d940728585fae6d5409a45" ma:taxonomyFieldName="Display_x0020_Status" ma:displayName="Display Status" ma:default="" ma:fieldId="{0eb11f8c-e9d9-4072-8585-fae6d5409a45}" ma:taxonomyMulti="true" ma:sspId="9abb4586-6e39-4769-a9e9-e64cee0e77fc" ma:termSetId="a3edbbf6-09fc-44dd-a9a2-ad1f41badab5" ma:anchorId="00000000-0000-0000-0000-000000000000" ma:open="false" ma:isKeyword="false">
      <xsd:complexType>
        <xsd:sequence>
          <xsd:element ref="pc:Terms" minOccurs="0" maxOccurs="1"/>
        </xsd:sequence>
      </xsd:complexType>
    </xsd:element>
    <xsd:element name="MediaServiceSearchProperties" ma:index="20" nillable="true" ma:displayName="MediaServiceSearchProperties" ma:hidden="true" ma:internalName="MediaServiceSearchProperties" ma:readOnly="true">
      <xsd:simpleType>
        <xsd:restriction base="dms:Note"/>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9abb4586-6e39-4769-a9e9-e64cee0e77fc" ma:termSetId="09814cd3-568e-fe90-9814-8d621ff8fb84" ma:anchorId="fba54fb3-c3e1-fe81-a776-ca4b69148c4d" ma:open="true" ma:isKeyword="false">
      <xsd:complexType>
        <xsd:sequence>
          <xsd:element ref="pc:Terms" minOccurs="0" maxOccurs="1"/>
        </xsd:sequence>
      </xsd:complexType>
    </xsd:element>
    <xsd:element name="MediaServiceOCR" ma:index="23"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1f338ac-e338-414f-952c-f74dcc6d59e1"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eb656aa-4e79-4e95-9076-bc119a23e0cc"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2ee1930f-003b-4c79-bb18-414e791589f1}" ma:internalName="TaxCatchAll" ma:showField="CatchAllData" ma:web="c1f338ac-e338-414f-952c-f74dcc6d59e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DADA5D9-BC78-4250-9967-01EC1AF2A358}">
  <ds:schemaRefs>
    <ds:schemaRef ds:uri="http://purl.org/dc/terms/"/>
    <ds:schemaRef ds:uri="http://schemas.microsoft.com/office/2006/documentManagement/types"/>
    <ds:schemaRef ds:uri="http://purl.org/dc/dcmitype/"/>
    <ds:schemaRef ds:uri="c1f338ac-e338-414f-952c-f74dcc6d59e1"/>
    <ds:schemaRef ds:uri="http://www.w3.org/XML/1998/namespace"/>
    <ds:schemaRef ds:uri="http://purl.org/dc/elements/1.1/"/>
    <ds:schemaRef ds:uri="http://schemas.microsoft.com/office/infopath/2007/PartnerControls"/>
    <ds:schemaRef ds:uri="acaf4567-dc07-471f-892c-2bcb86ef35ae"/>
    <ds:schemaRef ds:uri="http://schemas.openxmlformats.org/package/2006/metadata/core-properties"/>
    <ds:schemaRef ds:uri="0eb656aa-4e79-4e95-9076-bc119a23e0cc"/>
    <ds:schemaRef ds:uri="http://schemas.microsoft.com/office/2006/metadata/properties"/>
  </ds:schemaRefs>
</ds:datastoreItem>
</file>

<file path=customXml/itemProps2.xml><?xml version="1.0" encoding="utf-8"?>
<ds:datastoreItem xmlns:ds="http://schemas.openxmlformats.org/officeDocument/2006/customXml" ds:itemID="{D9B721DA-F7E0-4A61-B5E4-7440625E5D3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caf4567-dc07-471f-892c-2bcb86ef35ae"/>
    <ds:schemaRef ds:uri="c1f338ac-e338-414f-952c-f74dcc6d59e1"/>
    <ds:schemaRef ds:uri="0eb656aa-4e79-4e95-9076-bc119a23e0c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C193ED0-4AF1-4F11-8FB7-FE23BB2013F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5</vt:i4>
      </vt:variant>
    </vt:vector>
  </HeadingPairs>
  <TitlesOfParts>
    <vt:vector size="9" baseType="lpstr">
      <vt:lpstr>Cover</vt:lpstr>
      <vt:lpstr>User guide</vt:lpstr>
      <vt:lpstr>Input and decisions</vt:lpstr>
      <vt:lpstr>payscales</vt:lpstr>
      <vt:lpstr>Bands</vt:lpstr>
      <vt:lpstr>Cover!Print_Area</vt:lpstr>
      <vt:lpstr>'Input and decisions'!Print_Area</vt:lpstr>
      <vt:lpstr>'User guide'!Print_Area</vt:lpstr>
      <vt:lpstr>Type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HTG758 Compression products for treating venous leg ulcers: late stage assessment: Cost calculator 27/08/2025</dc:title>
  <dc:subject/>
  <dc:creator>Bing Luan-Gallagher</dc:creator>
  <cp:keywords/>
  <dc:description/>
  <cp:lastModifiedBy>Asma Khalik</cp:lastModifiedBy>
  <cp:revision>1</cp:revision>
  <dcterms:created xsi:type="dcterms:W3CDTF">2025-07-10T15:27:42Z</dcterms:created>
  <dcterms:modified xsi:type="dcterms:W3CDTF">2025-12-16T16:19:05Z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female" linkTarget="prop_female">
    <vt:r8>0</vt:r8>
  </property>
  <property fmtid="{D5CDD505-2E9C-101B-9397-08002B2CF9AE}" pid="3" name="male" linkTarget="prop_male">
    <vt:r8>0</vt:r8>
  </property>
  <property fmtid="{D5CDD505-2E9C-101B-9397-08002B2CF9AE}" pid="4" name="ContentTypeId">
    <vt:lpwstr>0x010100B99456BF0FC3654992BB01F701E3BF13</vt:lpwstr>
  </property>
  <property fmtid="{D5CDD505-2E9C-101B-9397-08002B2CF9AE}" pid="5" name="Display_x0020_Status">
    <vt:lpwstr/>
  </property>
  <property fmtid="{D5CDD505-2E9C-101B-9397-08002B2CF9AE}" pid="6" name="MediaServiceImageTags">
    <vt:lpwstr/>
  </property>
  <property fmtid="{D5CDD505-2E9C-101B-9397-08002B2CF9AE}" pid="7" name="Display Status">
    <vt:lpwstr/>
  </property>
  <property fmtid="{D5CDD505-2E9C-101B-9397-08002B2CF9AE}" pid="8" name="MSIP_Label_c69d85d5-6d9e-4305-a294-1f636ec0f2d6_Enabled">
    <vt:lpwstr>true</vt:lpwstr>
  </property>
  <property fmtid="{D5CDD505-2E9C-101B-9397-08002B2CF9AE}" pid="9" name="MSIP_Label_c69d85d5-6d9e-4305-a294-1f636ec0f2d6_SetDate">
    <vt:lpwstr>2025-07-14T08:13:26Z</vt:lpwstr>
  </property>
  <property fmtid="{D5CDD505-2E9C-101B-9397-08002B2CF9AE}" pid="10" name="MSIP_Label_c69d85d5-6d9e-4305-a294-1f636ec0f2d6_Method">
    <vt:lpwstr>Standard</vt:lpwstr>
  </property>
  <property fmtid="{D5CDD505-2E9C-101B-9397-08002B2CF9AE}" pid="11" name="MSIP_Label_c69d85d5-6d9e-4305-a294-1f636ec0f2d6_Name">
    <vt:lpwstr>OFFICIAL</vt:lpwstr>
  </property>
  <property fmtid="{D5CDD505-2E9C-101B-9397-08002B2CF9AE}" pid="12" name="MSIP_Label_c69d85d5-6d9e-4305-a294-1f636ec0f2d6_SiteId">
    <vt:lpwstr>6030f479-b342-472d-a5dd-740ff7538de9</vt:lpwstr>
  </property>
  <property fmtid="{D5CDD505-2E9C-101B-9397-08002B2CF9AE}" pid="13" name="MSIP_Label_c69d85d5-6d9e-4305-a294-1f636ec0f2d6_ActionId">
    <vt:lpwstr>d532cfd6-836e-462d-99d7-3f6f680743f6</vt:lpwstr>
  </property>
  <property fmtid="{D5CDD505-2E9C-101B-9397-08002B2CF9AE}" pid="14" name="MSIP_Label_c69d85d5-6d9e-4305-a294-1f636ec0f2d6_ContentBits">
    <vt:lpwstr>0</vt:lpwstr>
  </property>
  <property fmtid="{D5CDD505-2E9C-101B-9397-08002B2CF9AE}" pid="15" name="MSIP_Label_c69d85d5-6d9e-4305-a294-1f636ec0f2d6_Tag">
    <vt:lpwstr>10, 3, 0, 1</vt:lpwstr>
  </property>
</Properties>
</file>