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J:\Publishing\PUBLISHED VERSIONS\Final production artwork\NICE guidelines (NG)\NG23 (CG) Menopause\20241107 - Update\Evidence\Supplements\Excel\"/>
    </mc:Choice>
  </mc:AlternateContent>
  <xr:revisionPtr revIDLastSave="0" documentId="13_ncr:1_{DECDA320-9951-4713-9EF0-C17A2D75DAD9}" xr6:coauthVersionLast="47" xr6:coauthVersionMax="47" xr10:uidLastSave="{00000000-0000-0000-0000-000000000000}"/>
  <bookViews>
    <workbookView xWindow="-120" yWindow="-120" windowWidth="24240" windowHeight="13140" xr2:uid="{00000000-000D-0000-FFFF-FFFF00000000}"/>
  </bookViews>
  <sheets>
    <sheet name="Cover sheet" sheetId="23" r:id="rId1"/>
    <sheet name="Fracture" sheetId="22" r:id="rId2"/>
    <sheet name="Breast cancer oestrogen-only" sheetId="5" r:id="rId3"/>
    <sheet name="Breast cancer combined HRT" sheetId="2" r:id="rId4"/>
    <sheet name="Endometrial cancer" sheetId="16" r:id="rId5"/>
    <sheet name="Ovarian cancer" sheetId="17" r:id="rId6"/>
    <sheet name="CHD " sheetId="14" r:id="rId7"/>
    <sheet name="Stroke" sheetId="19" r:id="rId8"/>
    <sheet name="Dementia" sheetId="21" r:id="rId9"/>
    <sheet name="Early menopause and breast canc" sheetId="7" r:id="rId10"/>
    <sheet name="Early menopause full calculatio"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2" l="1"/>
  <c r="E44" i="22" s="1"/>
  <c r="D41" i="22"/>
  <c r="D44" i="22" s="1"/>
  <c r="C41" i="22"/>
  <c r="C44" i="22" s="1"/>
  <c r="B41" i="22"/>
  <c r="B44" i="22" s="1"/>
  <c r="F38" i="22"/>
  <c r="F35" i="22"/>
  <c r="C31" i="22"/>
  <c r="D29" i="22"/>
  <c r="E29" i="22" s="1"/>
  <c r="F29" i="22" s="1"/>
  <c r="D28" i="22"/>
  <c r="E28" i="22" s="1"/>
  <c r="F28" i="22" s="1"/>
  <c r="D27" i="22"/>
  <c r="E27" i="22" s="1"/>
  <c r="F27" i="22" s="1"/>
  <c r="D26" i="22"/>
  <c r="E26" i="22" s="1"/>
  <c r="F26" i="22" s="1"/>
  <c r="F41" i="22" l="1"/>
  <c r="F42" i="22" s="1"/>
  <c r="E42" i="22"/>
  <c r="E45" i="22" s="1"/>
  <c r="D42" i="22"/>
  <c r="D45" i="22" s="1"/>
  <c r="F44" i="22"/>
  <c r="D31" i="22"/>
  <c r="E31" i="22" s="1"/>
  <c r="F31" i="22" s="1"/>
  <c r="B42" i="22"/>
  <c r="B45" i="22" s="1"/>
  <c r="C42" i="22"/>
  <c r="C45" i="22" s="1"/>
  <c r="B15" i="22" s="1"/>
  <c r="F45" i="22" l="1"/>
  <c r="B14" i="22"/>
  <c r="B7" i="22"/>
  <c r="H15" i="22"/>
  <c r="G15" i="22"/>
  <c r="D15" i="22"/>
  <c r="H7" i="22" l="1"/>
  <c r="G7" i="22"/>
  <c r="D7" i="22"/>
  <c r="H14" i="22"/>
  <c r="D14" i="22"/>
  <c r="G14" i="22"/>
  <c r="D8" i="21" l="1"/>
  <c r="D16" i="21"/>
  <c r="B17" i="19"/>
  <c r="B12" i="14"/>
  <c r="B12" i="5"/>
  <c r="D12" i="19"/>
  <c r="D11" i="19"/>
  <c r="D10" i="19"/>
  <c r="D9" i="19"/>
  <c r="D8" i="19"/>
  <c r="D7" i="19"/>
  <c r="C38" i="19"/>
  <c r="C41" i="19" s="1"/>
  <c r="B38" i="19"/>
  <c r="B41" i="19" s="1"/>
  <c r="D35" i="19"/>
  <c r="C33" i="19"/>
  <c r="C34" i="19" s="1"/>
  <c r="B33" i="19"/>
  <c r="B34" i="19" s="1"/>
  <c r="D32" i="19"/>
  <c r="D31" i="19"/>
  <c r="D28" i="19"/>
  <c r="C28" i="19"/>
  <c r="E25" i="19"/>
  <c r="F25" i="19" s="1"/>
  <c r="E24" i="19"/>
  <c r="F24" i="19" s="1"/>
  <c r="E23" i="19"/>
  <c r="F23" i="19" s="1"/>
  <c r="D31" i="14"/>
  <c r="D28" i="14"/>
  <c r="D24" i="14"/>
  <c r="D27" i="14"/>
  <c r="C24" i="14"/>
  <c r="C34" i="14"/>
  <c r="C35" i="14" s="1"/>
  <c r="C29" i="14"/>
  <c r="C30" i="14" s="1"/>
  <c r="B29" i="14"/>
  <c r="B30" i="14" s="1"/>
  <c r="E19" i="14"/>
  <c r="B34" i="14"/>
  <c r="B37" i="14" s="1"/>
  <c r="C31" i="17"/>
  <c r="C34" i="17" s="1"/>
  <c r="B31" i="17"/>
  <c r="B34" i="17" s="1"/>
  <c r="D28" i="17"/>
  <c r="D27" i="17"/>
  <c r="D26" i="17"/>
  <c r="B19" i="17"/>
  <c r="B22" i="17" s="1"/>
  <c r="D19" i="16"/>
  <c r="D18" i="16"/>
  <c r="D17" i="16"/>
  <c r="C22" i="16"/>
  <c r="C25" i="16" s="1"/>
  <c r="B22" i="16"/>
  <c r="B25" i="16" s="1"/>
  <c r="E28" i="19" l="1"/>
  <c r="F28" i="19" s="1"/>
  <c r="D29" i="14"/>
  <c r="D30" i="14" s="1"/>
  <c r="D34" i="14"/>
  <c r="D35" i="14" s="1"/>
  <c r="D38" i="19"/>
  <c r="D41" i="19" s="1"/>
  <c r="D33" i="19"/>
  <c r="D34" i="19" s="1"/>
  <c r="B39" i="19"/>
  <c r="C39" i="19"/>
  <c r="E24" i="14"/>
  <c r="C37" i="14"/>
  <c r="B35" i="14"/>
  <c r="D31" i="17"/>
  <c r="D32" i="17" s="1"/>
  <c r="B32" i="17"/>
  <c r="B35" i="17" s="1"/>
  <c r="C32" i="17"/>
  <c r="C35" i="17" s="1"/>
  <c r="B20" i="17"/>
  <c r="B23" i="17" s="1"/>
  <c r="D22" i="16"/>
  <c r="D23" i="16" s="1"/>
  <c r="B23" i="16"/>
  <c r="B26" i="16" s="1"/>
  <c r="C23" i="16"/>
  <c r="C26" i="16" s="1"/>
  <c r="B34" i="5"/>
  <c r="B35" i="5" s="1"/>
  <c r="C34" i="5"/>
  <c r="C37" i="5" s="1"/>
  <c r="D34" i="5"/>
  <c r="D35" i="5" s="1"/>
  <c r="E34" i="5"/>
  <c r="E37" i="5" s="1"/>
  <c r="D8" i="17"/>
  <c r="D7" i="17"/>
  <c r="D37" i="14" l="1"/>
  <c r="C35" i="5"/>
  <c r="C38" i="5" s="1"/>
  <c r="D39" i="19"/>
  <c r="D42" i="19" s="1"/>
  <c r="D34" i="17"/>
  <c r="D35" i="17" s="1"/>
  <c r="D25" i="16"/>
  <c r="D26" i="16" s="1"/>
  <c r="D37" i="5"/>
  <c r="E35" i="5"/>
  <c r="E38" i="5" s="1"/>
  <c r="D38" i="5"/>
  <c r="B37" i="5"/>
  <c r="B38" i="5" s="1"/>
  <c r="D8" i="16" l="1"/>
  <c r="B13" i="16" l="1"/>
  <c r="D9" i="16"/>
  <c r="D7" i="16"/>
  <c r="E21" i="14"/>
  <c r="F21" i="14" s="1"/>
  <c r="E20" i="14"/>
  <c r="F20" i="14" s="1"/>
  <c r="F19" i="14"/>
  <c r="D8" i="14"/>
  <c r="D7" i="14"/>
  <c r="F24" i="14" l="1"/>
  <c r="D38" i="14" s="1"/>
  <c r="D6" i="9" l="1"/>
  <c r="E107" i="9" l="1"/>
  <c r="E108" i="9"/>
  <c r="C6" i="9"/>
  <c r="B6" i="9"/>
  <c r="E6" i="9"/>
  <c r="F6" i="9"/>
  <c r="G6" i="9"/>
  <c r="F16" i="9" l="1"/>
  <c r="F17" i="9"/>
  <c r="F18" i="9"/>
  <c r="F19" i="9"/>
  <c r="F15" i="9"/>
  <c r="G15" i="9" s="1"/>
  <c r="H15" i="9" s="1"/>
  <c r="E16" i="9"/>
  <c r="E17" i="9"/>
  <c r="E18" i="9"/>
  <c r="E19" i="9"/>
  <c r="E15" i="9"/>
  <c r="C98" i="9"/>
  <c r="F97" i="9"/>
  <c r="F96" i="9"/>
  <c r="F95" i="9"/>
  <c r="F94" i="9"/>
  <c r="F93" i="9"/>
  <c r="F92" i="9"/>
  <c r="F91" i="9"/>
  <c r="F90" i="9"/>
  <c r="F82" i="9"/>
  <c r="F76" i="9"/>
  <c r="F77" i="9"/>
  <c r="F78" i="9"/>
  <c r="F79" i="9"/>
  <c r="F80" i="9"/>
  <c r="F81" i="9"/>
  <c r="F75" i="9"/>
  <c r="C83" i="9"/>
  <c r="F62" i="9"/>
  <c r="F63" i="9"/>
  <c r="F64" i="9"/>
  <c r="F65" i="9"/>
  <c r="F66" i="9"/>
  <c r="F67" i="9"/>
  <c r="F61" i="9"/>
  <c r="F51" i="9"/>
  <c r="F52" i="9"/>
  <c r="F53" i="9"/>
  <c r="F83" i="9" l="1"/>
  <c r="B84" i="9" s="1"/>
  <c r="B85" i="9" s="1"/>
  <c r="F68" i="9"/>
  <c r="B69" i="9" s="1"/>
  <c r="B70" i="9" s="1"/>
  <c r="F98" i="9"/>
  <c r="B99" i="9" s="1"/>
  <c r="B100" i="9" s="1"/>
  <c r="B49" i="9" l="1"/>
  <c r="F49" i="9" s="1"/>
  <c r="B50" i="9"/>
  <c r="F50" i="9" s="1"/>
  <c r="B38" i="9"/>
  <c r="B40" i="9"/>
  <c r="G19" i="9"/>
  <c r="H19" i="9" s="1"/>
  <c r="G18" i="9"/>
  <c r="H18" i="9" s="1"/>
  <c r="G17" i="9"/>
  <c r="H17" i="9" s="1"/>
  <c r="G16" i="9"/>
  <c r="H16" i="9" s="1"/>
  <c r="B55" i="9" l="1"/>
  <c r="B56" i="9" s="1"/>
  <c r="H20" i="9"/>
  <c r="I15" i="9" s="1"/>
  <c r="B12" i="2"/>
  <c r="I19" i="9" l="1"/>
  <c r="I16" i="9"/>
  <c r="B22" i="9" s="1"/>
  <c r="I18" i="9"/>
  <c r="I17" i="9"/>
  <c r="D10" i="7"/>
  <c r="D11" i="7"/>
  <c r="D12" i="7"/>
  <c r="D13" i="7"/>
  <c r="B14" i="7"/>
  <c r="B27" i="7"/>
  <c r="D26" i="7"/>
  <c r="D25" i="7"/>
  <c r="D24" i="7"/>
  <c r="D23" i="7"/>
  <c r="B23" i="9" l="1"/>
  <c r="B24" i="9"/>
  <c r="D27" i="7"/>
  <c r="I20" i="9"/>
  <c r="D14" i="7"/>
  <c r="B25" i="5" l="1"/>
  <c r="D24" i="5"/>
  <c r="D23" i="5"/>
  <c r="D22" i="5"/>
  <c r="D21" i="5"/>
  <c r="D11" i="5"/>
  <c r="D10" i="5"/>
  <c r="D9" i="5"/>
  <c r="D8" i="5"/>
  <c r="D23" i="2"/>
  <c r="D22" i="2"/>
  <c r="D21" i="2"/>
  <c r="D20" i="2"/>
  <c r="D25" i="5" l="1"/>
  <c r="D12" i="5"/>
  <c r="B24" i="2"/>
  <c r="D24" i="2" l="1"/>
  <c r="D8" i="2"/>
  <c r="D9" i="2"/>
  <c r="D10" i="2"/>
  <c r="D11" i="2"/>
  <c r="D12" i="2" l="1"/>
</calcChain>
</file>

<file path=xl/sharedStrings.xml><?xml version="1.0" encoding="utf-8"?>
<sst xmlns="http://schemas.openxmlformats.org/spreadsheetml/2006/main" count="581" uniqueCount="253">
  <si>
    <t>65-69</t>
  </si>
  <si>
    <t>60-64</t>
  </si>
  <si>
    <t>55-59</t>
  </si>
  <si>
    <t>50-54</t>
  </si>
  <si>
    <t>Prevalence of non-users</t>
  </si>
  <si>
    <t>total over the entire age interval 50-69</t>
  </si>
  <si>
    <t>65-69 (last use 10+ years ago;duration 5-9 years)</t>
  </si>
  <si>
    <t xml:space="preserve">     60-64 (last use 5-9 years ago; duration 5-9 years)</t>
  </si>
  <si>
    <t xml:space="preserve">     55-59 (current use; duration 5-9 years)</t>
  </si>
  <si>
    <t xml:space="preserve">     50-54 (current use; duration 1-4 years)</t>
  </si>
  <si>
    <t>RR (from evidence report)</t>
  </si>
  <si>
    <t>Age interval (and assumed recency and duration of use during that age interval)</t>
  </si>
  <si>
    <t>5-year breast cancer risk per 1000 users</t>
  </si>
  <si>
    <t>5-year breast cancer risk per 1000 never HRT users</t>
  </si>
  <si>
    <t>5 years use from age 50</t>
  </si>
  <si>
    <t>10 years use from age 50</t>
  </si>
  <si>
    <t xml:space="preserve">     55-59 (last use &lt;5 years ago; duration 5-9 years)  </t>
  </si>
  <si>
    <t xml:space="preserve">     60-64 (last use &lt; 5 years ago; duration 10+ years)</t>
  </si>
  <si>
    <t>65-69 (last use 5-9  years ago;duration  10+ years)</t>
  </si>
  <si>
    <t>40-44</t>
  </si>
  <si>
    <t>&lt;40</t>
  </si>
  <si>
    <t>45-49</t>
  </si>
  <si>
    <t>55+</t>
  </si>
  <si>
    <t>45+</t>
  </si>
  <si>
    <t>LCI</t>
  </si>
  <si>
    <t>UCI</t>
  </si>
  <si>
    <t>ln RR</t>
  </si>
  <si>
    <t>se ln RR</t>
  </si>
  <si>
    <t>var ln RR</t>
  </si>
  <si>
    <t>weight</t>
  </si>
  <si>
    <t>information</t>
  </si>
  <si>
    <t>10 years use from age 40</t>
  </si>
  <si>
    <t>Absolute risks for HRT use in women with early menopause (based on estimated rates in never users with early menopause in "rate calculations")</t>
  </si>
  <si>
    <t>5-year breast cancer risk per 1000 never HRT users with early menopause</t>
  </si>
  <si>
    <t xml:space="preserve">     40-44 (current use; duration 1-4 years)</t>
  </si>
  <si>
    <t xml:space="preserve">     45-49 (current use; duration 5-9 years)</t>
  </si>
  <si>
    <t xml:space="preserve">     50-54 (last use &lt; 5 years ago; duration 10+ years)</t>
  </si>
  <si>
    <t>55-59 (last use 5-9  years ago;duration  10+ years)</t>
  </si>
  <si>
    <t>total over the entire age interval 40-59</t>
  </si>
  <si>
    <t xml:space="preserve">RRs of breast cancer in never users in three age at menopause groups relative to each baseline group </t>
  </si>
  <si>
    <t>RR of BC by age at menopause in never users (based on CGHFBC 2012 )</t>
  </si>
  <si>
    <t>RR (from evidence report)- using RRs for women starting age 40-44</t>
  </si>
  <si>
    <t>never users, age menopause &lt;40</t>
  </si>
  <si>
    <t>never users, age menopause 40-44</t>
  </si>
  <si>
    <t>users, age menopause &lt;40</t>
  </si>
  <si>
    <t>users, age menopause 40-44</t>
  </si>
  <si>
    <t>never users, age at menopause 45-49</t>
  </si>
  <si>
    <t>never users, age at menopause 50+</t>
  </si>
  <si>
    <t>50+</t>
  </si>
  <si>
    <t>users, age menopause 45-49</t>
  </si>
  <si>
    <t>users, age menopause 50+</t>
  </si>
  <si>
    <t>proportion of women who become postmenopausal in each age band</t>
  </si>
  <si>
    <t>Proportion of postmenopausal women in each age band using HRT</t>
  </si>
  <si>
    <t>age interval 40-44</t>
  </si>
  <si>
    <t>never users, age at menopause 45+</t>
  </si>
  <si>
    <t>HRT relative risk</t>
  </si>
  <si>
    <t>proportion users/non users</t>
  </si>
  <si>
    <t>menopause RR</t>
  </si>
  <si>
    <t>age interval 45-49</t>
  </si>
  <si>
    <t>age interval 50-54</t>
  </si>
  <si>
    <t>age interval 55-59</t>
  </si>
  <si>
    <t>Age specific 5-year incidence rates per 1000 (2017 ONS data)</t>
  </si>
  <si>
    <t>estimated rate in all never users</t>
  </si>
  <si>
    <t>Final estimated rates for subsequent cumulative risk calculations</t>
  </si>
  <si>
    <t>Attained age interval</t>
  </si>
  <si>
    <t xml:space="preserve">all women </t>
  </si>
  <si>
    <t>proportion of all postmenopausal women on HRT</t>
  </si>
  <si>
    <t>estimated rate in all postmenopausal never users</t>
  </si>
  <si>
    <t>all postmenopausal never users</t>
  </si>
  <si>
    <t>ratio of never users to all users in over 50s</t>
  </si>
  <si>
    <t>RR (in never users)</t>
  </si>
  <si>
    <t>&lt;45 vs 40-44</t>
  </si>
  <si>
    <t>45+ vs 40-44</t>
  </si>
  <si>
    <t>50+ vs 40-44</t>
  </si>
  <si>
    <t>estimation of rates by HRT status and age at menopause</t>
  </si>
  <si>
    <t>Age specific mid 2017 female population estimates (England only)</t>
  </si>
  <si>
    <t>5-year stroke risk per 1000 never HRT users</t>
  </si>
  <si>
    <t>50-59</t>
  </si>
  <si>
    <t>Oestrogen only</t>
  </si>
  <si>
    <t>Admission year</t>
  </si>
  <si>
    <t>Age group</t>
  </si>
  <si>
    <t xml:space="preserve">Population </t>
  </si>
  <si>
    <t>per 1000</t>
  </si>
  <si>
    <t>5 year risk</t>
  </si>
  <si>
    <t>take a total of 50-59</t>
  </si>
  <si>
    <t>weighted average (if 0.25 O only, and 0.75 combined)</t>
  </si>
  <si>
    <t>People who start HRT at age 50, unknown duration of use</t>
  </si>
  <si>
    <t>Combined oestrogen + progestogen</t>
  </si>
  <si>
    <t>Stroke</t>
  </si>
  <si>
    <t>combined oral</t>
  </si>
  <si>
    <t>combined trasdermal</t>
  </si>
  <si>
    <t>RR  (from evidence report)</t>
  </si>
  <si>
    <t>5-year EC risk per 1000 never HRT users</t>
  </si>
  <si>
    <t>Sequential combined</t>
  </si>
  <si>
    <t>Continuous combined</t>
  </si>
  <si>
    <t>5-year EC risk per 1000 users</t>
  </si>
  <si>
    <t>5-year OC risk per 1000 users</t>
  </si>
  <si>
    <t>5-year CHD risk per 1000 users</t>
  </si>
  <si>
    <t>5-year CHD risk per 1000 never HRT users</t>
  </si>
  <si>
    <t>5-year stroke risk per 1000 users</t>
  </si>
  <si>
    <t>People who start HRT at age 50, 5-9 years duration use</t>
  </si>
  <si>
    <t>Prevalence of HRT users</t>
  </si>
  <si>
    <t xml:space="preserve">Prevalence of HRT users * RR </t>
  </si>
  <si>
    <t xml:space="preserve">Background risk (rate of cancer in non-HRT users) </t>
  </si>
  <si>
    <t xml:space="preserve">Rate in non-users </t>
  </si>
  <si>
    <t>Risk in Oestrogen only: taken from evidence review Morch 2016; any duration, current user</t>
  </si>
  <si>
    <t>Average RR in current vs never users of HRT</t>
  </si>
  <si>
    <t>Endometrial cancer</t>
  </si>
  <si>
    <t>Age specific 10-year incidence rates per 1000 (2017 ONS data)</t>
  </si>
  <si>
    <t>5 years</t>
  </si>
  <si>
    <t>10 years</t>
  </si>
  <si>
    <t>Average RR in current vs never users of HRT taken from prospective studies in webfigure 1 (CGESOC 2015), for all users</t>
  </si>
  <si>
    <t>Age specific first-time CHD admissions 2017 (HES database)</t>
  </si>
  <si>
    <t>Admissions per 1000</t>
  </si>
  <si>
    <t xml:space="preserve">Average RR in current vs never users of HRT taken from RCT evidence using weighted average of 1/4 O-only and 3/4 combined </t>
  </si>
  <si>
    <t>Age specific first-time stroke admissions 2017 (HES database)</t>
  </si>
  <si>
    <t>Calculating risk in non-users</t>
  </si>
  <si>
    <t xml:space="preserve">Oestrogen only </t>
  </si>
  <si>
    <t>Calculating risk in non-users (applies to oestrogen only and combined HRT)</t>
  </si>
  <si>
    <t>First-time CHD admissions (NHS HES data)</t>
  </si>
  <si>
    <t>First-time stroke admissions (NHS HES data)</t>
  </si>
  <si>
    <t>References</t>
  </si>
  <si>
    <t xml:space="preserve">Comments </t>
  </si>
  <si>
    <t xml:space="preserve">     60-64 (last use &lt; 5 years ago; duration 10+ years)*</t>
  </si>
  <si>
    <t>Reference</t>
  </si>
  <si>
    <t>Morch 2016</t>
  </si>
  <si>
    <t>Risk in all with weighting of 1/4 from Oestrogen-only and 3/4 from combined</t>
  </si>
  <si>
    <t>CGESOC 2015</t>
  </si>
  <si>
    <t>HES database 2017</t>
  </si>
  <si>
    <t xml:space="preserve">Average RR in current vs never users of HRT taken from RCT evidence using weighted average of 1/4 Oestrogen-only and 3/4 combined </t>
  </si>
  <si>
    <t>estimated rate in never users with age at menopause 40-44</t>
  </si>
  <si>
    <t>never users with menopause at 40-44</t>
  </si>
  <si>
    <t>proportion with age at menopause</t>
  </si>
  <si>
    <t>65-69 (last use 5-9  years ago;duration  10+ years)≠</t>
  </si>
  <si>
    <r>
      <rPr>
        <b/>
        <sz val="11"/>
        <color theme="1"/>
        <rFont val="Arial"/>
        <family val="2"/>
      </rPr>
      <t>*</t>
    </r>
    <r>
      <rPr>
        <sz val="11"/>
        <color theme="1"/>
        <rFont val="Arial"/>
        <family val="2"/>
      </rPr>
      <t>the user is now a past user (stopped &lt;5 years ago) of 10 years duration</t>
    </r>
  </si>
  <si>
    <r>
      <rPr>
        <b/>
        <sz val="11"/>
        <color theme="1"/>
        <rFont val="Arial"/>
        <family val="2"/>
      </rPr>
      <t>≠</t>
    </r>
    <r>
      <rPr>
        <sz val="11"/>
        <color theme="1"/>
        <rFont val="Arial"/>
        <family val="2"/>
      </rPr>
      <t>the user is now a past user (stopped 5-9 years ago) of 10 years duration</t>
    </r>
  </si>
  <si>
    <t xml:space="preserve">Average RR in current vs never users of HRT taken from prospective studies in Supplementary table 3 (CGHFB 2019) with weighting of 1/4 from O-only and 3/4 from combined </t>
  </si>
  <si>
    <t>CGHFB 2019</t>
  </si>
  <si>
    <t>ONS 2017</t>
  </si>
  <si>
    <t>NHS HRT data</t>
  </si>
  <si>
    <t>Collaborative Group on Hormonal Factors in Breast, Cancer (2019) Type and timing of menopausal hormone therapy and breast cancer risk: individual participant meta-analysis of the worldwide epidemiological evidence. Lancet (London, England) 394(10204): 1159-1168</t>
  </si>
  <si>
    <t>Any Oestrogen + Progestogen</t>
  </si>
  <si>
    <t>Mørch L, Kjaer S, Keiding N et al. (2016) The influence of hormone therapies on type I and II endometrial cancer: A nationwide cohort study. International Journal of Cancer 136(6): 1506- 1515</t>
  </si>
  <si>
    <t>Combined HRT: taken using 50/50 average for sequential combined and continuous (Morch 2016=1.02 and Trabert 2013=1.88)</t>
  </si>
  <si>
    <t>Trabert 2013</t>
  </si>
  <si>
    <t>Trabert, Britton, Wentzensen, Nicolas, Yang, Hannah P et al. (2013) Is estrogen plus progestin menopausal hormone therapy safe with respect to endometrial cancer risk?. International journal of cancer 132(2): 417-26</t>
  </si>
  <si>
    <t>https://www.ons.gov.uk/peoplepopulationandcommunity/healthandsocialcare/conditionsanddiseases/datasets/cancerregistrationstatisticscancerregistrationstatisticsengland</t>
  </si>
  <si>
    <t>https://www.nhsbsa.nhs.uk/statistical-collections/hormone-replacement-therapy-england/hormone-replacement-therapy-england-april-2015-june-2022</t>
  </si>
  <si>
    <t>Estimated no of women with prescription for HRT in 2016/2017 (NHS HRT data) (England only)</t>
  </si>
  <si>
    <t>Collaborative Group On Epidemiological Studies Of Ovarian, Cancer, Beral, V, Gaitskell, K et al. (2015) Menopausal hormone use and ovarian cancer risk: individual participant meta_x0002_analysis of 52 epidemiological studies. Lancet (London, England) 385(9980): 1835-42</t>
  </si>
  <si>
    <t>Risk in all using weighted average (if 0.25 Oestrogen-only, and 0.75 combined)</t>
  </si>
  <si>
    <t>Grady 2002</t>
  </si>
  <si>
    <t>Grady, Deborah, Herrington, David, Bittner, Vera et al. (2002) Cardiovascular disease outcomes during 6.8 years of hormone therapy: Heart and Estrogen/progestin Replacement Study follow-up (HERS II). JAMA 288(1): 49-57</t>
  </si>
  <si>
    <t>Manson 2013</t>
  </si>
  <si>
    <t>Manson, J.E., Chlebowski, R.T., Stefanick, M.L. et al. (2013) Menopausal hormone therapy and health outcomes during the intervention and extended poststopping phases of the women's health initiative randomized trials. JAMA 2013 Oct 2;310(13):1353-68</t>
  </si>
  <si>
    <t>Hospital Episode Statistics (HES) - NHS Digital</t>
  </si>
  <si>
    <t xml:space="preserve">Background risk (rate of CHD in non-HRT users) </t>
  </si>
  <si>
    <t>Coronary heart disease (CHD)</t>
  </si>
  <si>
    <t>Oestrogen-only oral</t>
  </si>
  <si>
    <t>Oestrogen-only transdermal</t>
  </si>
  <si>
    <t>From the evidence: RCT current users 5-9 years use (Oestrogen-only (Manson 2013))</t>
  </si>
  <si>
    <t>From the evidence: RCT current users 5-9 years use (Combined HRT (Grady 2002, Manson 2013))</t>
  </si>
  <si>
    <t xml:space="preserve">Background risk (rate of stroke in non-HRT users) </t>
  </si>
  <si>
    <t xml:space="preserve">Oestrogen-only </t>
  </si>
  <si>
    <t>Mishra 2019</t>
  </si>
  <si>
    <t>These calculations are based on RRs for women who started at age 40-44 (in S5 of CGHFB) (as the numbers quoted in the grading tables are for current use of 5-14 years only)</t>
  </si>
  <si>
    <t>CGHFBC 2012</t>
  </si>
  <si>
    <t>Proportion of postmenopausal women (based on paper by Mishra 2017)</t>
  </si>
  <si>
    <t>Mishra GD, Pandeya N, Dobson AJ, Chung HF, Anderson D, Kuh D, Sandin S, Giles GG,  Bruinsma F, Hayashi K, Lee JS, Mizunuma H, Cade JE, Burley V, Greenwood DC, Goodman A, Simonsen MK, Adami HO, Demakakos P, Weiderpass E. Early menarche, nulliparity and  the risk for premature and early natural menopause. Hum Reprod. 2017 Mar 1;32(3):679-686. doi: 10.1093/humrep/dew350</t>
  </si>
  <si>
    <t>Collaborative Group on Hormonal Factors in Breast Cancer (2012). Menarche, menopause, and breast cancer risk: individual participant meta-analysis, including 118 964 women with breast cancer from 117 epidemiological studies. The Lancet Oncology. 13 (11): 1141–1151</t>
  </si>
  <si>
    <t>Average RR in current vs never users of HRT taken from prospective studies in Supplementary table 3 (CGHFB 2019) with weighting of 1/4 from O-only and 3/4 from combined  (this could be varied by age at starting)</t>
  </si>
  <si>
    <t>RR location in evidence report</t>
  </si>
  <si>
    <t>See Evidence report D, Table 8, outcome: incidence of invasive breast cancer, past HRT users, &lt;5 years since last use, duration 5-9 years</t>
  </si>
  <si>
    <t>See Evidence report D, Table 8, outcome: incidence of invasive breast cancer, current HRT users, duration 1-4 years</t>
  </si>
  <si>
    <t>See Evidence report D, Table 8, outcome: incidence of invasive breast cancer, past HRT users, 5-9 years since last use, duration 5-9 years</t>
  </si>
  <si>
    <t>See Evidence report D, Table 8, outcome: incidence of invasive breast cancer, past HRT users, 10+ years since last use, duration 5-9 years</t>
  </si>
  <si>
    <t>See Evidence report D, Table 8, outcome: incidence of invasive breast cancer, current HRT users, duration 5-9 years</t>
  </si>
  <si>
    <t>See Evidence report D, Table 8, outcome: incidence of invasive breast cancer, past HRT users, &lt;5 years since last use, duration 10+ years</t>
  </si>
  <si>
    <t>See Evidence report D, Table 8, outcome: incidence of invasive breast cancer, past HRT users, 5-9 years since last use, duration 10+ years</t>
  </si>
  <si>
    <t>See Evidence report D, table 4, outcome incidence of invasive breast cancer, current HRT users, duration 1-4 years</t>
  </si>
  <si>
    <t>See Evidence report D, table 4, outcome incidence of invasive breast cancer, past HRT users, 5-9 years since last use, duration 5-9 years</t>
  </si>
  <si>
    <t>See Evidence report D, table 4, outcome incidence of invasive breast cancer, past HRT users, &lt;5 years since last use, duration 5-9 years</t>
  </si>
  <si>
    <t>See Evidence report D, table 4, outcome incidence of invasive breast cancer, past HRT users, 10+ years since last use, duration 5-9 years</t>
  </si>
  <si>
    <t>See Evidence report D, table 4, outcome incidence of invasive breast cancer, current HRT users, duration 5-9 years</t>
  </si>
  <si>
    <t>See Evidence report D, table 4, outcome incidence of invasive breast cancer, past HRT users, &lt;5 years since last use, duration 10+ years</t>
  </si>
  <si>
    <t>See Evidence report D, table 4, outcome incidence of invasive breast cancer, past HRT users, 5-9 years since last use, duration 10+ years</t>
  </si>
  <si>
    <t>See Evidence report E, Table 20, outcome: incidence of endometrial cancer- current users, duration of use, RR - Years of use: ≥10</t>
  </si>
  <si>
    <t>See Evidence report E, Table 26, outcome: incidence of endometrial cancer - current users, duration of use, RR - Years of use: Any duration of use</t>
  </si>
  <si>
    <t>5-year Ovarian cancer (OC) risk per 1000 never HRT users</t>
  </si>
  <si>
    <t>See Evidence report C, table 5, outcome: Coronary heart disease (including MI) in current users with 5-9 years duration of HRT use</t>
  </si>
  <si>
    <t>See Evidence report C, table 22, outcome: Coronary heart disease (including MI) in current users with 5-9 years duration of HRT use</t>
  </si>
  <si>
    <t>See Evidence report C, table 21, outcome: Stroke in current users with unknown duration of HRT use (duration of use not reported), by route of administration (continuous combined) – Transdermal</t>
  </si>
  <si>
    <t xml:space="preserve">See Evidence report C, table 28, outcome: Stroke in current users with unknown duration of HRT use (duration of use not reported), by route of administration Transdermal </t>
  </si>
  <si>
    <t>See Evidence report I, table 5, Outcome: Incidence of invasive breast cancer, Current HRT users – by years of use (age of first HRT use 40 to 44), Duration 1-4 years</t>
  </si>
  <si>
    <t>See Evidence report I, table 5, Outcome: Incidence of invasive breast cancer, Current HRT users – by years of use (age of first HRT use 40 to 44), Duration 5-9 years</t>
  </si>
  <si>
    <t>See Evidence report I, table 5, Outcome: Incidence of invasive breast cancer, Past HRT users (age of first HRT use 40 to 44), Duration 10+ years</t>
  </si>
  <si>
    <t>See Evidence report I, table 6, Outcome: Incidence of invasive breast cancer, Current HRT users – by years of use (age of first HRT use 40 to 44), Duration 1-4 years</t>
  </si>
  <si>
    <t>See Evidence report I, table 6, Outcome: Incidence of invasive breast cancer, Current HRT users – by years of use (age of first HRT use 40 to 44), Duration 5-9 years</t>
  </si>
  <si>
    <t>See Evidence report I, table 6, Outcome: Incidence of invasive breast cancer, Past HRT users (age of first HRT use 40 to 44), Duration 10+ years</t>
  </si>
  <si>
    <t>Observational studies</t>
  </si>
  <si>
    <t>Observational</t>
  </si>
  <si>
    <t>Study type</t>
  </si>
  <si>
    <t xml:space="preserve">Study type </t>
  </si>
  <si>
    <t>Location in evidence report</t>
  </si>
  <si>
    <t>Randomised controlled trials</t>
  </si>
  <si>
    <t>Used to calculate the weighted average risk in current users</t>
  </si>
  <si>
    <t xml:space="preserve">See Evidence report C, table 5, outcome: Stroke in current users with 5-9 years duration of HRT use </t>
  </si>
  <si>
    <t>Current users with 5-9 years duration of use (continuous combined) (Grady 2002; Manson 2013)</t>
  </si>
  <si>
    <t>Current users with 5-9 years duration of use oestrogen-only (Manson 2013)</t>
  </si>
  <si>
    <t xml:space="preserve">See Evidence report C, table 22, outcome: Stroke in current users with 5-9 years duration of HRT use </t>
  </si>
  <si>
    <t>RCT</t>
  </si>
  <si>
    <t>Duration of use (current users)</t>
  </si>
  <si>
    <t>Oestrogen + progestogen</t>
  </si>
  <si>
    <t>4 years use</t>
  </si>
  <si>
    <t>5 years use</t>
  </si>
  <si>
    <t>4-year dementia risk per 1000 never HRT users</t>
  </si>
  <si>
    <t>5-year dementia risk per 1000 never HRT users</t>
  </si>
  <si>
    <t>4-year dementia risk per 1000 users</t>
  </si>
  <si>
    <t>5-year dementia risk per 1000 users</t>
  </si>
  <si>
    <t>See Evidence report G, Table 9, outcome: Dementia (dementia at 5 years follow-up)</t>
  </si>
  <si>
    <t>See Evidence report G, Table 7, outcome: Dementia (dementia at 4 years follow-up)</t>
  </si>
  <si>
    <t>4 years use from age 65+ years</t>
  </si>
  <si>
    <t>5 years use from age 65+ years</t>
  </si>
  <si>
    <t>Dementia risk in never HRT users is taken from the control group risk directly from the RCT (WHIMS)</t>
  </si>
  <si>
    <t>Women's Health Initiative Memory Study (WHIMS)</t>
  </si>
  <si>
    <t>Shumaker, Sally A, Legault, Claudine, Kuller, Lewis et al. (2004) Conjugated equine estrogens and incidence of probable dementia and mild cognitive impairment in postmenopausal women: Women's Health Initiative Memory Study. JAMA 291(24): 2947-58
Shumaker, Sally A, Legault, Claudine, Rapp, Stephen R et al. (2003) Estrogen plus progestin and the incidence of dementia and mild cognitive impairment in postmenopausal women: the Women's Health Initiative Memory Study: a randomized controlled trial. JAMA 289(20): 2651-62</t>
  </si>
  <si>
    <t>People who start HRT at age 50</t>
  </si>
  <si>
    <t>See Evidence report F, Table 7, Outcome: Incidence of ovarian cancer – current user, overall (CGESOC 2015)</t>
  </si>
  <si>
    <t>See Evidence report F, Table 3, Outcome: Incidence of ovarian cancer – current user, overall (CGESOC 2015)</t>
  </si>
  <si>
    <t>Fracture</t>
  </si>
  <si>
    <t>5-year fracture risk per 1000 never HRT users</t>
  </si>
  <si>
    <t>5-year fracture risk per 1000 users</t>
  </si>
  <si>
    <t xml:space="preserve">Lower confidence interval RR </t>
  </si>
  <si>
    <t>Upper confidence interval RR</t>
  </si>
  <si>
    <t>Lower 5-year fracture risk per 1000 users</t>
  </si>
  <si>
    <t>Upper 5-year fracture risk per 1000 users</t>
  </si>
  <si>
    <t>observational</t>
  </si>
  <si>
    <t>table 72, outcome Any fracture (1 to 4 years)</t>
  </si>
  <si>
    <t>table 72, outcome Any fracture (5 to 9 years duration)</t>
  </si>
  <si>
    <t>Data source</t>
  </si>
  <si>
    <t>more than 1 fracture (MWS data)</t>
  </si>
  <si>
    <t>Total number in age bracket</t>
  </si>
  <si>
    <t>2.8 year risk per 1000</t>
  </si>
  <si>
    <t>5 year risk (HRT users and non-HRT users)</t>
  </si>
  <si>
    <t xml:space="preserve">Background risk </t>
  </si>
  <si>
    <t xml:space="preserve">Average RR of fractures in current vs never users of HRT taken from MWS </t>
  </si>
  <si>
    <t>See Evidence report E, Table 21, outcome: Incidence of endometrial cancer- current users, duration of use, HR - Years of use: Any duration of use</t>
  </si>
  <si>
    <t xml:space="preserve"> </t>
  </si>
  <si>
    <t>Banks E, Beral V, Reeves G, Balkwill A, Barnes I; Million Women Study Collaborators. Fracture incidence in relation to the pattern of use of hormone therapy in postmenopausal women. JAMA. 2004 May 12;291(18):2212-20. doi: 10.1001/jama.291.18.2212. PMID: 15138243.</t>
  </si>
  <si>
    <t>MWS Banks 2004</t>
  </si>
  <si>
    <t>Age specific mid 2017 female population estimates (England only) (ONS 2017)</t>
  </si>
  <si>
    <t>Absolute calculations Results for NICE Guideline on Menopause (NG23)</t>
  </si>
  <si>
    <t>ISBN: 978-1-4731-6587-8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</si>
</sst>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0.000"/>
    <numFmt numFmtId="167" formatCode="0.0000"/>
  </numFmts>
  <fonts count="2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b/>
      <sz val="10"/>
      <color theme="1"/>
      <name val="Arial"/>
      <family val="2"/>
    </font>
    <font>
      <sz val="10"/>
      <name val="Atlanta"/>
    </font>
    <font>
      <b/>
      <sz val="11"/>
      <color theme="1"/>
      <name val="Calibri"/>
      <family val="2"/>
      <scheme val="minor"/>
    </font>
    <font>
      <sz val="11"/>
      <color rgb="FF000000"/>
      <name val="Arial"/>
      <family val="2"/>
    </font>
    <font>
      <sz val="11"/>
      <color theme="1"/>
      <name val="Arial"/>
      <family val="2"/>
    </font>
    <font>
      <b/>
      <sz val="11"/>
      <color theme="1"/>
      <name val="Arial"/>
      <family val="2"/>
    </font>
    <font>
      <sz val="11"/>
      <color rgb="FFFF0000"/>
      <name val="Arial"/>
      <family val="2"/>
    </font>
    <font>
      <b/>
      <sz val="11"/>
      <name val="Arial"/>
      <family val="2"/>
    </font>
    <font>
      <sz val="11"/>
      <name val="Arial"/>
      <family val="2"/>
    </font>
    <font>
      <u/>
      <sz val="12"/>
      <color theme="10"/>
      <name val="Calibri"/>
      <family val="2"/>
      <scheme val="minor"/>
    </font>
    <font>
      <b/>
      <sz val="11"/>
      <color rgb="FF000000"/>
      <name val="Arial"/>
      <family val="2"/>
    </font>
    <font>
      <u/>
      <sz val="11"/>
      <color theme="10"/>
      <name val="Arial"/>
      <family val="2"/>
    </font>
    <font>
      <b/>
      <sz val="12"/>
      <color theme="1"/>
      <name val="Calibri"/>
      <family val="2"/>
      <scheme val="minor"/>
    </font>
    <font>
      <sz val="8"/>
      <name val="Calibri"/>
      <family val="2"/>
      <scheme val="minor"/>
    </font>
    <font>
      <b/>
      <sz val="16"/>
      <color theme="1"/>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s>
  <borders count="22">
    <border>
      <left/>
      <right/>
      <top/>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43" fontId="4" fillId="0" borderId="0" applyFont="0" applyFill="0" applyBorder="0" applyAlignment="0" applyProtection="0"/>
    <xf numFmtId="0" fontId="8" fillId="0" borderId="0"/>
    <xf numFmtId="0" fontId="16" fillId="0" borderId="0" applyNumberFormat="0" applyFill="0" applyBorder="0" applyAlignment="0" applyProtection="0"/>
  </cellStyleXfs>
  <cellXfs count="200">
    <xf numFmtId="0" fontId="0" fillId="0" borderId="0" xfId="0"/>
    <xf numFmtId="0" fontId="6" fillId="0" borderId="0" xfId="0" applyFont="1" applyAlignment="1">
      <alignment wrapText="1"/>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7" fillId="0" borderId="0" xfId="0" applyFont="1" applyAlignment="1">
      <alignment vertical="center" wrapText="1"/>
    </xf>
    <xf numFmtId="165" fontId="5" fillId="2" borderId="0" xfId="0" applyNumberFormat="1" applyFont="1" applyFill="1" applyAlignment="1">
      <alignment horizontal="center" vertical="center"/>
    </xf>
    <xf numFmtId="0" fontId="7" fillId="2" borderId="0" xfId="0" applyFont="1" applyFill="1"/>
    <xf numFmtId="0" fontId="7" fillId="0" borderId="0" xfId="0" applyFont="1" applyAlignment="1">
      <alignment horizontal="right" vertical="center" wrapText="1"/>
    </xf>
    <xf numFmtId="164" fontId="0" fillId="0" borderId="0" xfId="0" applyNumberFormat="1" applyAlignment="1">
      <alignment horizontal="right"/>
    </xf>
    <xf numFmtId="2" fontId="3" fillId="0" borderId="0" xfId="0" applyNumberFormat="1" applyFont="1"/>
    <xf numFmtId="0" fontId="3" fillId="0" borderId="0" xfId="0" applyFont="1"/>
    <xf numFmtId="0" fontId="3" fillId="7" borderId="0" xfId="0" applyFont="1" applyFill="1"/>
    <xf numFmtId="0" fontId="9" fillId="0" borderId="8" xfId="0" applyFont="1" applyBorder="1"/>
    <xf numFmtId="0" fontId="9" fillId="0" borderId="9" xfId="0" applyFont="1" applyBorder="1" applyAlignment="1">
      <alignment horizontal="center"/>
    </xf>
    <xf numFmtId="0" fontId="9" fillId="4" borderId="9" xfId="0" applyFont="1" applyFill="1" applyBorder="1" applyAlignment="1">
      <alignment horizontal="center"/>
    </xf>
    <xf numFmtId="0" fontId="9" fillId="0" borderId="11" xfId="0" applyFont="1" applyBorder="1"/>
    <xf numFmtId="164" fontId="3" fillId="0" borderId="0" xfId="0" applyNumberFormat="1" applyFont="1" applyAlignment="1">
      <alignment horizontal="right"/>
    </xf>
    <xf numFmtId="0" fontId="10" fillId="0" borderId="11" xfId="0" applyFont="1" applyBorder="1" applyAlignment="1">
      <alignment horizontal="left"/>
    </xf>
    <xf numFmtId="0" fontId="9" fillId="4" borderId="11" xfId="0" applyFont="1" applyFill="1" applyBorder="1"/>
    <xf numFmtId="0" fontId="9" fillId="5" borderId="11" xfId="0" applyFont="1" applyFill="1" applyBorder="1" applyAlignment="1">
      <alignment wrapText="1"/>
    </xf>
    <xf numFmtId="0" fontId="3" fillId="0" borderId="0" xfId="0" applyFont="1" applyAlignment="1">
      <alignment horizontal="right"/>
    </xf>
    <xf numFmtId="2" fontId="3" fillId="0" borderId="0" xfId="0" applyNumberFormat="1" applyFont="1" applyAlignment="1">
      <alignment horizontal="right"/>
    </xf>
    <xf numFmtId="0" fontId="9" fillId="4" borderId="13" xfId="0" applyFont="1" applyFill="1" applyBorder="1"/>
    <xf numFmtId="166" fontId="3" fillId="0" borderId="1" xfId="0" applyNumberFormat="1" applyFont="1" applyBorder="1"/>
    <xf numFmtId="166" fontId="3" fillId="4" borderId="1" xfId="0" applyNumberFormat="1" applyFont="1" applyFill="1" applyBorder="1"/>
    <xf numFmtId="0" fontId="11" fillId="0" borderId="0" xfId="0" applyFont="1" applyAlignment="1">
      <alignment horizontal="center"/>
    </xf>
    <xf numFmtId="0" fontId="5" fillId="0" borderId="0" xfId="0" applyFont="1"/>
    <xf numFmtId="0" fontId="11" fillId="0" borderId="0" xfId="0" applyFont="1"/>
    <xf numFmtId="0" fontId="12" fillId="2" borderId="0" xfId="0" applyFont="1" applyFill="1"/>
    <xf numFmtId="165" fontId="11" fillId="2" borderId="0" xfId="0" applyNumberFormat="1" applyFont="1" applyFill="1" applyAlignment="1">
      <alignment horizontal="center" vertical="center"/>
    </xf>
    <xf numFmtId="0" fontId="12" fillId="0" borderId="0" xfId="0" applyFont="1" applyAlignment="1">
      <alignment vertical="center" wrapText="1"/>
    </xf>
    <xf numFmtId="2" fontId="11" fillId="0" borderId="0" xfId="0" applyNumberFormat="1" applyFont="1" applyAlignment="1">
      <alignment horizontal="center" vertical="center" wrapText="1"/>
    </xf>
    <xf numFmtId="2" fontId="11" fillId="0" borderId="0" xfId="0" applyNumberFormat="1" applyFont="1" applyAlignment="1">
      <alignment horizontal="center" vertical="center"/>
    </xf>
    <xf numFmtId="2" fontId="11" fillId="0" borderId="0" xfId="1" applyNumberFormat="1" applyFont="1" applyAlignment="1">
      <alignment horizontal="center" vertical="center" wrapText="1"/>
    </xf>
    <xf numFmtId="0" fontId="12" fillId="0" borderId="0" xfId="0" applyFont="1" applyAlignment="1">
      <alignment horizontal="right" vertical="center" wrapText="1"/>
    </xf>
    <xf numFmtId="0" fontId="11" fillId="0" borderId="15" xfId="0" applyFont="1" applyBorder="1"/>
    <xf numFmtId="0" fontId="11" fillId="0" borderId="16" xfId="0" applyFont="1" applyBorder="1"/>
    <xf numFmtId="0" fontId="11" fillId="0" borderId="17" xfId="0" applyFont="1" applyBorder="1"/>
    <xf numFmtId="0" fontId="11" fillId="0" borderId="11" xfId="0" applyFont="1" applyBorder="1" applyAlignment="1">
      <alignment wrapText="1"/>
    </xf>
    <xf numFmtId="0" fontId="11" fillId="0" borderId="12" xfId="0" applyFont="1" applyBorder="1"/>
    <xf numFmtId="0" fontId="11" fillId="0" borderId="13" xfId="0" applyFont="1" applyBorder="1"/>
    <xf numFmtId="0" fontId="10" fillId="0" borderId="0" xfId="0" applyFont="1" applyAlignment="1">
      <alignment vertical="center" wrapText="1"/>
    </xf>
    <xf numFmtId="0" fontId="10" fillId="7" borderId="0" xfId="0" applyFont="1" applyFill="1" applyAlignment="1">
      <alignment vertical="center" wrapText="1"/>
    </xf>
    <xf numFmtId="0" fontId="11" fillId="3" borderId="8"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right" wrapText="1" indent="1"/>
    </xf>
    <xf numFmtId="0" fontId="11" fillId="0" borderId="11" xfId="0" applyFont="1" applyBorder="1" applyAlignment="1">
      <alignment horizontal="center"/>
    </xf>
    <xf numFmtId="3" fontId="11" fillId="0" borderId="12" xfId="0" applyNumberFormat="1" applyFont="1" applyBorder="1" applyAlignment="1">
      <alignment horizontal="right" indent="1"/>
    </xf>
    <xf numFmtId="2" fontId="11" fillId="0" borderId="0" xfId="0" applyNumberFormat="1" applyFont="1"/>
    <xf numFmtId="0" fontId="11" fillId="0" borderId="13" xfId="0" applyFont="1" applyBorder="1" applyAlignment="1">
      <alignment horizontal="center"/>
    </xf>
    <xf numFmtId="0" fontId="11" fillId="0" borderId="1" xfId="0" applyFont="1" applyBorder="1" applyAlignment="1">
      <alignment horizontal="center"/>
    </xf>
    <xf numFmtId="3" fontId="11" fillId="0" borderId="14" xfId="0" applyNumberFormat="1" applyFont="1" applyBorder="1" applyAlignment="1">
      <alignment horizontal="right" indent="1"/>
    </xf>
    <xf numFmtId="0" fontId="12" fillId="0" borderId="0" xfId="0" applyFont="1"/>
    <xf numFmtId="0" fontId="12" fillId="0" borderId="0" xfId="0" applyFont="1" applyAlignment="1">
      <alignment horizontal="center"/>
    </xf>
    <xf numFmtId="3" fontId="11" fillId="0" borderId="6" xfId="0" applyNumberFormat="1" applyFont="1" applyBorder="1" applyAlignment="1">
      <alignment horizontal="right" indent="1"/>
    </xf>
    <xf numFmtId="164" fontId="11" fillId="0" borderId="0" xfId="0" applyNumberFormat="1" applyFont="1" applyAlignment="1">
      <alignment horizontal="right"/>
    </xf>
    <xf numFmtId="2" fontId="11" fillId="0" borderId="0" xfId="0" applyNumberFormat="1" applyFont="1" applyAlignment="1">
      <alignment horizontal="right"/>
    </xf>
    <xf numFmtId="0" fontId="10" fillId="0" borderId="0" xfId="0" applyFont="1" applyAlignment="1">
      <alignment horizontal="left"/>
    </xf>
    <xf numFmtId="0" fontId="12" fillId="4" borderId="0" xfId="0" applyFont="1" applyFill="1"/>
    <xf numFmtId="0" fontId="12" fillId="0" borderId="0" xfId="0" applyFont="1" applyAlignment="1">
      <alignment wrapText="1"/>
    </xf>
    <xf numFmtId="0" fontId="11" fillId="0" borderId="0" xfId="0" applyFont="1" applyAlignment="1">
      <alignment horizontal="right"/>
    </xf>
    <xf numFmtId="2" fontId="11" fillId="4"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0" fontId="12" fillId="0" borderId="2" xfId="0" applyFont="1" applyBorder="1" applyAlignment="1">
      <alignment vertical="center" wrapText="1"/>
    </xf>
    <xf numFmtId="2" fontId="12" fillId="0" borderId="2" xfId="0" applyNumberFormat="1" applyFont="1" applyBorder="1" applyAlignment="1">
      <alignment horizontal="center" vertical="center" wrapText="1"/>
    </xf>
    <xf numFmtId="2" fontId="12" fillId="0" borderId="2" xfId="0" applyNumberFormat="1" applyFont="1" applyBorder="1" applyAlignment="1">
      <alignment horizontal="center" vertical="center"/>
    </xf>
    <xf numFmtId="2" fontId="12" fillId="0" borderId="0" xfId="0" applyNumberFormat="1" applyFont="1" applyAlignment="1">
      <alignment horizontal="center" vertical="center"/>
    </xf>
    <xf numFmtId="0" fontId="13" fillId="0" borderId="0" xfId="0" applyFont="1"/>
    <xf numFmtId="164" fontId="14" fillId="0" borderId="0" xfId="0" applyNumberFormat="1" applyFont="1"/>
    <xf numFmtId="3" fontId="14" fillId="0" borderId="0" xfId="0" applyNumberFormat="1" applyFont="1"/>
    <xf numFmtId="0" fontId="10" fillId="0" borderId="0" xfId="0" applyFont="1" applyAlignment="1">
      <alignment horizontal="right" wrapText="1"/>
    </xf>
    <xf numFmtId="3" fontId="14" fillId="0" borderId="0" xfId="0" applyNumberFormat="1" applyFont="1" applyAlignment="1">
      <alignment horizontal="right"/>
    </xf>
    <xf numFmtId="0" fontId="11" fillId="0" borderId="0" xfId="0" applyFont="1" applyAlignment="1">
      <alignment wrapText="1"/>
    </xf>
    <xf numFmtId="0" fontId="10" fillId="7" borderId="0" xfId="0" applyFont="1" applyFill="1" applyAlignment="1">
      <alignment horizontal="left"/>
    </xf>
    <xf numFmtId="0" fontId="12" fillId="0" borderId="3" xfId="0" applyFont="1" applyBorder="1"/>
    <xf numFmtId="0" fontId="12" fillId="0" borderId="4" xfId="0" applyFont="1" applyBorder="1" applyAlignment="1">
      <alignment horizontal="center"/>
    </xf>
    <xf numFmtId="0" fontId="12" fillId="0" borderId="5" xfId="0" applyFont="1" applyBorder="1" applyAlignment="1">
      <alignment horizontal="center"/>
    </xf>
    <xf numFmtId="166" fontId="11" fillId="4" borderId="0" xfId="0" applyNumberFormat="1" applyFont="1" applyFill="1"/>
    <xf numFmtId="0" fontId="12" fillId="0" borderId="0" xfId="0" applyFont="1" applyAlignment="1">
      <alignment horizontal="left"/>
    </xf>
    <xf numFmtId="0" fontId="11" fillId="0" borderId="0" xfId="0" applyFont="1" applyAlignment="1">
      <alignment horizontal="left"/>
    </xf>
    <xf numFmtId="0" fontId="15" fillId="0" borderId="0" xfId="0" applyFont="1" applyAlignment="1">
      <alignment horizontal="left"/>
    </xf>
    <xf numFmtId="2" fontId="11"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xf>
    <xf numFmtId="0" fontId="17" fillId="0" borderId="0" xfId="0" applyFont="1" applyAlignment="1">
      <alignment horizontal="left"/>
    </xf>
    <xf numFmtId="0" fontId="2" fillId="0" borderId="15" xfId="0" applyFont="1" applyBorder="1" applyAlignment="1">
      <alignment wrapText="1"/>
    </xf>
    <xf numFmtId="2" fontId="5" fillId="0" borderId="17" xfId="0" applyNumberFormat="1" applyFont="1" applyBorder="1" applyAlignment="1">
      <alignment horizontal="center" vertical="center" wrapText="1"/>
    </xf>
    <xf numFmtId="0" fontId="5" fillId="0" borderId="12" xfId="0" applyFont="1" applyBorder="1" applyAlignment="1">
      <alignment horizontal="center"/>
    </xf>
    <xf numFmtId="2" fontId="5" fillId="0" borderId="14" xfId="0" applyNumberFormat="1" applyFont="1" applyBorder="1" applyAlignment="1">
      <alignment horizontal="center"/>
    </xf>
    <xf numFmtId="0" fontId="18" fillId="0" borderId="0" xfId="3" applyFont="1"/>
    <xf numFmtId="0" fontId="1" fillId="0" borderId="11" xfId="0" applyFont="1" applyBorder="1" applyAlignment="1">
      <alignment wrapText="1"/>
    </xf>
    <xf numFmtId="0" fontId="1" fillId="5" borderId="13" xfId="0" applyFont="1" applyFill="1" applyBorder="1" applyAlignment="1">
      <alignment wrapText="1"/>
    </xf>
    <xf numFmtId="0" fontId="12" fillId="2" borderId="11" xfId="0" applyFont="1" applyFill="1" applyBorder="1"/>
    <xf numFmtId="0" fontId="12" fillId="0" borderId="11" xfId="0" applyFont="1" applyBorder="1" applyAlignment="1">
      <alignmen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2" fontId="11" fillId="0" borderId="1" xfId="0" applyNumberFormat="1" applyFont="1" applyBorder="1" applyAlignment="1">
      <alignment horizontal="center" vertical="center" wrapText="1"/>
    </xf>
    <xf numFmtId="0" fontId="11" fillId="7" borderId="0" xfId="0" applyFont="1" applyFill="1"/>
    <xf numFmtId="0" fontId="12" fillId="0" borderId="7" xfId="0" applyFont="1" applyBorder="1"/>
    <xf numFmtId="0" fontId="12" fillId="0" borderId="10" xfId="0" applyFont="1" applyBorder="1" applyAlignment="1">
      <alignment horizontal="center"/>
    </xf>
    <xf numFmtId="0" fontId="12" fillId="0" borderId="11" xfId="0" applyFont="1" applyBorder="1"/>
    <xf numFmtId="164" fontId="11" fillId="0" borderId="12" xfId="0" applyNumberFormat="1" applyFont="1" applyBorder="1" applyAlignment="1">
      <alignment horizontal="right"/>
    </xf>
    <xf numFmtId="0" fontId="12" fillId="4" borderId="11" xfId="0" applyFont="1" applyFill="1" applyBorder="1"/>
    <xf numFmtId="2" fontId="11" fillId="0" borderId="12" xfId="0" applyNumberFormat="1" applyFont="1" applyBorder="1"/>
    <xf numFmtId="0" fontId="12" fillId="0" borderId="11" xfId="0" applyFont="1" applyBorder="1" applyAlignment="1">
      <alignment wrapText="1"/>
    </xf>
    <xf numFmtId="0" fontId="11" fillId="0" borderId="12" xfId="0" applyFont="1" applyBorder="1" applyAlignment="1">
      <alignment horizontal="right"/>
    </xf>
    <xf numFmtId="2" fontId="11" fillId="0" borderId="12" xfId="0" applyNumberFormat="1" applyFont="1" applyBorder="1" applyAlignment="1">
      <alignment horizontal="right"/>
    </xf>
    <xf numFmtId="0" fontId="12" fillId="4" borderId="13" xfId="0" applyFont="1" applyFill="1" applyBorder="1"/>
    <xf numFmtId="166" fontId="11" fillId="6" borderId="14" xfId="0" applyNumberFormat="1" applyFont="1" applyFill="1" applyBorder="1"/>
    <xf numFmtId="166" fontId="11" fillId="0" borderId="0" xfId="0" applyNumberFormat="1" applyFont="1"/>
    <xf numFmtId="0" fontId="12" fillId="0" borderId="9" xfId="0" applyFont="1" applyBorder="1" applyAlignment="1">
      <alignment horizontal="center"/>
    </xf>
    <xf numFmtId="166" fontId="11" fillId="0" borderId="1" xfId="0" applyNumberFormat="1" applyFont="1" applyBorder="1"/>
    <xf numFmtId="166" fontId="11" fillId="0" borderId="14" xfId="0" applyNumberFormat="1" applyFont="1" applyBorder="1"/>
    <xf numFmtId="0" fontId="12" fillId="0" borderId="15" xfId="0" applyFont="1" applyBorder="1"/>
    <xf numFmtId="0" fontId="12" fillId="0" borderId="16" xfId="0" applyFont="1" applyBorder="1" applyAlignment="1">
      <alignment horizontal="center"/>
    </xf>
    <xf numFmtId="3" fontId="11" fillId="0" borderId="12" xfId="0" applyNumberFormat="1" applyFont="1" applyBorder="1"/>
    <xf numFmtId="2" fontId="11" fillId="9" borderId="12" xfId="0" applyNumberFormat="1" applyFont="1" applyFill="1" applyBorder="1" applyAlignment="1">
      <alignment horizontal="right"/>
    </xf>
    <xf numFmtId="164" fontId="11" fillId="0" borderId="12" xfId="0" applyNumberFormat="1" applyFont="1" applyBorder="1"/>
    <xf numFmtId="0" fontId="11" fillId="8" borderId="12" xfId="0" applyFont="1" applyFill="1" applyBorder="1"/>
    <xf numFmtId="0" fontId="11" fillId="0" borderId="1" xfId="0" applyFont="1" applyBorder="1"/>
    <xf numFmtId="2" fontId="11" fillId="7" borderId="14" xfId="0" applyNumberFormat="1" applyFont="1" applyFill="1" applyBorder="1"/>
    <xf numFmtId="0" fontId="11" fillId="0" borderId="18" xfId="0" applyFont="1" applyBorder="1"/>
    <xf numFmtId="0" fontId="11" fillId="0" borderId="19" xfId="0" applyFont="1" applyBorder="1" applyAlignment="1">
      <alignment horizontal="center"/>
    </xf>
    <xf numFmtId="3" fontId="11" fillId="0" borderId="19" xfId="0" applyNumberFormat="1" applyFont="1" applyBorder="1"/>
    <xf numFmtId="0" fontId="11" fillId="0" borderId="19" xfId="0" applyFont="1" applyBorder="1"/>
    <xf numFmtId="2" fontId="11" fillId="0" borderId="19" xfId="0" applyNumberFormat="1" applyFont="1" applyBorder="1"/>
    <xf numFmtId="2" fontId="11" fillId="9" borderId="20" xfId="0" applyNumberFormat="1" applyFont="1" applyFill="1" applyBorder="1"/>
    <xf numFmtId="0" fontId="11" fillId="0" borderId="0" xfId="0" applyFont="1" applyAlignment="1">
      <alignment horizontal="right" vertical="center" wrapText="1"/>
    </xf>
    <xf numFmtId="2" fontId="11" fillId="8" borderId="14" xfId="0" applyNumberFormat="1" applyFont="1" applyFill="1" applyBorder="1"/>
    <xf numFmtId="0" fontId="11" fillId="0" borderId="15" xfId="0" applyFont="1" applyBorder="1" applyAlignment="1">
      <alignment wrapText="1"/>
    </xf>
    <xf numFmtId="167" fontId="11" fillId="0" borderId="0" xfId="0" applyNumberFormat="1" applyFont="1"/>
    <xf numFmtId="0" fontId="11" fillId="0" borderId="13" xfId="0" applyFont="1" applyBorder="1" applyAlignment="1">
      <alignment wrapText="1"/>
    </xf>
    <xf numFmtId="0" fontId="11" fillId="0" borderId="17" xfId="0" applyFont="1" applyBorder="1" applyAlignment="1">
      <alignment wrapText="1"/>
    </xf>
    <xf numFmtId="0" fontId="11" fillId="0" borderId="12" xfId="0" applyFont="1" applyBorder="1" applyAlignment="1">
      <alignment wrapText="1"/>
    </xf>
    <xf numFmtId="2" fontId="11" fillId="0" borderId="14" xfId="0" applyNumberFormat="1" applyFont="1" applyBorder="1" applyAlignment="1">
      <alignment wrapText="1"/>
    </xf>
    <xf numFmtId="0" fontId="11" fillId="3" borderId="10" xfId="0" applyFont="1" applyFill="1" applyBorder="1" applyAlignment="1">
      <alignment horizontal="left" wrapText="1" indent="1"/>
    </xf>
    <xf numFmtId="167" fontId="11" fillId="0" borderId="0" xfId="0" applyNumberFormat="1" applyFont="1" applyAlignment="1">
      <alignment horizontal="right"/>
    </xf>
    <xf numFmtId="0" fontId="12" fillId="0" borderId="0" xfId="0" applyFont="1" applyAlignment="1">
      <alignment horizontal="right"/>
    </xf>
    <xf numFmtId="0" fontId="12" fillId="0" borderId="0" xfId="0" applyFont="1" applyAlignment="1">
      <alignment horizontal="right" wrapText="1"/>
    </xf>
    <xf numFmtId="2" fontId="11" fillId="0" borderId="0" xfId="0" applyNumberFormat="1" applyFont="1" applyAlignment="1">
      <alignment horizontal="right" wrapText="1"/>
    </xf>
    <xf numFmtId="166" fontId="11" fillId="0" borderId="0" xfId="0" applyNumberFormat="1" applyFont="1" applyAlignment="1">
      <alignment horizontal="right"/>
    </xf>
    <xf numFmtId="166" fontId="12" fillId="6" borderId="0" xfId="0" applyNumberFormat="1" applyFont="1" applyFill="1" applyAlignment="1">
      <alignment horizontal="right"/>
    </xf>
    <xf numFmtId="0" fontId="11" fillId="0" borderId="0" xfId="0" applyFont="1" applyAlignment="1">
      <alignment horizontal="right" wrapText="1"/>
    </xf>
    <xf numFmtId="2" fontId="11" fillId="6" borderId="0" xfId="0" applyNumberFormat="1" applyFont="1" applyFill="1" applyAlignment="1">
      <alignment horizontal="right"/>
    </xf>
    <xf numFmtId="0" fontId="11" fillId="0" borderId="0" xfId="0" applyFont="1" applyAlignment="1">
      <alignment horizontal="left" vertical="top"/>
    </xf>
    <xf numFmtId="0" fontId="12" fillId="4" borderId="10" xfId="0" applyFont="1" applyFill="1" applyBorder="1" applyAlignment="1">
      <alignment horizontal="center"/>
    </xf>
    <xf numFmtId="166" fontId="11" fillId="4" borderId="14" xfId="0" applyNumberFormat="1" applyFont="1" applyFill="1" applyBorder="1"/>
    <xf numFmtId="4" fontId="11" fillId="2" borderId="12" xfId="0" applyNumberFormat="1" applyFont="1" applyFill="1" applyBorder="1" applyAlignment="1">
      <alignment horizontal="center" vertical="center"/>
    </xf>
    <xf numFmtId="2" fontId="11" fillId="0" borderId="12" xfId="0" applyNumberFormat="1" applyFont="1" applyBorder="1" applyAlignment="1">
      <alignment horizontal="center" vertical="center" wrapText="1"/>
    </xf>
    <xf numFmtId="2" fontId="11" fillId="7" borderId="0" xfId="0" applyNumberFormat="1" applyFont="1" applyFill="1" applyAlignment="1">
      <alignment horizontal="center" vertical="center" wrapText="1"/>
    </xf>
    <xf numFmtId="2" fontId="11" fillId="7"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xf>
    <xf numFmtId="2" fontId="11" fillId="0" borderId="14" xfId="0" applyNumberFormat="1" applyFont="1" applyBorder="1" applyAlignment="1">
      <alignment horizontal="left" vertical="center"/>
    </xf>
    <xf numFmtId="2" fontId="11" fillId="0" borderId="12" xfId="0" applyNumberFormat="1" applyFont="1" applyBorder="1" applyAlignment="1">
      <alignment horizontal="left" vertical="center"/>
    </xf>
    <xf numFmtId="0" fontId="12" fillId="9" borderId="0" xfId="0" applyFont="1" applyFill="1" applyAlignment="1">
      <alignment horizontal="right" vertical="center" wrapText="1"/>
    </xf>
    <xf numFmtId="2" fontId="11" fillId="9" borderId="0" xfId="0" applyNumberFormat="1" applyFont="1" applyFill="1" applyAlignment="1">
      <alignment horizontal="center" vertical="center" wrapText="1"/>
    </xf>
    <xf numFmtId="2" fontId="12" fillId="9" borderId="0" xfId="0" applyNumberFormat="1" applyFont="1" applyFill="1" applyAlignment="1">
      <alignment horizontal="center" vertical="center" wrapText="1"/>
    </xf>
    <xf numFmtId="2" fontId="11" fillId="9" borderId="0" xfId="0" applyNumberFormat="1" applyFont="1" applyFill="1" applyAlignment="1">
      <alignment horizontal="center" vertical="center"/>
    </xf>
    <xf numFmtId="0" fontId="11" fillId="9" borderId="0" xfId="0" applyFont="1" applyFill="1"/>
    <xf numFmtId="2" fontId="11" fillId="0" borderId="21" xfId="0" applyNumberFormat="1" applyFont="1" applyBorder="1" applyAlignment="1">
      <alignment horizontal="center" vertical="center"/>
    </xf>
    <xf numFmtId="0" fontId="0" fillId="0" borderId="21" xfId="0" applyBorder="1"/>
    <xf numFmtId="2" fontId="11" fillId="0" borderId="1" xfId="0" applyNumberFormat="1" applyFont="1" applyBorder="1" applyAlignment="1">
      <alignment horizontal="left"/>
    </xf>
    <xf numFmtId="4" fontId="11" fillId="2" borderId="0" xfId="0" applyNumberFormat="1" applyFont="1" applyFill="1" applyAlignment="1">
      <alignment horizontal="center" vertical="center"/>
    </xf>
    <xf numFmtId="0" fontId="11" fillId="0" borderId="0" xfId="0" applyFont="1" applyAlignment="1">
      <alignment vertical="center"/>
    </xf>
    <xf numFmtId="0" fontId="0" fillId="0" borderId="1" xfId="0" applyBorder="1"/>
    <xf numFmtId="0" fontId="12" fillId="0" borderId="18" xfId="0" applyFont="1" applyBorder="1" applyAlignment="1">
      <alignment horizontal="right" vertical="center" wrapText="1"/>
    </xf>
    <xf numFmtId="2" fontId="11" fillId="10" borderId="19" xfId="0" applyNumberFormat="1" applyFont="1" applyFill="1" applyBorder="1" applyAlignment="1">
      <alignment horizontal="center" vertical="center" wrapText="1"/>
    </xf>
    <xf numFmtId="2" fontId="11" fillId="0" borderId="19" xfId="0" applyNumberFormat="1" applyFont="1" applyBorder="1" applyAlignment="1">
      <alignment horizontal="center" vertical="center" wrapText="1"/>
    </xf>
    <xf numFmtId="2" fontId="11" fillId="0" borderId="19" xfId="0" applyNumberFormat="1" applyFont="1" applyBorder="1" applyAlignment="1">
      <alignment horizontal="center" vertical="center"/>
    </xf>
    <xf numFmtId="0" fontId="0" fillId="0" borderId="19" xfId="0" applyBorder="1"/>
    <xf numFmtId="1" fontId="11" fillId="0" borderId="0" xfId="0" applyNumberFormat="1" applyFont="1"/>
    <xf numFmtId="2" fontId="11" fillId="9" borderId="0" xfId="0" applyNumberFormat="1" applyFont="1" applyFill="1"/>
    <xf numFmtId="3" fontId="11" fillId="0" borderId="0" xfId="0" applyNumberFormat="1" applyFont="1" applyAlignment="1">
      <alignment horizontal="right" indent="1"/>
    </xf>
    <xf numFmtId="3" fontId="11" fillId="0" borderId="0" xfId="0" applyNumberFormat="1" applyFont="1"/>
    <xf numFmtId="2" fontId="11" fillId="9" borderId="0" xfId="0" applyNumberFormat="1" applyFont="1" applyFill="1" applyAlignment="1">
      <alignment horizontal="right"/>
    </xf>
    <xf numFmtId="164" fontId="11" fillId="0" borderId="0" xfId="0" applyNumberFormat="1" applyFont="1"/>
    <xf numFmtId="0" fontId="11" fillId="8" borderId="0" xfId="0" applyFont="1" applyFill="1"/>
    <xf numFmtId="1" fontId="11" fillId="7" borderId="14" xfId="0" applyNumberFormat="1" applyFont="1" applyFill="1" applyBorder="1"/>
    <xf numFmtId="1" fontId="11" fillId="7" borderId="0" xfId="0" applyNumberFormat="1" applyFont="1" applyFill="1"/>
    <xf numFmtId="0" fontId="16" fillId="0" borderId="0" xfId="3"/>
    <xf numFmtId="0" fontId="21" fillId="0" borderId="0" xfId="0" applyFont="1"/>
    <xf numFmtId="165" fontId="12" fillId="0" borderId="0" xfId="0" applyNumberFormat="1" applyFont="1" applyAlignment="1">
      <alignment horizontal="center" vertical="center" wrapText="1"/>
    </xf>
    <xf numFmtId="165" fontId="12" fillId="0" borderId="1" xfId="0" applyNumberFormat="1" applyFont="1" applyBorder="1" applyAlignment="1">
      <alignment horizontal="center"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vertical="center" wrapText="1"/>
    </xf>
    <xf numFmtId="165" fontId="7" fillId="0" borderId="0" xfId="0" applyNumberFormat="1" applyFont="1" applyAlignment="1">
      <alignment horizontal="center" vertical="center" wrapText="1"/>
    </xf>
    <xf numFmtId="165" fontId="7" fillId="0" borderId="1" xfId="0" applyNumberFormat="1" applyFont="1" applyBorder="1" applyAlignment="1">
      <alignment horizontal="center" vertical="center" wrapText="1"/>
    </xf>
    <xf numFmtId="0" fontId="12" fillId="0" borderId="1" xfId="0" applyFont="1" applyBorder="1" applyAlignment="1">
      <alignment horizontal="center" vertical="center"/>
    </xf>
  </cellXfs>
  <cellStyles count="4">
    <cellStyle name="Comma" xfId="1" builtinId="3"/>
    <cellStyle name="Hyperlink" xfId="3" builtinId="8"/>
    <cellStyle name="Normal" xfId="0" builtinId="0"/>
    <cellStyle name="Normal 3" xfId="2" xr:uid="{828E1659-6A55-4241-8B83-6812D903EF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sbsa.nhs.uk/statistical-collections/hormone-replacement-therapy-england/hormone-replacement-therapy-england-april-2015-june-202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igital.nhs.uk/data-and-information/data-tools-and-services/data-services/hospital-episode-statistic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igital.nhs.uk/data-and-information/data-tools-and-services/data-services/hospital-episode-statistic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603C-CD8C-4CBB-A480-8F452E15B532}">
  <dimension ref="A1:A4"/>
  <sheetViews>
    <sheetView tabSelected="1" workbookViewId="0">
      <selection activeCell="A6" sqref="A6"/>
    </sheetView>
  </sheetViews>
  <sheetFormatPr defaultRowHeight="15.75"/>
  <sheetData>
    <row r="1" spans="1:1" ht="21">
      <c r="A1" s="179" t="s">
        <v>251</v>
      </c>
    </row>
    <row r="4" spans="1:1">
      <c r="A4" t="s">
        <v>252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zoomScale="80" zoomScaleNormal="80" workbookViewId="0">
      <selection activeCell="J42" sqref="J42"/>
    </sheetView>
  </sheetViews>
  <sheetFormatPr defaultColWidth="8.75" defaultRowHeight="14.25"/>
  <cols>
    <col min="1" max="1" width="47" style="27" customWidth="1"/>
    <col min="2" max="2" width="25.625" style="27" customWidth="1"/>
    <col min="3" max="3" width="24.5" style="27" customWidth="1"/>
    <col min="4" max="4" width="23" style="27" customWidth="1"/>
    <col min="5" max="5" width="26.125" style="27" customWidth="1"/>
    <col min="6" max="16384" width="8.75" style="27"/>
  </cols>
  <sheetData>
    <row r="1" spans="1:5">
      <c r="A1" s="27" t="s">
        <v>32</v>
      </c>
    </row>
    <row r="3" spans="1:5">
      <c r="A3" s="27" t="s">
        <v>165</v>
      </c>
    </row>
    <row r="4" spans="1:5" ht="15">
      <c r="A4" s="52" t="s">
        <v>163</v>
      </c>
    </row>
    <row r="5" spans="1:5" ht="15">
      <c r="A5" s="28" t="s">
        <v>31</v>
      </c>
      <c r="B5" s="29"/>
      <c r="C5" s="29"/>
      <c r="D5" s="29"/>
      <c r="E5" s="52" t="s">
        <v>171</v>
      </c>
    </row>
    <row r="6" spans="1:5">
      <c r="A6" s="189" t="s">
        <v>11</v>
      </c>
      <c r="B6" s="180" t="s">
        <v>33</v>
      </c>
      <c r="C6" s="180" t="s">
        <v>41</v>
      </c>
      <c r="D6" s="180" t="s">
        <v>12</v>
      </c>
    </row>
    <row r="7" spans="1:5">
      <c r="A7" s="189"/>
      <c r="B7" s="180"/>
      <c r="C7" s="180"/>
      <c r="D7" s="180"/>
    </row>
    <row r="8" spans="1:5" ht="15" thickBot="1">
      <c r="A8" s="190"/>
      <c r="B8" s="181"/>
      <c r="C8" s="181"/>
      <c r="D8" s="181"/>
    </row>
    <row r="9" spans="1:5" ht="15">
      <c r="A9" s="30"/>
      <c r="B9" s="31"/>
      <c r="C9" s="31"/>
      <c r="D9" s="32"/>
    </row>
    <row r="10" spans="1:5" ht="15">
      <c r="A10" s="34" t="s">
        <v>34</v>
      </c>
      <c r="B10" s="31">
        <v>4.7</v>
      </c>
      <c r="C10" s="31">
        <v>1.1000000000000001</v>
      </c>
      <c r="D10" s="32">
        <f>B10*C10</f>
        <v>5.1700000000000008</v>
      </c>
      <c r="E10" s="27" t="s">
        <v>196</v>
      </c>
    </row>
    <row r="11" spans="1:5" ht="15">
      <c r="A11" s="34" t="s">
        <v>35</v>
      </c>
      <c r="B11" s="31">
        <v>8</v>
      </c>
      <c r="C11" s="62">
        <v>1.24</v>
      </c>
      <c r="D11" s="32">
        <f>B11*C11</f>
        <v>9.92</v>
      </c>
      <c r="E11" s="27" t="s">
        <v>197</v>
      </c>
    </row>
    <row r="12" spans="1:5" ht="30">
      <c r="A12" s="34" t="s">
        <v>36</v>
      </c>
      <c r="B12" s="31">
        <v>9.8000000000000007</v>
      </c>
      <c r="C12" s="62">
        <v>1.28</v>
      </c>
      <c r="D12" s="32">
        <f>B12*C12</f>
        <v>12.544</v>
      </c>
      <c r="E12" s="27" t="s">
        <v>198</v>
      </c>
    </row>
    <row r="13" spans="1:5" ht="15">
      <c r="A13" s="34" t="s">
        <v>37</v>
      </c>
      <c r="B13" s="31">
        <v>10.31</v>
      </c>
      <c r="C13" s="62">
        <v>1.28</v>
      </c>
      <c r="D13" s="32">
        <f>B13*C13</f>
        <v>13.196800000000001</v>
      </c>
      <c r="E13" s="27" t="s">
        <v>198</v>
      </c>
    </row>
    <row r="14" spans="1:5" ht="15">
      <c r="A14" s="63" t="s">
        <v>38</v>
      </c>
      <c r="B14" s="64">
        <f>SUM(B10:B13)</f>
        <v>32.81</v>
      </c>
      <c r="C14" s="64"/>
      <c r="D14" s="65">
        <f>SUM(D10:D13)</f>
        <v>40.830800000000004</v>
      </c>
    </row>
    <row r="15" spans="1:5" ht="15">
      <c r="A15" s="30"/>
      <c r="B15" s="62"/>
      <c r="C15" s="62"/>
      <c r="D15" s="66"/>
    </row>
    <row r="17" spans="1:5" ht="15">
      <c r="A17" s="52" t="s">
        <v>141</v>
      </c>
    </row>
    <row r="18" spans="1:5" ht="15">
      <c r="A18" s="28" t="s">
        <v>31</v>
      </c>
      <c r="B18" s="29"/>
      <c r="C18" s="29"/>
      <c r="D18" s="29"/>
    </row>
    <row r="19" spans="1:5">
      <c r="A19" s="189" t="s">
        <v>11</v>
      </c>
      <c r="B19" s="180" t="s">
        <v>13</v>
      </c>
      <c r="C19" s="180" t="s">
        <v>10</v>
      </c>
      <c r="D19" s="180" t="s">
        <v>12</v>
      </c>
    </row>
    <row r="20" spans="1:5">
      <c r="A20" s="189"/>
      <c r="B20" s="180"/>
      <c r="C20" s="180"/>
      <c r="D20" s="180"/>
    </row>
    <row r="21" spans="1:5" ht="15" thickBot="1">
      <c r="A21" s="190"/>
      <c r="B21" s="181"/>
      <c r="C21" s="181"/>
      <c r="D21" s="181"/>
    </row>
    <row r="22" spans="1:5" ht="15">
      <c r="A22" s="30"/>
      <c r="B22" s="31"/>
      <c r="C22" s="31"/>
      <c r="D22" s="32"/>
    </row>
    <row r="23" spans="1:5" ht="15">
      <c r="A23" s="34" t="s">
        <v>34</v>
      </c>
      <c r="B23" s="31">
        <v>4.7</v>
      </c>
      <c r="C23" s="62">
        <v>1.74</v>
      </c>
      <c r="D23" s="32">
        <f>B23*C23</f>
        <v>8.1780000000000008</v>
      </c>
      <c r="E23" s="27" t="s">
        <v>193</v>
      </c>
    </row>
    <row r="24" spans="1:5" ht="15">
      <c r="A24" s="34" t="s">
        <v>35</v>
      </c>
      <c r="B24" s="31">
        <v>8</v>
      </c>
      <c r="C24" s="62">
        <v>2.1800000000000002</v>
      </c>
      <c r="D24" s="32">
        <f>B24*C24</f>
        <v>17.440000000000001</v>
      </c>
      <c r="E24" s="27" t="s">
        <v>194</v>
      </c>
    </row>
    <row r="25" spans="1:5" ht="30">
      <c r="A25" s="34" t="s">
        <v>36</v>
      </c>
      <c r="B25" s="31">
        <v>9.8000000000000007</v>
      </c>
      <c r="C25" s="62">
        <v>1.24</v>
      </c>
      <c r="D25" s="32">
        <f>B25*C25</f>
        <v>12.152000000000001</v>
      </c>
      <c r="E25" s="27" t="s">
        <v>195</v>
      </c>
    </row>
    <row r="26" spans="1:5" ht="15">
      <c r="A26" s="34" t="s">
        <v>37</v>
      </c>
      <c r="B26" s="31">
        <v>10.31</v>
      </c>
      <c r="C26" s="62">
        <v>1.24</v>
      </c>
      <c r="D26" s="32">
        <f>B26*C26</f>
        <v>12.7844</v>
      </c>
      <c r="E26" s="27" t="s">
        <v>195</v>
      </c>
    </row>
    <row r="27" spans="1:5" ht="15">
      <c r="A27" s="63" t="s">
        <v>38</v>
      </c>
      <c r="B27" s="64">
        <f>SUM(B23:B26)</f>
        <v>32.81</v>
      </c>
      <c r="C27" s="64"/>
      <c r="D27" s="65">
        <f>SUM(D23:D26)</f>
        <v>50.554400000000001</v>
      </c>
    </row>
    <row r="28" spans="1:5" ht="15">
      <c r="A28" s="30"/>
      <c r="B28" s="62"/>
      <c r="C28" s="62"/>
      <c r="D28" s="66"/>
    </row>
    <row r="29" spans="1:5" ht="15">
      <c r="A29" s="78" t="s">
        <v>121</v>
      </c>
      <c r="B29" s="67"/>
    </row>
    <row r="30" spans="1:5">
      <c r="A30" s="80" t="s">
        <v>137</v>
      </c>
      <c r="B30" s="27" t="s">
        <v>140</v>
      </c>
    </row>
  </sheetData>
  <mergeCells count="8">
    <mergeCell ref="A6:A8"/>
    <mergeCell ref="B6:B8"/>
    <mergeCell ref="C6:C8"/>
    <mergeCell ref="D6:D8"/>
    <mergeCell ref="A19:A21"/>
    <mergeCell ref="B19:B21"/>
    <mergeCell ref="C19:C21"/>
    <mergeCell ref="D19:D2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5"/>
  <sheetViews>
    <sheetView zoomScale="80" zoomScaleNormal="80" workbookViewId="0">
      <selection activeCell="A2" sqref="A2"/>
    </sheetView>
  </sheetViews>
  <sheetFormatPr defaultColWidth="8.75" defaultRowHeight="14.25"/>
  <cols>
    <col min="1" max="1" width="73.875" style="27" customWidth="1"/>
    <col min="2" max="2" width="27.25" style="60" customWidth="1"/>
    <col min="3" max="3" width="31" style="60" customWidth="1"/>
    <col min="4" max="4" width="17" style="60" customWidth="1"/>
    <col min="5" max="5" width="25.25" style="60" customWidth="1"/>
    <col min="6" max="6" width="14.625" style="60" customWidth="1"/>
    <col min="7" max="7" width="15.625" style="60" customWidth="1"/>
    <col min="8" max="8" width="11.25" style="27" customWidth="1"/>
    <col min="9" max="16384" width="8.75" style="27"/>
  </cols>
  <sheetData>
    <row r="1" spans="1:9" ht="15">
      <c r="A1" s="52"/>
      <c r="B1" s="53" t="s">
        <v>19</v>
      </c>
      <c r="C1" s="53" t="s">
        <v>21</v>
      </c>
      <c r="D1" s="53" t="s">
        <v>3</v>
      </c>
      <c r="E1" s="53" t="s">
        <v>2</v>
      </c>
      <c r="F1" s="53" t="s">
        <v>1</v>
      </c>
      <c r="G1" s="53" t="s">
        <v>0</v>
      </c>
    </row>
    <row r="2" spans="1:9" ht="15">
      <c r="A2" s="52" t="s">
        <v>61</v>
      </c>
      <c r="B2" s="55">
        <v>6.27</v>
      </c>
      <c r="C2" s="55">
        <v>10.81</v>
      </c>
      <c r="D2" s="55">
        <v>13.72</v>
      </c>
      <c r="E2" s="55">
        <v>14.36</v>
      </c>
      <c r="F2" s="55">
        <v>16.329999999999998</v>
      </c>
      <c r="G2" s="55">
        <v>20.48</v>
      </c>
    </row>
    <row r="3" spans="1:9" ht="15">
      <c r="A3" s="52" t="s">
        <v>75</v>
      </c>
      <c r="B3" s="55">
        <v>1731383</v>
      </c>
      <c r="C3" s="55">
        <v>1946293</v>
      </c>
      <c r="D3" s="55">
        <v>1979290</v>
      </c>
      <c r="E3" s="55">
        <v>1759572</v>
      </c>
      <c r="F3" s="55">
        <v>1520031</v>
      </c>
      <c r="G3" s="55">
        <v>1491541</v>
      </c>
    </row>
    <row r="4" spans="1:9" ht="15">
      <c r="A4" s="52" t="s">
        <v>148</v>
      </c>
      <c r="B4" s="55">
        <v>86629</v>
      </c>
      <c r="C4" s="55">
        <v>176194</v>
      </c>
      <c r="D4" s="55">
        <v>257266</v>
      </c>
      <c r="E4" s="55">
        <v>203365</v>
      </c>
      <c r="F4" s="55">
        <v>142962</v>
      </c>
      <c r="G4" s="55">
        <v>120686</v>
      </c>
    </row>
    <row r="5" spans="1:9" ht="15">
      <c r="A5" s="52" t="s">
        <v>167</v>
      </c>
      <c r="B5" s="55">
        <v>9.6000000000000002E-2</v>
      </c>
      <c r="C5" s="55">
        <v>0.5</v>
      </c>
      <c r="D5" s="55">
        <v>1</v>
      </c>
      <c r="E5" s="55">
        <v>1</v>
      </c>
      <c r="F5" s="55">
        <v>1</v>
      </c>
      <c r="G5" s="55">
        <v>1</v>
      </c>
    </row>
    <row r="6" spans="1:9" ht="15">
      <c r="A6" s="52" t="s">
        <v>66</v>
      </c>
      <c r="B6" s="55">
        <f>B4/(B3*B5)</f>
        <v>0.5211934139740696</v>
      </c>
      <c r="C6" s="55">
        <f>C4/(C3*C5)</f>
        <v>0.18105598694543937</v>
      </c>
      <c r="D6" s="55">
        <f>D4/(D3*D5)</f>
        <v>0.12997893183919487</v>
      </c>
      <c r="E6" s="55">
        <f t="shared" ref="E6:G6" si="0">E4/(E3*E5)</f>
        <v>0.1155764015340094</v>
      </c>
      <c r="F6" s="55">
        <f t="shared" si="0"/>
        <v>9.4052029202036008E-2</v>
      </c>
      <c r="G6" s="55">
        <f t="shared" si="0"/>
        <v>8.0913632276953834E-2</v>
      </c>
    </row>
    <row r="7" spans="1:9" ht="15">
      <c r="A7" s="52"/>
      <c r="B7" s="56"/>
      <c r="C7" s="56"/>
      <c r="D7" s="56"/>
      <c r="E7" s="56"/>
      <c r="F7" s="56"/>
      <c r="G7" s="56"/>
    </row>
    <row r="8" spans="1:9" ht="15">
      <c r="A8" s="52"/>
      <c r="B8" s="56"/>
      <c r="C8" s="56"/>
      <c r="D8" s="56"/>
      <c r="E8" s="56"/>
      <c r="F8" s="56"/>
      <c r="G8" s="56"/>
    </row>
    <row r="9" spans="1:9">
      <c r="B9" s="56"/>
      <c r="C9" s="56"/>
      <c r="D9" s="56"/>
      <c r="E9" s="56"/>
      <c r="F9" s="56"/>
      <c r="G9" s="56"/>
    </row>
    <row r="10" spans="1:9">
      <c r="B10" s="56"/>
      <c r="C10" s="56"/>
      <c r="D10" s="56"/>
      <c r="E10" s="56"/>
      <c r="F10" s="56"/>
      <c r="G10" s="56"/>
    </row>
    <row r="11" spans="1:9" ht="45">
      <c r="A11" s="59" t="s">
        <v>170</v>
      </c>
      <c r="B11" s="60">
        <v>1.8</v>
      </c>
    </row>
    <row r="12" spans="1:9" ht="15">
      <c r="A12" s="52"/>
    </row>
    <row r="14" spans="1:9" ht="15">
      <c r="A14" s="52" t="s">
        <v>40</v>
      </c>
      <c r="B14" s="60" t="s">
        <v>70</v>
      </c>
      <c r="C14" s="60" t="s">
        <v>24</v>
      </c>
      <c r="D14" s="60" t="s">
        <v>25</v>
      </c>
      <c r="E14" s="60" t="s">
        <v>26</v>
      </c>
      <c r="F14" s="60" t="s">
        <v>27</v>
      </c>
      <c r="G14" s="60" t="s">
        <v>28</v>
      </c>
      <c r="H14" s="27" t="s">
        <v>30</v>
      </c>
      <c r="I14" s="27" t="s">
        <v>29</v>
      </c>
    </row>
    <row r="15" spans="1:9">
      <c r="A15" s="27" t="s">
        <v>20</v>
      </c>
      <c r="B15" s="56">
        <v>0.91</v>
      </c>
      <c r="C15" s="56">
        <v>0.84</v>
      </c>
      <c r="D15" s="56">
        <v>1</v>
      </c>
      <c r="E15" s="56">
        <f>LN(B15)</f>
        <v>-9.431067947124129E-2</v>
      </c>
      <c r="F15" s="56">
        <f>(LN(D15)-LN(C15))/(2*1.96)</f>
        <v>4.4477904883871891E-2</v>
      </c>
      <c r="G15" s="135">
        <f>F15^2</f>
        <v>1.9782840228587551E-3</v>
      </c>
      <c r="H15" s="129">
        <f>1/G15</f>
        <v>505.48858932547608</v>
      </c>
      <c r="I15" s="48">
        <f>H15/H20</f>
        <v>2.9789209473535961E-2</v>
      </c>
    </row>
    <row r="16" spans="1:9">
      <c r="A16" s="27" t="s">
        <v>19</v>
      </c>
      <c r="B16" s="56">
        <v>1</v>
      </c>
      <c r="C16" s="56">
        <v>0.96</v>
      </c>
      <c r="D16" s="56">
        <v>1.05</v>
      </c>
      <c r="E16" s="56">
        <f t="shared" ref="E16:E19" si="1">LN(B16)</f>
        <v>0</v>
      </c>
      <c r="F16" s="56">
        <f t="shared" ref="F16:F19" si="2">(LN(D16)-LN(C16))/(2*1.96)</f>
        <v>2.286024456369572E-2</v>
      </c>
      <c r="G16" s="135">
        <f t="shared" ref="G16:G19" si="3">F16^2</f>
        <v>5.2259078151197977E-4</v>
      </c>
      <c r="H16" s="129">
        <f t="shared" ref="H16:H19" si="4">1/G16</f>
        <v>1913.5431304524</v>
      </c>
      <c r="I16" s="48">
        <f>H16/H20</f>
        <v>0.11276799981925804</v>
      </c>
    </row>
    <row r="17" spans="1:9">
      <c r="A17" s="27" t="s">
        <v>21</v>
      </c>
      <c r="B17" s="56">
        <v>1.18</v>
      </c>
      <c r="C17" s="56">
        <v>1.1499999999999999</v>
      </c>
      <c r="D17" s="56">
        <v>1.22</v>
      </c>
      <c r="E17" s="56">
        <f t="shared" si="1"/>
        <v>0.16551443847757333</v>
      </c>
      <c r="F17" s="56">
        <f t="shared" si="2"/>
        <v>1.5073703155613915E-2</v>
      </c>
      <c r="G17" s="135">
        <f t="shared" si="3"/>
        <v>2.2721652682356489E-4</v>
      </c>
      <c r="H17" s="129">
        <f t="shared" si="4"/>
        <v>4401.0883098151853</v>
      </c>
      <c r="I17" s="48">
        <f>H17/H20</f>
        <v>0.25936281123093463</v>
      </c>
    </row>
    <row r="18" spans="1:9">
      <c r="A18" s="27" t="s">
        <v>3</v>
      </c>
      <c r="B18" s="56">
        <v>1.37</v>
      </c>
      <c r="C18" s="56">
        <v>1.34</v>
      </c>
      <c r="D18" s="56">
        <v>1.4</v>
      </c>
      <c r="E18" s="56">
        <f t="shared" si="1"/>
        <v>0.3148107398400336</v>
      </c>
      <c r="F18" s="56">
        <f t="shared" si="2"/>
        <v>1.1174138433263483E-2</v>
      </c>
      <c r="G18" s="135">
        <f t="shared" si="3"/>
        <v>1.2486136972573607E-4</v>
      </c>
      <c r="H18" s="129">
        <f t="shared" si="4"/>
        <v>8008.8821882744642</v>
      </c>
      <c r="I18" s="48">
        <f>H18/H20</f>
        <v>0.47197557807138218</v>
      </c>
    </row>
    <row r="19" spans="1:9">
      <c r="A19" s="27" t="s">
        <v>22</v>
      </c>
      <c r="B19" s="56">
        <v>1.53</v>
      </c>
      <c r="C19" s="56">
        <v>1.47</v>
      </c>
      <c r="D19" s="56">
        <v>1.6</v>
      </c>
      <c r="E19" s="56">
        <f t="shared" si="1"/>
        <v>0.42526773540434409</v>
      </c>
      <c r="F19" s="56">
        <f t="shared" si="2"/>
        <v>2.1617660320176212E-2</v>
      </c>
      <c r="G19" s="135">
        <f t="shared" si="3"/>
        <v>4.6732323771852109E-4</v>
      </c>
      <c r="H19" s="129">
        <f t="shared" si="4"/>
        <v>2139.8465115537902</v>
      </c>
      <c r="I19" s="48">
        <f>H19/H20</f>
        <v>0.12610440140488924</v>
      </c>
    </row>
    <row r="20" spans="1:9">
      <c r="B20" s="56"/>
      <c r="C20" s="56"/>
      <c r="D20" s="56"/>
      <c r="E20" s="56"/>
      <c r="F20" s="56"/>
      <c r="G20" s="135"/>
      <c r="H20" s="129">
        <f>SUM(H15:H19)</f>
        <v>16968.848729421316</v>
      </c>
      <c r="I20" s="48">
        <f>SUM(I15:I19)</f>
        <v>1.0000000000000002</v>
      </c>
    </row>
    <row r="21" spans="1:9">
      <c r="B21" s="56"/>
      <c r="C21" s="56"/>
      <c r="D21" s="56"/>
      <c r="E21" s="56"/>
      <c r="F21" s="56"/>
      <c r="G21" s="135"/>
      <c r="H21" s="129"/>
      <c r="I21" s="48"/>
    </row>
    <row r="22" spans="1:9">
      <c r="A22" s="27" t="s">
        <v>71</v>
      </c>
      <c r="B22" s="56">
        <f>EXP((E15*I15+E16*I16)/(I15+I16))</f>
        <v>0.98048546197825681</v>
      </c>
      <c r="C22" s="56"/>
      <c r="D22" s="56"/>
      <c r="E22" s="56"/>
      <c r="F22" s="56"/>
      <c r="G22" s="56"/>
      <c r="H22" s="48"/>
      <c r="I22" s="48"/>
    </row>
    <row r="23" spans="1:9">
      <c r="A23" s="27" t="s">
        <v>72</v>
      </c>
      <c r="B23" s="56">
        <f>EXP((I17*E17+I18*E18+I19*E19)/(I17+I18+I19))</f>
        <v>1.3309539358560964</v>
      </c>
      <c r="C23" s="56"/>
      <c r="D23" s="56"/>
    </row>
    <row r="24" spans="1:9">
      <c r="A24" s="27" t="s">
        <v>73</v>
      </c>
      <c r="B24" s="56">
        <f>EXP((I18*E18+I19*E19)/(I18+I19))</f>
        <v>1.4022813647125096</v>
      </c>
      <c r="C24" s="56"/>
      <c r="D24" s="56"/>
    </row>
    <row r="25" spans="1:9">
      <c r="B25" s="56"/>
      <c r="C25" s="56"/>
      <c r="D25" s="56"/>
      <c r="E25" s="56"/>
      <c r="F25" s="56"/>
      <c r="G25" s="56"/>
      <c r="H25" s="48"/>
      <c r="I25" s="48"/>
    </row>
    <row r="27" spans="1:9" ht="45">
      <c r="A27" s="52" t="s">
        <v>51</v>
      </c>
      <c r="C27" s="136"/>
      <c r="E27" s="137" t="s">
        <v>52</v>
      </c>
    </row>
    <row r="28" spans="1:9">
      <c r="A28" s="27" t="s">
        <v>20</v>
      </c>
      <c r="B28" s="60">
        <v>0.02</v>
      </c>
      <c r="D28" s="60" t="s">
        <v>20</v>
      </c>
      <c r="E28" s="56">
        <v>0.44</v>
      </c>
    </row>
    <row r="29" spans="1:9">
      <c r="A29" s="27" t="s">
        <v>19</v>
      </c>
      <c r="B29" s="60">
        <v>7.5999999999999998E-2</v>
      </c>
      <c r="D29" s="60" t="s">
        <v>19</v>
      </c>
      <c r="E29" s="56">
        <v>0.44</v>
      </c>
    </row>
    <row r="30" spans="1:9">
      <c r="A30" s="27" t="s">
        <v>21</v>
      </c>
      <c r="B30" s="60">
        <v>0.40400000000000003</v>
      </c>
      <c r="D30" s="60" t="s">
        <v>21</v>
      </c>
      <c r="E30" s="56">
        <v>0.15</v>
      </c>
    </row>
    <row r="31" spans="1:9">
      <c r="A31" s="27" t="s">
        <v>48</v>
      </c>
      <c r="B31" s="60">
        <v>0.5</v>
      </c>
      <c r="D31" s="60" t="s">
        <v>3</v>
      </c>
      <c r="E31" s="56">
        <v>0.11</v>
      </c>
    </row>
    <row r="32" spans="1:9">
      <c r="D32" s="60" t="s">
        <v>2</v>
      </c>
      <c r="E32" s="56">
        <v>0.1</v>
      </c>
    </row>
    <row r="33" spans="1:7">
      <c r="D33" s="60" t="s">
        <v>1</v>
      </c>
      <c r="E33" s="56">
        <v>0.08</v>
      </c>
    </row>
    <row r="34" spans="1:7">
      <c r="D34" s="60" t="s">
        <v>0</v>
      </c>
      <c r="E34" s="56">
        <v>7.0000000000000007E-2</v>
      </c>
    </row>
    <row r="37" spans="1:7" ht="30">
      <c r="A37" s="59" t="s">
        <v>39</v>
      </c>
      <c r="B37" s="56"/>
      <c r="C37" s="56"/>
      <c r="D37" s="56"/>
    </row>
    <row r="38" spans="1:7">
      <c r="A38" s="27" t="s">
        <v>20</v>
      </c>
      <c r="B38" s="56">
        <f>B15/B16</f>
        <v>0.91</v>
      </c>
      <c r="C38" s="56"/>
      <c r="E38" s="56"/>
    </row>
    <row r="39" spans="1:7">
      <c r="A39" s="27" t="s">
        <v>19</v>
      </c>
      <c r="B39" s="56">
        <v>1</v>
      </c>
      <c r="C39" s="56"/>
      <c r="E39" s="56"/>
    </row>
    <row r="40" spans="1:7">
      <c r="A40" s="27" t="s">
        <v>21</v>
      </c>
      <c r="B40" s="56">
        <f>B17/B16</f>
        <v>1.18</v>
      </c>
      <c r="C40" s="56"/>
      <c r="E40" s="56"/>
    </row>
    <row r="41" spans="1:7">
      <c r="A41" s="27" t="s">
        <v>23</v>
      </c>
      <c r="B41" s="56">
        <v>1.33</v>
      </c>
      <c r="C41" s="56"/>
      <c r="E41" s="56"/>
    </row>
    <row r="42" spans="1:7">
      <c r="A42" s="27" t="s">
        <v>48</v>
      </c>
      <c r="B42" s="56">
        <v>1.4</v>
      </c>
      <c r="C42" s="56"/>
      <c r="E42" s="56"/>
    </row>
    <row r="44" spans="1:7" ht="15">
      <c r="A44" s="52" t="s">
        <v>74</v>
      </c>
    </row>
    <row r="45" spans="1:7">
      <c r="B45" s="56"/>
      <c r="C45" s="56"/>
      <c r="D45" s="56"/>
      <c r="E45" s="56"/>
      <c r="F45" s="56"/>
      <c r="G45" s="56"/>
    </row>
    <row r="46" spans="1:7">
      <c r="A46" s="27" t="s">
        <v>53</v>
      </c>
      <c r="D46" s="56"/>
      <c r="E46" s="56"/>
      <c r="F46" s="56"/>
      <c r="G46" s="56"/>
    </row>
    <row r="47" spans="1:7">
      <c r="B47" s="56"/>
      <c r="C47" s="56"/>
      <c r="D47" s="56"/>
      <c r="E47" s="56"/>
      <c r="F47" s="56"/>
      <c r="G47" s="56"/>
    </row>
    <row r="48" spans="1:7" ht="28.5">
      <c r="B48" s="138" t="s">
        <v>132</v>
      </c>
      <c r="C48" s="56" t="s">
        <v>56</v>
      </c>
      <c r="D48" s="56" t="s">
        <v>55</v>
      </c>
      <c r="E48" s="56" t="s">
        <v>57</v>
      </c>
      <c r="F48" s="56"/>
      <c r="G48" s="56"/>
    </row>
    <row r="49" spans="1:7">
      <c r="A49" s="27" t="s">
        <v>42</v>
      </c>
      <c r="B49" s="139">
        <f>B28*(1-F28)</f>
        <v>0.02</v>
      </c>
      <c r="C49" s="139">
        <v>0.48</v>
      </c>
      <c r="D49" s="139">
        <v>1</v>
      </c>
      <c r="E49" s="139">
        <v>0.91</v>
      </c>
      <c r="F49" s="56">
        <f>B49*C49*D49*E49</f>
        <v>8.735999999999999E-3</v>
      </c>
      <c r="G49" s="56"/>
    </row>
    <row r="50" spans="1:7">
      <c r="A50" s="27" t="s">
        <v>43</v>
      </c>
      <c r="B50" s="139">
        <f>B29*(1-F29)</f>
        <v>7.5999999999999998E-2</v>
      </c>
      <c r="C50" s="139">
        <v>0.48</v>
      </c>
      <c r="D50" s="139">
        <v>1</v>
      </c>
      <c r="E50" s="139">
        <v>1</v>
      </c>
      <c r="F50" s="56">
        <f t="shared" ref="F50:F53" si="5">B50*C50*D50*E50</f>
        <v>3.6479999999999999E-2</v>
      </c>
      <c r="G50" s="56"/>
    </row>
    <row r="51" spans="1:7">
      <c r="A51" s="27" t="s">
        <v>54</v>
      </c>
      <c r="B51" s="139">
        <v>0.90400000000000003</v>
      </c>
      <c r="C51" s="139">
        <v>1</v>
      </c>
      <c r="D51" s="139">
        <v>1</v>
      </c>
      <c r="E51" s="139">
        <v>1.33</v>
      </c>
      <c r="F51" s="56">
        <f t="shared" si="5"/>
        <v>1.2023200000000001</v>
      </c>
      <c r="G51" s="56"/>
    </row>
    <row r="52" spans="1:7">
      <c r="A52" s="27" t="s">
        <v>44</v>
      </c>
      <c r="B52" s="139">
        <v>0.02</v>
      </c>
      <c r="C52" s="139">
        <v>0.52</v>
      </c>
      <c r="D52" s="139">
        <v>1.8</v>
      </c>
      <c r="E52" s="139">
        <v>0.91</v>
      </c>
      <c r="F52" s="56">
        <f t="shared" si="5"/>
        <v>1.7035200000000004E-2</v>
      </c>
      <c r="G52" s="56"/>
    </row>
    <row r="53" spans="1:7">
      <c r="A53" s="27" t="s">
        <v>45</v>
      </c>
      <c r="B53" s="139">
        <v>7.5999999999999998E-2</v>
      </c>
      <c r="C53" s="139">
        <v>0.52</v>
      </c>
      <c r="D53" s="139">
        <v>1.8</v>
      </c>
      <c r="E53" s="139">
        <v>1</v>
      </c>
      <c r="F53" s="56">
        <f t="shared" si="5"/>
        <v>7.1136000000000005E-2</v>
      </c>
      <c r="G53" s="56"/>
    </row>
    <row r="54" spans="1:7">
      <c r="B54" s="139"/>
      <c r="C54" s="139"/>
      <c r="D54" s="139"/>
      <c r="E54" s="139"/>
      <c r="F54" s="56"/>
      <c r="G54" s="56"/>
    </row>
    <row r="55" spans="1:7" ht="15">
      <c r="A55" s="52" t="s">
        <v>130</v>
      </c>
      <c r="B55" s="140">
        <f>B2/(SUM(F49:F53))</f>
        <v>4.6941425486064601</v>
      </c>
      <c r="D55" s="139"/>
      <c r="E55" s="139"/>
      <c r="F55" s="56"/>
      <c r="G55" s="56"/>
    </row>
    <row r="56" spans="1:7">
      <c r="A56" s="27" t="s">
        <v>67</v>
      </c>
      <c r="B56" s="139">
        <f>(SUM(F49:F50)*B55)/(B49*C49+B50*C50)</f>
        <v>4.6061273758200896</v>
      </c>
      <c r="C56" s="56"/>
      <c r="D56" s="56"/>
      <c r="E56" s="56"/>
      <c r="F56" s="56"/>
      <c r="G56" s="56"/>
    </row>
    <row r="57" spans="1:7">
      <c r="B57" s="56"/>
      <c r="C57" s="56"/>
      <c r="D57" s="56"/>
      <c r="E57" s="56"/>
      <c r="F57" s="56"/>
      <c r="G57" s="56"/>
    </row>
    <row r="58" spans="1:7">
      <c r="A58" s="27" t="s">
        <v>58</v>
      </c>
      <c r="D58" s="56"/>
    </row>
    <row r="59" spans="1:7">
      <c r="B59" s="56"/>
      <c r="C59" s="56"/>
      <c r="D59" s="56"/>
    </row>
    <row r="60" spans="1:7" ht="28.5">
      <c r="B60" s="138" t="s">
        <v>132</v>
      </c>
      <c r="C60" s="56" t="s">
        <v>56</v>
      </c>
      <c r="D60" s="56" t="s">
        <v>55</v>
      </c>
      <c r="E60" s="56" t="s">
        <v>57</v>
      </c>
    </row>
    <row r="61" spans="1:7">
      <c r="A61" s="27" t="s">
        <v>42</v>
      </c>
      <c r="B61" s="139">
        <v>0.02</v>
      </c>
      <c r="C61" s="139">
        <v>0.82</v>
      </c>
      <c r="D61" s="139">
        <v>1</v>
      </c>
      <c r="E61" s="139">
        <v>0.91</v>
      </c>
      <c r="F61" s="139">
        <f>B61*C61*D61*E61</f>
        <v>1.4923999999999998E-2</v>
      </c>
    </row>
    <row r="62" spans="1:7">
      <c r="A62" s="27" t="s">
        <v>43</v>
      </c>
      <c r="B62" s="139">
        <v>7.5999999999999998E-2</v>
      </c>
      <c r="C62" s="139">
        <v>0.82</v>
      </c>
      <c r="D62" s="139">
        <v>1</v>
      </c>
      <c r="E62" s="139">
        <v>1</v>
      </c>
      <c r="F62" s="139">
        <f t="shared" ref="F62:F67" si="6">B62*C62*D62*E62</f>
        <v>6.2319999999999993E-2</v>
      </c>
    </row>
    <row r="63" spans="1:7">
      <c r="A63" s="27" t="s">
        <v>46</v>
      </c>
      <c r="B63" s="139">
        <v>0.40400000000000003</v>
      </c>
      <c r="C63" s="139">
        <v>0.82</v>
      </c>
      <c r="D63" s="139">
        <v>1</v>
      </c>
      <c r="E63" s="139">
        <v>1.18</v>
      </c>
      <c r="F63" s="139">
        <f t="shared" si="6"/>
        <v>0.39091039999999999</v>
      </c>
    </row>
    <row r="64" spans="1:7">
      <c r="A64" s="27" t="s">
        <v>47</v>
      </c>
      <c r="B64" s="139">
        <v>0.5</v>
      </c>
      <c r="C64" s="139">
        <v>1</v>
      </c>
      <c r="D64" s="139">
        <v>1</v>
      </c>
      <c r="E64" s="139">
        <v>1.4</v>
      </c>
      <c r="F64" s="139">
        <f t="shared" si="6"/>
        <v>0.7</v>
      </c>
    </row>
    <row r="65" spans="1:6">
      <c r="A65" s="27" t="s">
        <v>44</v>
      </c>
      <c r="B65" s="139">
        <v>0.02</v>
      </c>
      <c r="C65" s="139">
        <v>0.18</v>
      </c>
      <c r="D65" s="139">
        <v>1.8</v>
      </c>
      <c r="E65" s="139">
        <v>0.91</v>
      </c>
      <c r="F65" s="139">
        <f t="shared" si="6"/>
        <v>5.8967999999999998E-3</v>
      </c>
    </row>
    <row r="66" spans="1:6">
      <c r="A66" s="27" t="s">
        <v>45</v>
      </c>
      <c r="B66" s="139">
        <v>7.5999999999999998E-2</v>
      </c>
      <c r="C66" s="139">
        <v>0.18</v>
      </c>
      <c r="D66" s="139">
        <v>1.8</v>
      </c>
      <c r="E66" s="139">
        <v>1</v>
      </c>
      <c r="F66" s="139">
        <f t="shared" si="6"/>
        <v>2.4624E-2</v>
      </c>
    </row>
    <row r="67" spans="1:6">
      <c r="A67" s="27" t="s">
        <v>49</v>
      </c>
      <c r="B67" s="139">
        <v>0.40400000000000003</v>
      </c>
      <c r="C67" s="139">
        <v>0.18</v>
      </c>
      <c r="D67" s="139">
        <v>1.8</v>
      </c>
      <c r="E67" s="139">
        <v>1.18</v>
      </c>
      <c r="F67" s="139">
        <f t="shared" si="6"/>
        <v>0.15445728</v>
      </c>
    </row>
    <row r="68" spans="1:6">
      <c r="B68" s="139"/>
      <c r="F68" s="139">
        <f>SUM(F61:F67)</f>
        <v>1.3531324799999997</v>
      </c>
    </row>
    <row r="69" spans="1:6" ht="15">
      <c r="A69" s="52" t="s">
        <v>130</v>
      </c>
      <c r="B69" s="140">
        <f>C2/F68</f>
        <v>7.9888703876208798</v>
      </c>
    </row>
    <row r="70" spans="1:6">
      <c r="A70" s="27" t="s">
        <v>67</v>
      </c>
      <c r="B70" s="139">
        <f>(SUM(F61:F63)*B69)/(B61*C61+B62*C62+B63*C63)</f>
        <v>9.1220117634010247</v>
      </c>
    </row>
    <row r="71" spans="1:6">
      <c r="D71" s="56"/>
    </row>
    <row r="72" spans="1:6">
      <c r="A72" s="27" t="s">
        <v>59</v>
      </c>
      <c r="D72" s="56"/>
    </row>
    <row r="73" spans="1:6">
      <c r="B73" s="56"/>
      <c r="C73" s="56"/>
      <c r="D73" s="56"/>
    </row>
    <row r="74" spans="1:6" ht="28.5">
      <c r="B74" s="138" t="s">
        <v>132</v>
      </c>
      <c r="C74" s="56" t="s">
        <v>56</v>
      </c>
      <c r="D74" s="56" t="s">
        <v>55</v>
      </c>
      <c r="E74" s="56" t="s">
        <v>57</v>
      </c>
    </row>
    <row r="75" spans="1:6">
      <c r="A75" s="27" t="s">
        <v>42</v>
      </c>
      <c r="B75" s="139">
        <v>0.02</v>
      </c>
      <c r="C75" s="139">
        <v>0.87</v>
      </c>
      <c r="D75" s="139">
        <v>1</v>
      </c>
      <c r="E75" s="139">
        <v>0.91</v>
      </c>
      <c r="F75" s="139">
        <f>B75*C75*D75*E75</f>
        <v>1.5834000000000001E-2</v>
      </c>
    </row>
    <row r="76" spans="1:6">
      <c r="A76" s="27" t="s">
        <v>43</v>
      </c>
      <c r="B76" s="139">
        <v>7.5999999999999998E-2</v>
      </c>
      <c r="C76" s="139">
        <v>0.87</v>
      </c>
      <c r="D76" s="139">
        <v>1</v>
      </c>
      <c r="E76" s="139">
        <v>1</v>
      </c>
      <c r="F76" s="139">
        <f t="shared" ref="F76:F81" si="7">B76*C76*D76*E76</f>
        <v>6.6119999999999998E-2</v>
      </c>
    </row>
    <row r="77" spans="1:6">
      <c r="A77" s="27" t="s">
        <v>46</v>
      </c>
      <c r="B77" s="139">
        <v>0.40400000000000003</v>
      </c>
      <c r="C77" s="139">
        <v>0.87</v>
      </c>
      <c r="D77" s="139">
        <v>1</v>
      </c>
      <c r="E77" s="139">
        <v>1.18</v>
      </c>
      <c r="F77" s="139">
        <f t="shared" si="7"/>
        <v>0.41474640000000002</v>
      </c>
    </row>
    <row r="78" spans="1:6">
      <c r="A78" s="27" t="s">
        <v>47</v>
      </c>
      <c r="B78" s="139">
        <v>0.5</v>
      </c>
      <c r="C78" s="139">
        <v>0.87</v>
      </c>
      <c r="D78" s="139">
        <v>1</v>
      </c>
      <c r="E78" s="139">
        <v>1.4</v>
      </c>
      <c r="F78" s="139">
        <f t="shared" si="7"/>
        <v>0.60899999999999999</v>
      </c>
    </row>
    <row r="79" spans="1:6">
      <c r="A79" s="27" t="s">
        <v>44</v>
      </c>
      <c r="B79" s="139">
        <v>0.02</v>
      </c>
      <c r="C79" s="139">
        <v>0.13</v>
      </c>
      <c r="D79" s="139">
        <v>1.8</v>
      </c>
      <c r="E79" s="139">
        <v>0.91</v>
      </c>
      <c r="F79" s="139">
        <f t="shared" si="7"/>
        <v>4.258800000000001E-3</v>
      </c>
    </row>
    <row r="80" spans="1:6">
      <c r="A80" s="27" t="s">
        <v>45</v>
      </c>
      <c r="B80" s="139">
        <v>7.5999999999999998E-2</v>
      </c>
      <c r="C80" s="139">
        <v>0.13</v>
      </c>
      <c r="D80" s="139">
        <v>1.8</v>
      </c>
      <c r="E80" s="139">
        <v>1</v>
      </c>
      <c r="F80" s="139">
        <f t="shared" si="7"/>
        <v>1.7784000000000001E-2</v>
      </c>
    </row>
    <row r="81" spans="1:6">
      <c r="A81" s="27" t="s">
        <v>49</v>
      </c>
      <c r="B81" s="139">
        <v>0.40400000000000003</v>
      </c>
      <c r="C81" s="139">
        <v>0.13</v>
      </c>
      <c r="D81" s="139">
        <v>1.8</v>
      </c>
      <c r="E81" s="139">
        <v>1.18</v>
      </c>
      <c r="F81" s="139">
        <f t="shared" si="7"/>
        <v>0.11155248000000001</v>
      </c>
    </row>
    <row r="82" spans="1:6">
      <c r="A82" s="27" t="s">
        <v>50</v>
      </c>
      <c r="B82" s="139">
        <v>0.5</v>
      </c>
      <c r="C82" s="139">
        <v>0.13</v>
      </c>
      <c r="D82" s="139">
        <v>1.8</v>
      </c>
      <c r="E82" s="139">
        <v>1.4</v>
      </c>
      <c r="F82" s="139">
        <f>B82*C82*D82*E82</f>
        <v>0.1638</v>
      </c>
    </row>
    <row r="83" spans="1:6">
      <c r="B83" s="139"/>
      <c r="C83" s="60">
        <f>B75*C75+B76*C76+B77*C77+B78*C78+B79*C79+B80*C80+B81*C81+B82*C82</f>
        <v>1</v>
      </c>
      <c r="F83" s="139">
        <f>SUM(F75:F82)</f>
        <v>1.4030956799999998</v>
      </c>
    </row>
    <row r="84" spans="1:6" ht="15">
      <c r="A84" s="52" t="s">
        <v>130</v>
      </c>
      <c r="B84" s="140">
        <f>D2/F83</f>
        <v>9.778378050454835</v>
      </c>
    </row>
    <row r="85" spans="1:6">
      <c r="A85" s="27" t="s">
        <v>67</v>
      </c>
      <c r="B85" s="139">
        <f>(SUM(F75:F78)*B84)/(B75*C75+B76*C76+B77*C77+B78*C78)</f>
        <v>12.427536231884059</v>
      </c>
    </row>
    <row r="87" spans="1:6">
      <c r="A87" s="27" t="s">
        <v>60</v>
      </c>
      <c r="D87" s="56"/>
    </row>
    <row r="88" spans="1:6">
      <c r="B88" s="56"/>
      <c r="C88" s="56"/>
      <c r="D88" s="56"/>
    </row>
    <row r="89" spans="1:6" ht="28.5">
      <c r="B89" s="138" t="s">
        <v>132</v>
      </c>
      <c r="C89" s="56" t="s">
        <v>56</v>
      </c>
      <c r="D89" s="56" t="s">
        <v>55</v>
      </c>
      <c r="E89" s="56" t="s">
        <v>57</v>
      </c>
    </row>
    <row r="90" spans="1:6">
      <c r="A90" s="27" t="s">
        <v>42</v>
      </c>
      <c r="B90" s="139">
        <v>0.02</v>
      </c>
      <c r="C90" s="139">
        <v>0.88</v>
      </c>
      <c r="D90" s="139">
        <v>1</v>
      </c>
      <c r="E90" s="139">
        <v>0.91</v>
      </c>
      <c r="F90" s="139">
        <f>B90*C90*D90*E90</f>
        <v>1.6016000000000002E-2</v>
      </c>
    </row>
    <row r="91" spans="1:6">
      <c r="A91" s="27" t="s">
        <v>43</v>
      </c>
      <c r="B91" s="139">
        <v>7.5999999999999998E-2</v>
      </c>
      <c r="C91" s="139">
        <v>0.88</v>
      </c>
      <c r="D91" s="139">
        <v>1</v>
      </c>
      <c r="E91" s="139">
        <v>1</v>
      </c>
      <c r="F91" s="139">
        <f t="shared" ref="F91:F96" si="8">B91*C91*D91*E91</f>
        <v>6.6879999999999995E-2</v>
      </c>
    </row>
    <row r="92" spans="1:6">
      <c r="A92" s="27" t="s">
        <v>46</v>
      </c>
      <c r="B92" s="139">
        <v>0.40400000000000003</v>
      </c>
      <c r="C92" s="139">
        <v>0.88</v>
      </c>
      <c r="D92" s="139">
        <v>1</v>
      </c>
      <c r="E92" s="139">
        <v>1.18</v>
      </c>
      <c r="F92" s="139">
        <f t="shared" si="8"/>
        <v>0.41951359999999999</v>
      </c>
    </row>
    <row r="93" spans="1:6">
      <c r="A93" s="27" t="s">
        <v>47</v>
      </c>
      <c r="B93" s="139">
        <v>0.5</v>
      </c>
      <c r="C93" s="139">
        <v>0.88</v>
      </c>
      <c r="D93" s="139">
        <v>1</v>
      </c>
      <c r="E93" s="139">
        <v>1.4</v>
      </c>
      <c r="F93" s="139">
        <f t="shared" si="8"/>
        <v>0.61599999999999999</v>
      </c>
    </row>
    <row r="94" spans="1:6">
      <c r="A94" s="27" t="s">
        <v>44</v>
      </c>
      <c r="B94" s="139">
        <v>0.02</v>
      </c>
      <c r="C94" s="139">
        <v>0.12</v>
      </c>
      <c r="D94" s="139">
        <v>1.8</v>
      </c>
      <c r="E94" s="139">
        <v>0.91</v>
      </c>
      <c r="F94" s="139">
        <f t="shared" si="8"/>
        <v>3.9312000000000001E-3</v>
      </c>
    </row>
    <row r="95" spans="1:6">
      <c r="A95" s="27" t="s">
        <v>45</v>
      </c>
      <c r="B95" s="139">
        <v>7.5999999999999998E-2</v>
      </c>
      <c r="C95" s="139">
        <v>0.12</v>
      </c>
      <c r="D95" s="139">
        <v>1.8</v>
      </c>
      <c r="E95" s="139">
        <v>1</v>
      </c>
      <c r="F95" s="139">
        <f t="shared" si="8"/>
        <v>1.6416E-2</v>
      </c>
    </row>
    <row r="96" spans="1:6">
      <c r="A96" s="27" t="s">
        <v>49</v>
      </c>
      <c r="B96" s="139">
        <v>0.40400000000000003</v>
      </c>
      <c r="C96" s="139">
        <v>0.12</v>
      </c>
      <c r="D96" s="139">
        <v>1.8</v>
      </c>
      <c r="E96" s="139">
        <v>1.18</v>
      </c>
      <c r="F96" s="139">
        <f t="shared" si="8"/>
        <v>0.10297152000000001</v>
      </c>
    </row>
    <row r="97" spans="1:8">
      <c r="A97" s="27" t="s">
        <v>50</v>
      </c>
      <c r="B97" s="139">
        <v>0.5</v>
      </c>
      <c r="C97" s="139">
        <v>0.12</v>
      </c>
      <c r="D97" s="60">
        <v>1.8</v>
      </c>
      <c r="E97" s="139">
        <v>1.4</v>
      </c>
      <c r="F97" s="139">
        <f>B97*C97*D97*E97</f>
        <v>0.1512</v>
      </c>
    </row>
    <row r="98" spans="1:8">
      <c r="B98" s="139"/>
      <c r="C98" s="60">
        <f>B90*C90+B91*C91+B92*C92+B93*C93+B94*C94+B95*C95+B96*C96+B97*C97</f>
        <v>1</v>
      </c>
      <c r="F98" s="139">
        <f>SUM(F90:F97)</f>
        <v>1.3929283200000002</v>
      </c>
    </row>
    <row r="99" spans="1:8" ht="15">
      <c r="A99" s="52" t="s">
        <v>130</v>
      </c>
      <c r="B99" s="140">
        <f>E2/F98</f>
        <v>10.309216772906158</v>
      </c>
    </row>
    <row r="100" spans="1:8">
      <c r="A100" s="27" t="s">
        <v>62</v>
      </c>
      <c r="B100" s="139">
        <f>(SUM(F90:F93)*B99)/(B90*C90+B91*C91+B92*C92+B93*C93)</f>
        <v>13.102189781021895</v>
      </c>
    </row>
    <row r="101" spans="1:8">
      <c r="D101" s="56"/>
    </row>
    <row r="103" spans="1:8">
      <c r="A103" s="27" t="s">
        <v>63</v>
      </c>
    </row>
    <row r="104" spans="1:8" ht="30">
      <c r="A104" s="27" t="s">
        <v>64</v>
      </c>
      <c r="B104" s="137" t="s">
        <v>131</v>
      </c>
      <c r="C104" s="60" t="s">
        <v>68</v>
      </c>
      <c r="D104" s="60" t="s">
        <v>65</v>
      </c>
      <c r="E104" s="141" t="s">
        <v>69</v>
      </c>
    </row>
    <row r="105" spans="1:8">
      <c r="A105" s="27" t="s">
        <v>19</v>
      </c>
      <c r="B105" s="142">
        <v>4.7</v>
      </c>
      <c r="C105" s="56">
        <v>4.6269999999999998</v>
      </c>
      <c r="D105" s="60">
        <v>6.27</v>
      </c>
    </row>
    <row r="106" spans="1:8">
      <c r="A106" s="27" t="s">
        <v>21</v>
      </c>
      <c r="B106" s="142">
        <v>8</v>
      </c>
      <c r="C106" s="56">
        <v>9.2149999999999999</v>
      </c>
      <c r="D106" s="60">
        <v>10.81</v>
      </c>
    </row>
    <row r="107" spans="1:8">
      <c r="A107" s="27" t="s">
        <v>3</v>
      </c>
      <c r="B107" s="142">
        <v>9.8000000000000007</v>
      </c>
      <c r="C107" s="56">
        <v>12.43</v>
      </c>
      <c r="D107" s="60">
        <v>13.72</v>
      </c>
      <c r="E107" s="60">
        <f t="shared" ref="E107:E108" si="9">(C107/D107)*100</f>
        <v>90.597667638483955</v>
      </c>
      <c r="H107" s="56">
        <v>12.61</v>
      </c>
    </row>
    <row r="108" spans="1:8">
      <c r="A108" s="27" t="s">
        <v>2</v>
      </c>
      <c r="B108" s="142">
        <v>10.31</v>
      </c>
      <c r="C108" s="56">
        <v>13.1</v>
      </c>
      <c r="D108" s="60">
        <v>14.36</v>
      </c>
      <c r="E108" s="60">
        <f t="shared" si="9"/>
        <v>91.225626740947078</v>
      </c>
      <c r="H108" s="56">
        <v>13.295999999999999</v>
      </c>
    </row>
    <row r="110" spans="1:8" ht="15">
      <c r="A110" s="52" t="s">
        <v>121</v>
      </c>
    </row>
    <row r="111" spans="1:8">
      <c r="A111" s="27" t="s">
        <v>166</v>
      </c>
      <c r="B111" s="143" t="s">
        <v>169</v>
      </c>
    </row>
    <row r="112" spans="1:8">
      <c r="A112" s="80" t="s">
        <v>137</v>
      </c>
      <c r="B112" s="27" t="s">
        <v>140</v>
      </c>
      <c r="C112" s="27"/>
      <c r="D112" s="27"/>
      <c r="E112" s="27"/>
      <c r="F112" s="27"/>
      <c r="G112" s="27"/>
    </row>
    <row r="113" spans="1:7">
      <c r="A113" s="27" t="s">
        <v>164</v>
      </c>
      <c r="B113" s="143" t="s">
        <v>168</v>
      </c>
    </row>
    <row r="114" spans="1:7">
      <c r="A114" s="27" t="s">
        <v>139</v>
      </c>
      <c r="B114" s="88" t="s">
        <v>147</v>
      </c>
      <c r="C114" s="27"/>
      <c r="D114" s="27"/>
      <c r="E114" s="27"/>
      <c r="F114" s="27"/>
      <c r="G114" s="27"/>
    </row>
    <row r="115" spans="1:7">
      <c r="A115" s="79" t="s">
        <v>138</v>
      </c>
      <c r="B115" s="88" t="s">
        <v>146</v>
      </c>
      <c r="C115" s="27"/>
      <c r="D115" s="27"/>
      <c r="E115" s="27"/>
      <c r="F115" s="27"/>
      <c r="G115" s="27"/>
    </row>
  </sheetData>
  <pageMargins left="0.7" right="0.7" top="0.75" bottom="0.75" header="0.3" footer="0.3"/>
  <pageSetup paperSize="9" scale="57"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6EEA-8C26-408E-B7E8-5AE2692EBF77}">
  <dimension ref="A1:K53"/>
  <sheetViews>
    <sheetView zoomScale="80" zoomScaleNormal="80" workbookViewId="0">
      <selection activeCell="A26" sqref="A26:A29"/>
    </sheetView>
  </sheetViews>
  <sheetFormatPr defaultColWidth="8.75" defaultRowHeight="14.25"/>
  <cols>
    <col min="1" max="1" width="68.25" style="27" customWidth="1"/>
    <col min="2" max="2" width="21.25" style="27" customWidth="1"/>
    <col min="3" max="3" width="20.875" style="27" customWidth="1"/>
    <col min="4" max="8" width="19.875" style="27" customWidth="1"/>
    <col min="9" max="9" width="25.25" style="27" customWidth="1"/>
    <col min="10" max="10" width="17.5" style="27" customWidth="1"/>
    <col min="11" max="11" width="15.625" style="27" customWidth="1"/>
    <col min="12" max="16384" width="8.75" style="27"/>
  </cols>
  <sheetData>
    <row r="1" spans="1:11" ht="16.5" thickBot="1">
      <c r="A1" s="120"/>
      <c r="B1" s="123" t="s">
        <v>229</v>
      </c>
      <c r="C1" s="123"/>
      <c r="D1" s="123"/>
      <c r="E1" s="123"/>
      <c r="F1" s="123"/>
      <c r="G1" s="123"/>
      <c r="H1" s="123"/>
      <c r="I1" s="123"/>
      <c r="J1" s="163"/>
      <c r="K1"/>
    </row>
    <row r="2" spans="1:11" ht="15.75">
      <c r="A2" s="91" t="s">
        <v>14</v>
      </c>
      <c r="B2" s="29"/>
      <c r="C2" s="29"/>
      <c r="D2" s="29"/>
      <c r="E2" s="29"/>
      <c r="F2" s="29"/>
      <c r="G2" s="29"/>
      <c r="H2" s="29"/>
      <c r="I2" s="29"/>
      <c r="J2" s="146"/>
      <c r="K2"/>
    </row>
    <row r="3" spans="1:11" ht="15.75">
      <c r="A3" s="182" t="s">
        <v>11</v>
      </c>
      <c r="B3" s="180" t="s">
        <v>230</v>
      </c>
      <c r="C3" s="180" t="s">
        <v>10</v>
      </c>
      <c r="D3" s="180" t="s">
        <v>231</v>
      </c>
      <c r="E3" s="180" t="s">
        <v>232</v>
      </c>
      <c r="F3" s="180" t="s">
        <v>233</v>
      </c>
      <c r="G3" s="180" t="s">
        <v>234</v>
      </c>
      <c r="H3" s="180" t="s">
        <v>235</v>
      </c>
      <c r="I3" s="180" t="s">
        <v>201</v>
      </c>
      <c r="J3" s="184" t="s">
        <v>203</v>
      </c>
      <c r="K3"/>
    </row>
    <row r="4" spans="1:11" ht="15.75">
      <c r="A4" s="182"/>
      <c r="B4" s="180"/>
      <c r="C4" s="180"/>
      <c r="D4" s="180"/>
      <c r="E4" s="180"/>
      <c r="F4" s="180"/>
      <c r="G4" s="180"/>
      <c r="H4" s="180"/>
      <c r="I4" s="180"/>
      <c r="J4" s="184"/>
      <c r="K4"/>
    </row>
    <row r="5" spans="1:11" ht="16.5" thickBot="1">
      <c r="A5" s="183"/>
      <c r="B5" s="181"/>
      <c r="C5" s="181"/>
      <c r="D5" s="181"/>
      <c r="E5" s="181"/>
      <c r="F5" s="181"/>
      <c r="G5" s="181"/>
      <c r="H5" s="181"/>
      <c r="I5" s="181"/>
      <c r="J5" s="185"/>
      <c r="K5"/>
    </row>
    <row r="6" spans="1:11" ht="15.75" customHeight="1">
      <c r="A6" s="92"/>
      <c r="B6" s="31"/>
      <c r="C6" s="31"/>
      <c r="D6" s="32"/>
      <c r="E6" s="32"/>
      <c r="F6" s="32"/>
      <c r="G6" s="32"/>
      <c r="H6" s="32"/>
      <c r="I6" s="32"/>
      <c r="J6" s="147"/>
      <c r="K6" s="33"/>
    </row>
    <row r="7" spans="1:11" ht="15.75" thickBot="1">
      <c r="A7" s="93" t="s">
        <v>9</v>
      </c>
      <c r="B7" s="148">
        <f>B45</f>
        <v>60.317163672001548</v>
      </c>
      <c r="C7" s="31">
        <v>0.66</v>
      </c>
      <c r="D7" s="32">
        <f>B7*C7</f>
        <v>39.809328023521026</v>
      </c>
      <c r="E7" s="32">
        <v>0.6</v>
      </c>
      <c r="F7" s="32">
        <v>0.74</v>
      </c>
      <c r="G7" s="32">
        <f>B7*E7</f>
        <v>36.190298203200925</v>
      </c>
      <c r="H7" s="32">
        <f>B7*F7</f>
        <v>44.634701117281146</v>
      </c>
      <c r="I7" s="32" t="s">
        <v>236</v>
      </c>
      <c r="J7" s="152" t="s">
        <v>237</v>
      </c>
      <c r="K7" s="33"/>
    </row>
    <row r="8" spans="1:11" ht="16.5" thickBot="1">
      <c r="A8" s="164"/>
      <c r="B8" s="165"/>
      <c r="C8" s="166"/>
      <c r="D8" s="167"/>
      <c r="E8" s="167"/>
      <c r="F8" s="167"/>
      <c r="G8" s="167"/>
      <c r="H8" s="167"/>
      <c r="I8" s="167"/>
      <c r="J8" s="168"/>
      <c r="K8"/>
    </row>
    <row r="9" spans="1:11" ht="15.75">
      <c r="A9" s="91" t="s">
        <v>15</v>
      </c>
      <c r="B9" s="29"/>
      <c r="C9" s="29"/>
      <c r="D9" s="29"/>
      <c r="E9" s="29"/>
      <c r="F9" s="29"/>
      <c r="G9" s="29"/>
      <c r="H9" s="29"/>
      <c r="I9" s="29"/>
      <c r="J9" s="146"/>
      <c r="K9"/>
    </row>
    <row r="10" spans="1:11" ht="15.75">
      <c r="A10" s="182" t="s">
        <v>11</v>
      </c>
      <c r="B10" s="180" t="s">
        <v>230</v>
      </c>
      <c r="C10" s="180" t="s">
        <v>10</v>
      </c>
      <c r="D10" s="180" t="s">
        <v>231</v>
      </c>
      <c r="E10" s="180" t="s">
        <v>232</v>
      </c>
      <c r="F10" s="180" t="s">
        <v>233</v>
      </c>
      <c r="G10" s="180" t="s">
        <v>234</v>
      </c>
      <c r="H10" s="180" t="s">
        <v>235</v>
      </c>
      <c r="I10" s="180" t="s">
        <v>201</v>
      </c>
      <c r="J10" s="184" t="s">
        <v>203</v>
      </c>
      <c r="K10"/>
    </row>
    <row r="11" spans="1:11" ht="15.75">
      <c r="A11" s="182"/>
      <c r="B11" s="180"/>
      <c r="C11" s="180"/>
      <c r="D11" s="180"/>
      <c r="E11" s="180"/>
      <c r="F11" s="180"/>
      <c r="G11" s="180"/>
      <c r="H11" s="180"/>
      <c r="I11" s="180"/>
      <c r="J11" s="184"/>
      <c r="K11"/>
    </row>
    <row r="12" spans="1:11" ht="16.5" thickBot="1">
      <c r="A12" s="183"/>
      <c r="B12" s="181"/>
      <c r="C12" s="181"/>
      <c r="D12" s="181"/>
      <c r="E12" s="181"/>
      <c r="F12" s="181"/>
      <c r="G12" s="181"/>
      <c r="H12" s="181"/>
      <c r="I12" s="181"/>
      <c r="J12" s="185"/>
      <c r="K12"/>
    </row>
    <row r="13" spans="1:11" ht="15">
      <c r="A13" s="92"/>
      <c r="B13" s="31"/>
      <c r="C13" s="31"/>
      <c r="D13" s="32"/>
      <c r="E13" s="32"/>
      <c r="F13" s="32"/>
      <c r="G13" s="32"/>
      <c r="H13" s="32"/>
      <c r="I13" s="32"/>
      <c r="J13" s="147"/>
      <c r="K13" s="33"/>
    </row>
    <row r="14" spans="1:11" ht="15">
      <c r="A14" s="34" t="s">
        <v>9</v>
      </c>
      <c r="B14" s="148">
        <f>B45</f>
        <v>60.317163672001548</v>
      </c>
      <c r="C14" s="31">
        <v>0.66</v>
      </c>
      <c r="D14" s="32">
        <f>B14*C14</f>
        <v>39.809328023521026</v>
      </c>
      <c r="E14" s="32">
        <v>0.6</v>
      </c>
      <c r="F14" s="32">
        <v>0.74</v>
      </c>
      <c r="G14" s="32">
        <f>B14*E14</f>
        <v>36.190298203200925</v>
      </c>
      <c r="H14" s="32">
        <f>B14*F14</f>
        <v>44.634701117281146</v>
      </c>
      <c r="I14" s="32" t="s">
        <v>236</v>
      </c>
      <c r="J14" s="152" t="s">
        <v>237</v>
      </c>
      <c r="K14" s="33"/>
    </row>
    <row r="15" spans="1:11" ht="15">
      <c r="A15" s="34" t="s">
        <v>8</v>
      </c>
      <c r="B15" s="148">
        <f>C45</f>
        <v>67.185821732409195</v>
      </c>
      <c r="C15" s="31">
        <v>0.57999999999999996</v>
      </c>
      <c r="D15" s="32">
        <f t="shared" ref="D15" si="0">B15*C15</f>
        <v>38.967776604797329</v>
      </c>
      <c r="E15" s="32">
        <v>0.53</v>
      </c>
      <c r="F15" s="32">
        <v>0.65</v>
      </c>
      <c r="G15" s="32">
        <f>B15*E15</f>
        <v>35.608485518176877</v>
      </c>
      <c r="H15" s="32">
        <f>B15*F15</f>
        <v>43.670784126065982</v>
      </c>
      <c r="I15" s="32" t="s">
        <v>236</v>
      </c>
      <c r="J15" s="152" t="s">
        <v>238</v>
      </c>
      <c r="K15" s="33"/>
    </row>
    <row r="17" spans="1:11" customFormat="1" ht="15.75"/>
    <row r="18" spans="1:11" customFormat="1" ht="15.75"/>
    <row r="19" spans="1:11" customFormat="1" ht="15.75"/>
    <row r="20" spans="1:11" ht="15.75">
      <c r="A20" s="41"/>
      <c r="B20" s="41"/>
      <c r="C20"/>
    </row>
    <row r="21" spans="1:11">
      <c r="A21" s="41"/>
      <c r="B21" s="41"/>
    </row>
    <row r="22" spans="1:11">
      <c r="A22" s="41"/>
      <c r="B22" s="41"/>
    </row>
    <row r="23" spans="1:11">
      <c r="A23" s="42" t="s">
        <v>116</v>
      </c>
      <c r="B23" s="41"/>
    </row>
    <row r="24" spans="1:11" ht="15" thickBot="1"/>
    <row r="25" spans="1:11" ht="28.5">
      <c r="A25" s="43" t="s">
        <v>239</v>
      </c>
      <c r="B25" s="44" t="s">
        <v>80</v>
      </c>
      <c r="C25" s="45" t="s">
        <v>240</v>
      </c>
      <c r="D25" s="72" t="s">
        <v>241</v>
      </c>
      <c r="E25" s="27" t="s">
        <v>242</v>
      </c>
      <c r="F25" s="72" t="s">
        <v>243</v>
      </c>
      <c r="G25" s="72"/>
      <c r="H25" s="72"/>
    </row>
    <row r="26" spans="1:11">
      <c r="A26" s="46" t="s">
        <v>249</v>
      </c>
      <c r="B26" s="25" t="s">
        <v>3</v>
      </c>
      <c r="C26" s="47">
        <v>1159</v>
      </c>
      <c r="D26" s="27">
        <f>SUM(1159+35135)</f>
        <v>36294</v>
      </c>
      <c r="E26" s="169">
        <f>(C26*1000)/D26</f>
        <v>31.933652945390424</v>
      </c>
      <c r="F26" s="169">
        <f>(E26/2.8)*5</f>
        <v>57.024380259625758</v>
      </c>
      <c r="G26" s="169"/>
      <c r="H26" s="169"/>
      <c r="K26" s="48"/>
    </row>
    <row r="27" spans="1:11">
      <c r="A27" s="46" t="s">
        <v>249</v>
      </c>
      <c r="B27" s="25" t="s">
        <v>2</v>
      </c>
      <c r="C27" s="47">
        <v>1885</v>
      </c>
      <c r="D27" s="27">
        <f>SUM(1885+50772)</f>
        <v>52657</v>
      </c>
      <c r="E27" s="169">
        <f>(C27*1000)/D27</f>
        <v>35.797709706211897</v>
      </c>
      <c r="F27" s="169">
        <f t="shared" ref="F27:F29" si="1">(E27/2.8)*5</f>
        <v>63.924481618235532</v>
      </c>
      <c r="G27" s="169"/>
      <c r="H27" s="169"/>
      <c r="K27" s="48"/>
    </row>
    <row r="28" spans="1:11">
      <c r="A28" s="46" t="s">
        <v>249</v>
      </c>
      <c r="B28" s="25" t="s">
        <v>1</v>
      </c>
      <c r="C28" s="47">
        <v>1935</v>
      </c>
      <c r="D28" s="27">
        <f>SUM(1935+43267)</f>
        <v>45202</v>
      </c>
      <c r="E28" s="169">
        <f>(C28*1000)/D28</f>
        <v>42.807840361045969</v>
      </c>
      <c r="F28" s="169">
        <f t="shared" si="1"/>
        <v>76.442572073296375</v>
      </c>
      <c r="G28" s="169"/>
      <c r="H28" s="169"/>
      <c r="K28" s="48"/>
    </row>
    <row r="29" spans="1:11" ht="15" thickBot="1">
      <c r="A29" s="46" t="s">
        <v>249</v>
      </c>
      <c r="B29" s="50" t="s">
        <v>0</v>
      </c>
      <c r="C29" s="51">
        <v>218</v>
      </c>
      <c r="D29" s="27">
        <f>SUM(218+4366)</f>
        <v>4584</v>
      </c>
      <c r="E29" s="169">
        <f>(C29*1000)/D29</f>
        <v>47.556719022687609</v>
      </c>
      <c r="F29" s="169">
        <f t="shared" si="1"/>
        <v>84.922712540513601</v>
      </c>
      <c r="G29" s="169"/>
      <c r="H29" s="169"/>
    </row>
    <row r="30" spans="1:11" ht="15" thickBot="1"/>
    <row r="31" spans="1:11" ht="15" thickBot="1">
      <c r="A31" s="120" t="s">
        <v>84</v>
      </c>
      <c r="B31" s="121" t="s">
        <v>77</v>
      </c>
      <c r="C31" s="122">
        <f>C26+C27</f>
        <v>3044</v>
      </c>
      <c r="D31" s="123">
        <f>D27+D26</f>
        <v>88951</v>
      </c>
      <c r="E31" s="124">
        <f>(C31*1000)/D31</f>
        <v>34.221088014749697</v>
      </c>
      <c r="F31" s="125">
        <f>(E31/2.8)*5</f>
        <v>61.109085740624458</v>
      </c>
      <c r="G31" s="170"/>
      <c r="H31" s="170"/>
      <c r="K31" s="48"/>
    </row>
    <row r="32" spans="1:11" ht="15" thickBot="1"/>
    <row r="33" spans="1:8" ht="15">
      <c r="A33" s="112" t="s">
        <v>109</v>
      </c>
      <c r="B33" s="113" t="s">
        <v>3</v>
      </c>
      <c r="C33" s="113" t="s">
        <v>2</v>
      </c>
      <c r="D33" s="113" t="s">
        <v>1</v>
      </c>
      <c r="E33" s="113" t="s">
        <v>0</v>
      </c>
      <c r="F33" s="37" t="s">
        <v>77</v>
      </c>
    </row>
    <row r="34" spans="1:8" ht="15">
      <c r="A34" s="99"/>
      <c r="B34" s="54"/>
      <c r="C34" s="54"/>
      <c r="D34" s="171"/>
      <c r="E34" s="171"/>
      <c r="F34" s="114"/>
      <c r="G34" s="172"/>
      <c r="H34" s="172"/>
    </row>
    <row r="35" spans="1:8" ht="15">
      <c r="A35" s="99" t="s">
        <v>250</v>
      </c>
      <c r="B35" s="55">
        <v>1979290</v>
      </c>
      <c r="C35" s="56">
        <v>1759572</v>
      </c>
      <c r="D35" s="56">
        <v>1520031</v>
      </c>
      <c r="E35" s="56">
        <v>1491541</v>
      </c>
      <c r="F35" s="114">
        <f>B35+C35</f>
        <v>3738862</v>
      </c>
      <c r="G35" s="172"/>
      <c r="H35" s="172"/>
    </row>
    <row r="36" spans="1:8" ht="15">
      <c r="A36" s="99"/>
      <c r="B36" s="55"/>
      <c r="C36" s="55"/>
      <c r="D36" s="55"/>
      <c r="E36" s="55"/>
      <c r="F36" s="100"/>
      <c r="G36" s="55"/>
      <c r="H36" s="55"/>
    </row>
    <row r="37" spans="1:8" ht="15">
      <c r="A37" s="99"/>
      <c r="B37" s="55"/>
      <c r="C37" s="56"/>
      <c r="D37" s="56"/>
      <c r="E37" s="56"/>
      <c r="F37" s="115"/>
      <c r="G37" s="173"/>
      <c r="H37" s="173"/>
    </row>
    <row r="38" spans="1:8" ht="15">
      <c r="A38" s="99" t="s">
        <v>148</v>
      </c>
      <c r="B38" s="55">
        <v>257266</v>
      </c>
      <c r="C38" s="55">
        <v>203365</v>
      </c>
      <c r="D38" s="55">
        <v>142962</v>
      </c>
      <c r="E38" s="55">
        <v>120686</v>
      </c>
      <c r="F38" s="116">
        <f>B38+C38</f>
        <v>460631</v>
      </c>
      <c r="G38" s="174"/>
      <c r="H38" s="174"/>
    </row>
    <row r="39" spans="1:8">
      <c r="A39" s="17"/>
      <c r="F39" s="39"/>
    </row>
    <row r="40" spans="1:8" ht="15">
      <c r="A40" s="101" t="s">
        <v>244</v>
      </c>
      <c r="F40" s="39"/>
    </row>
    <row r="41" spans="1:8" ht="15">
      <c r="A41" s="99" t="s">
        <v>101</v>
      </c>
      <c r="B41" s="48">
        <f>B38/B35</f>
        <v>0.12997893183919487</v>
      </c>
      <c r="C41" s="48">
        <f>C38/C35</f>
        <v>0.1155764015340094</v>
      </c>
      <c r="D41" s="48">
        <f t="shared" ref="D41" si="2">D38/D35</f>
        <v>9.4052029202036008E-2</v>
      </c>
      <c r="E41" s="48">
        <f>E38/E35</f>
        <v>8.0913632276953834E-2</v>
      </c>
      <c r="F41" s="102">
        <f>F38/F35</f>
        <v>0.12320085630333508</v>
      </c>
      <c r="G41" s="48"/>
      <c r="H41" s="48"/>
    </row>
    <row r="42" spans="1:8" ht="15">
      <c r="A42" s="99" t="s">
        <v>4</v>
      </c>
      <c r="B42" s="48">
        <f>1-B41</f>
        <v>0.87002106816080516</v>
      </c>
      <c r="C42" s="48">
        <f>1-C41</f>
        <v>0.88442359846599061</v>
      </c>
      <c r="D42" s="48">
        <f t="shared" ref="D42" si="3">1-D41</f>
        <v>0.90594797079796396</v>
      </c>
      <c r="E42" s="48">
        <f>1-E41</f>
        <v>0.91908636772304619</v>
      </c>
      <c r="F42" s="102">
        <f>1-F41</f>
        <v>0.8767991436966649</v>
      </c>
      <c r="G42" s="48"/>
      <c r="H42" s="48"/>
    </row>
    <row r="43" spans="1:8" ht="30">
      <c r="A43" s="103" t="s">
        <v>245</v>
      </c>
      <c r="B43" s="60">
        <v>0.57999999999999996</v>
      </c>
      <c r="C43" s="60">
        <v>0.57999999999999996</v>
      </c>
      <c r="D43" s="60">
        <v>0.57999999999999996</v>
      </c>
      <c r="E43" s="60">
        <v>0.57999999999999996</v>
      </c>
      <c r="F43" s="117">
        <v>0.57999999999999996</v>
      </c>
      <c r="G43" s="175"/>
      <c r="H43" s="175"/>
    </row>
    <row r="44" spans="1:8" ht="15">
      <c r="A44" s="99" t="s">
        <v>102</v>
      </c>
      <c r="B44" s="56">
        <f>B41*B43</f>
        <v>7.5387780466733015E-2</v>
      </c>
      <c r="C44" s="56">
        <f>C41*C43</f>
        <v>6.7034312889725445E-2</v>
      </c>
      <c r="D44" s="56">
        <f>D41*D43</f>
        <v>5.455017693718088E-2</v>
      </c>
      <c r="E44" s="56">
        <f>E41*E43</f>
        <v>4.692990672063322E-2</v>
      </c>
      <c r="F44" s="102">
        <f>F41*F43</f>
        <v>7.1456496655934343E-2</v>
      </c>
      <c r="G44" s="48"/>
      <c r="H44" s="48"/>
    </row>
    <row r="45" spans="1:8" ht="15.75" thickBot="1">
      <c r="A45" s="106" t="s">
        <v>104</v>
      </c>
      <c r="B45" s="176">
        <f>F26/(B42+B44)</f>
        <v>60.317163672001548</v>
      </c>
      <c r="C45" s="176">
        <f>F27/(C42+C44)</f>
        <v>67.185821732409195</v>
      </c>
      <c r="D45" s="176">
        <f>F28/(D42+D44)</f>
        <v>79.586381559972807</v>
      </c>
      <c r="E45" s="176">
        <f>F29/(E42+E44)</f>
        <v>87.910229658832478</v>
      </c>
      <c r="F45" s="176">
        <f>F31/(F42+F44)</f>
        <v>64.443682842636889</v>
      </c>
      <c r="G45" s="177"/>
      <c r="H45" s="177"/>
    </row>
    <row r="47" spans="1:8" ht="15">
      <c r="A47" s="52" t="s">
        <v>121</v>
      </c>
    </row>
    <row r="48" spans="1:8">
      <c r="A48" s="27" t="s">
        <v>249</v>
      </c>
      <c r="B48" s="27" t="s">
        <v>248</v>
      </c>
    </row>
    <row r="49" spans="1:2" ht="15.75">
      <c r="A49" s="27" t="s">
        <v>139</v>
      </c>
      <c r="B49" s="178" t="s">
        <v>147</v>
      </c>
    </row>
    <row r="50" spans="1:2">
      <c r="A50" s="79" t="s">
        <v>138</v>
      </c>
      <c r="B50" s="88" t="s">
        <v>146</v>
      </c>
    </row>
    <row r="53" spans="1:2">
      <c r="A53" s="27" t="s">
        <v>247</v>
      </c>
    </row>
  </sheetData>
  <mergeCells count="20">
    <mergeCell ref="G10:G12"/>
    <mergeCell ref="H10:H12"/>
    <mergeCell ref="I10:I12"/>
    <mergeCell ref="J10:J12"/>
    <mergeCell ref="G3:G5"/>
    <mergeCell ref="H3:H5"/>
    <mergeCell ref="I3:I5"/>
    <mergeCell ref="J3:J5"/>
    <mergeCell ref="F10:F12"/>
    <mergeCell ref="A3:A5"/>
    <mergeCell ref="B3:B5"/>
    <mergeCell ref="C3:C5"/>
    <mergeCell ref="D3:D5"/>
    <mergeCell ref="E3:E5"/>
    <mergeCell ref="F3:F5"/>
    <mergeCell ref="A10:A12"/>
    <mergeCell ref="B10:B12"/>
    <mergeCell ref="C10:C12"/>
    <mergeCell ref="D10:D12"/>
    <mergeCell ref="E10:E12"/>
  </mergeCells>
  <phoneticPr fontId="20" type="noConversion"/>
  <hyperlinks>
    <hyperlink ref="B49" r:id="rId1" xr:uid="{57F39FC8-30FA-40CE-9AFC-C4088075D78C}"/>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43"/>
  <sheetViews>
    <sheetView zoomScale="80" zoomScaleNormal="80" workbookViewId="0">
      <selection activeCell="A43" sqref="A43:XFD43"/>
    </sheetView>
  </sheetViews>
  <sheetFormatPr defaultColWidth="8.75" defaultRowHeight="14.25"/>
  <cols>
    <col min="1" max="1" width="68.875" style="27" customWidth="1"/>
    <col min="2" max="2" width="21.25" style="27" customWidth="1"/>
    <col min="3" max="3" width="20.875" style="27" customWidth="1"/>
    <col min="4" max="4" width="19.875" style="27" customWidth="1"/>
    <col min="5" max="5" width="21.375" style="27" customWidth="1"/>
    <col min="6" max="6" width="16.625" style="27" customWidth="1"/>
    <col min="7" max="7" width="36.625" style="27" customWidth="1"/>
    <col min="8" max="8" width="37" style="27" customWidth="1"/>
    <col min="9" max="16384" width="8.75" style="27"/>
  </cols>
  <sheetData>
    <row r="2" spans="1:10" ht="15">
      <c r="A2" s="52" t="s">
        <v>78</v>
      </c>
    </row>
    <row r="3" spans="1:10" ht="15">
      <c r="A3" s="28" t="s">
        <v>14</v>
      </c>
      <c r="B3" s="29"/>
      <c r="C3" s="29"/>
      <c r="D3" s="29"/>
      <c r="E3" s="29"/>
      <c r="F3" s="29"/>
      <c r="G3" s="52"/>
    </row>
    <row r="4" spans="1:10">
      <c r="A4" s="189" t="s">
        <v>11</v>
      </c>
      <c r="B4" s="180" t="s">
        <v>13</v>
      </c>
      <c r="C4" s="180" t="s">
        <v>10</v>
      </c>
      <c r="D4" s="180" t="s">
        <v>12</v>
      </c>
      <c r="E4" s="191" t="s">
        <v>201</v>
      </c>
      <c r="F4" s="187" t="s">
        <v>203</v>
      </c>
      <c r="G4" s="186" t="s">
        <v>122</v>
      </c>
    </row>
    <row r="5" spans="1:10">
      <c r="A5" s="189"/>
      <c r="B5" s="180"/>
      <c r="C5" s="180"/>
      <c r="D5" s="180"/>
      <c r="E5" s="191"/>
      <c r="F5" s="187"/>
      <c r="G5" s="186"/>
    </row>
    <row r="6" spans="1:10" ht="15" thickBot="1">
      <c r="A6" s="190"/>
      <c r="B6" s="181"/>
      <c r="C6" s="181"/>
      <c r="D6" s="181"/>
      <c r="E6" s="192"/>
      <c r="F6" s="188"/>
      <c r="G6" s="186"/>
    </row>
    <row r="7" spans="1:10" ht="15.75">
      <c r="A7" s="30"/>
      <c r="B7" s="31"/>
      <c r="C7" s="31"/>
      <c r="D7" s="32"/>
      <c r="E7"/>
      <c r="F7"/>
    </row>
    <row r="8" spans="1:10" ht="15.75">
      <c r="A8" s="34" t="s">
        <v>9</v>
      </c>
      <c r="B8" s="61">
        <v>12.43</v>
      </c>
      <c r="C8" s="62">
        <v>1.1200000000000001</v>
      </c>
      <c r="D8" s="32">
        <f t="shared" ref="D8:D11" si="0">B8*C8</f>
        <v>13.921600000000002</v>
      </c>
      <c r="E8" t="s">
        <v>199</v>
      </c>
      <c r="F8" s="27" t="s">
        <v>173</v>
      </c>
    </row>
    <row r="9" spans="1:10" ht="15.75">
      <c r="A9" s="34" t="s">
        <v>16</v>
      </c>
      <c r="B9" s="61">
        <v>13.15</v>
      </c>
      <c r="C9" s="31">
        <v>1.3</v>
      </c>
      <c r="D9" s="32">
        <f t="shared" si="0"/>
        <v>17.095000000000002</v>
      </c>
      <c r="E9" t="s">
        <v>199</v>
      </c>
      <c r="F9" s="27" t="s">
        <v>172</v>
      </c>
    </row>
    <row r="10" spans="1:10" ht="15.75">
      <c r="A10" s="34" t="s">
        <v>7</v>
      </c>
      <c r="B10" s="61">
        <v>15.19</v>
      </c>
      <c r="C10" s="31">
        <v>1.06</v>
      </c>
      <c r="D10" s="32">
        <f t="shared" si="0"/>
        <v>16.101400000000002</v>
      </c>
      <c r="E10" t="s">
        <v>199</v>
      </c>
      <c r="F10" s="27" t="s">
        <v>174</v>
      </c>
    </row>
    <row r="11" spans="1:10" ht="15.75">
      <c r="A11" s="34" t="s">
        <v>6</v>
      </c>
      <c r="B11" s="61">
        <v>19.239999999999998</v>
      </c>
      <c r="C11" s="62">
        <v>1.1399999999999999</v>
      </c>
      <c r="D11" s="32">
        <f t="shared" si="0"/>
        <v>21.933599999999995</v>
      </c>
      <c r="E11" s="159" t="s">
        <v>199</v>
      </c>
      <c r="F11" s="27" t="s">
        <v>175</v>
      </c>
    </row>
    <row r="12" spans="1:10" ht="19.5" customHeight="1">
      <c r="A12" s="63" t="s">
        <v>5</v>
      </c>
      <c r="B12" s="64">
        <f>SUM(B8:B11)</f>
        <v>60.009999999999991</v>
      </c>
      <c r="C12" s="64"/>
      <c r="D12" s="65">
        <f>SUM(D8:D11)</f>
        <v>69.051600000000008</v>
      </c>
      <c r="E12"/>
      <c r="F12"/>
    </row>
    <row r="13" spans="1:10" ht="15" customHeight="1">
      <c r="A13" s="30"/>
      <c r="B13" s="62"/>
      <c r="C13" s="62"/>
      <c r="D13" s="66"/>
      <c r="E13"/>
      <c r="F13"/>
      <c r="H13" s="67"/>
    </row>
    <row r="14" spans="1:10" ht="15.75">
      <c r="E14"/>
      <c r="F14"/>
    </row>
    <row r="15" spans="1:10" ht="15.75">
      <c r="A15" s="52" t="s">
        <v>117</v>
      </c>
      <c r="E15"/>
      <c r="F15"/>
      <c r="H15" s="68"/>
      <c r="I15" s="70"/>
      <c r="J15" s="71"/>
    </row>
    <row r="16" spans="1:10" ht="15">
      <c r="A16" s="28" t="s">
        <v>15</v>
      </c>
      <c r="B16" s="29"/>
      <c r="C16" s="29"/>
      <c r="D16" s="29"/>
      <c r="E16" s="29"/>
      <c r="F16" s="29"/>
      <c r="H16" s="68"/>
      <c r="I16" s="70"/>
      <c r="J16" s="71"/>
    </row>
    <row r="17" spans="1:10" ht="15.6" customHeight="1">
      <c r="A17" s="189" t="s">
        <v>11</v>
      </c>
      <c r="B17" s="180" t="s">
        <v>13</v>
      </c>
      <c r="C17" s="180" t="s">
        <v>10</v>
      </c>
      <c r="D17" s="180" t="s">
        <v>12</v>
      </c>
      <c r="E17" s="191" t="s">
        <v>201</v>
      </c>
      <c r="F17" s="187" t="s">
        <v>203</v>
      </c>
      <c r="H17" s="68"/>
      <c r="I17" s="70"/>
      <c r="J17" s="71"/>
    </row>
    <row r="18" spans="1:10" ht="15">
      <c r="A18" s="189"/>
      <c r="B18" s="180"/>
      <c r="C18" s="180"/>
      <c r="D18" s="180"/>
      <c r="E18" s="191"/>
      <c r="F18" s="187"/>
      <c r="H18" s="68"/>
      <c r="I18" s="70"/>
      <c r="J18" s="71"/>
    </row>
    <row r="19" spans="1:10" ht="15.75" thickBot="1">
      <c r="A19" s="190"/>
      <c r="B19" s="181"/>
      <c r="C19" s="181"/>
      <c r="D19" s="181"/>
      <c r="E19" s="192"/>
      <c r="F19" s="188"/>
      <c r="H19" s="68"/>
      <c r="I19" s="70"/>
      <c r="J19" s="71"/>
    </row>
    <row r="20" spans="1:10" ht="15.75">
      <c r="A20" s="30"/>
      <c r="B20" s="31"/>
      <c r="C20" s="31"/>
      <c r="D20" s="32"/>
      <c r="E20"/>
      <c r="F20"/>
      <c r="H20" s="69"/>
      <c r="I20" s="70"/>
      <c r="J20" s="71"/>
    </row>
    <row r="21" spans="1:10" ht="15.75">
      <c r="A21" s="34" t="s">
        <v>9</v>
      </c>
      <c r="B21" s="61">
        <v>12.43</v>
      </c>
      <c r="C21" s="62">
        <v>1.1200000000000001</v>
      </c>
      <c r="D21" s="32">
        <f>B21*C21</f>
        <v>13.921600000000002</v>
      </c>
      <c r="E21" t="s">
        <v>199</v>
      </c>
      <c r="F21" s="27" t="s">
        <v>173</v>
      </c>
    </row>
    <row r="22" spans="1:10" ht="15.75">
      <c r="A22" s="34" t="s">
        <v>8</v>
      </c>
      <c r="B22" s="61">
        <v>13.15</v>
      </c>
      <c r="C22" s="62">
        <v>1.22</v>
      </c>
      <c r="D22" s="32">
        <f>B22*C22</f>
        <v>16.042999999999999</v>
      </c>
      <c r="E22" t="s">
        <v>199</v>
      </c>
      <c r="F22" s="27" t="s">
        <v>176</v>
      </c>
    </row>
    <row r="23" spans="1:10" ht="30">
      <c r="A23" s="34" t="s">
        <v>123</v>
      </c>
      <c r="B23" s="61">
        <v>15.19</v>
      </c>
      <c r="C23" s="62">
        <v>1.21</v>
      </c>
      <c r="D23" s="32">
        <f>B23*C23</f>
        <v>18.379899999999999</v>
      </c>
      <c r="E23" t="s">
        <v>199</v>
      </c>
      <c r="F23" s="27" t="s">
        <v>177</v>
      </c>
      <c r="G23" s="72" t="s">
        <v>134</v>
      </c>
    </row>
    <row r="24" spans="1:10" ht="30">
      <c r="A24" s="34" t="s">
        <v>133</v>
      </c>
      <c r="B24" s="61">
        <v>19.239999999999998</v>
      </c>
      <c r="C24" s="62">
        <v>1.2</v>
      </c>
      <c r="D24" s="32">
        <f>B24*C24</f>
        <v>23.087999999999997</v>
      </c>
      <c r="E24" s="159" t="s">
        <v>199</v>
      </c>
      <c r="F24" s="27" t="s">
        <v>178</v>
      </c>
      <c r="G24" s="72" t="s">
        <v>135</v>
      </c>
    </row>
    <row r="25" spans="1:10" ht="15.75">
      <c r="A25" s="63" t="s">
        <v>5</v>
      </c>
      <c r="B25" s="64">
        <f>SUM(B21:B24)</f>
        <v>60.009999999999991</v>
      </c>
      <c r="C25" s="64"/>
      <c r="D25" s="65">
        <f>SUM(D21:D24)</f>
        <v>71.43249999999999</v>
      </c>
      <c r="E25"/>
      <c r="F25"/>
    </row>
    <row r="26" spans="1:10" ht="15">
      <c r="A26" s="30"/>
      <c r="B26" s="62"/>
      <c r="C26" s="62"/>
      <c r="D26" s="66"/>
      <c r="E26" s="62"/>
      <c r="H26" s="67"/>
    </row>
    <row r="27" spans="1:10">
      <c r="A27" s="73" t="s">
        <v>118</v>
      </c>
    </row>
    <row r="28" spans="1:10" ht="15">
      <c r="A28" s="74"/>
      <c r="B28" s="75" t="s">
        <v>3</v>
      </c>
      <c r="C28" s="75" t="s">
        <v>2</v>
      </c>
      <c r="D28" s="75" t="s">
        <v>1</v>
      </c>
      <c r="E28" s="76" t="s">
        <v>0</v>
      </c>
    </row>
    <row r="29" spans="1:10" ht="15">
      <c r="A29" s="52" t="s">
        <v>61</v>
      </c>
      <c r="B29" s="55">
        <v>13.72</v>
      </c>
      <c r="C29" s="55">
        <v>14.36</v>
      </c>
      <c r="D29" s="55">
        <v>16.329999999999998</v>
      </c>
      <c r="E29" s="55">
        <v>20.48</v>
      </c>
    </row>
    <row r="30" spans="1:10" ht="15">
      <c r="A30" s="52" t="s">
        <v>75</v>
      </c>
      <c r="B30" s="55">
        <v>1979290</v>
      </c>
      <c r="C30" s="55">
        <v>1759572</v>
      </c>
      <c r="D30" s="55">
        <v>1520031</v>
      </c>
      <c r="E30" s="55">
        <v>1491541</v>
      </c>
    </row>
    <row r="31" spans="1:10" ht="15">
      <c r="A31" s="52" t="s">
        <v>148</v>
      </c>
      <c r="B31" s="55">
        <v>257266</v>
      </c>
      <c r="C31" s="55">
        <v>203365</v>
      </c>
      <c r="D31" s="55">
        <v>142962</v>
      </c>
      <c r="E31" s="55">
        <v>120686</v>
      </c>
    </row>
    <row r="32" spans="1:10">
      <c r="A32" s="57"/>
    </row>
    <row r="33" spans="1:5" ht="15">
      <c r="A33" s="58" t="s">
        <v>103</v>
      </c>
    </row>
    <row r="34" spans="1:5" ht="15">
      <c r="A34" s="52" t="s">
        <v>101</v>
      </c>
      <c r="B34" s="48">
        <f>B31/B30</f>
        <v>0.12997893183919487</v>
      </c>
      <c r="C34" s="48">
        <f>C31/C30</f>
        <v>0.1155764015340094</v>
      </c>
      <c r="D34" s="48">
        <f>D31/D30</f>
        <v>9.4052029202036008E-2</v>
      </c>
      <c r="E34" s="48">
        <f>E31/E30</f>
        <v>8.0913632276953834E-2</v>
      </c>
    </row>
    <row r="35" spans="1:5" ht="15">
      <c r="A35" s="52" t="s">
        <v>4</v>
      </c>
      <c r="B35" s="48">
        <f>1-B34</f>
        <v>0.87002106816080516</v>
      </c>
      <c r="C35" s="48">
        <f>1-C34</f>
        <v>0.88442359846599061</v>
      </c>
      <c r="D35" s="48">
        <f>1-D34</f>
        <v>0.90594797079796396</v>
      </c>
      <c r="E35" s="48">
        <f>1-E34</f>
        <v>0.91908636772304619</v>
      </c>
    </row>
    <row r="36" spans="1:5" ht="45">
      <c r="A36" s="59" t="s">
        <v>136</v>
      </c>
      <c r="B36" s="60">
        <v>1.8</v>
      </c>
      <c r="C36" s="60">
        <v>1.8</v>
      </c>
      <c r="D36" s="60">
        <v>1.8</v>
      </c>
      <c r="E36" s="60">
        <v>1.8</v>
      </c>
    </row>
    <row r="37" spans="1:5" ht="15">
      <c r="A37" s="52" t="s">
        <v>102</v>
      </c>
      <c r="B37" s="56">
        <f>B34*B36</f>
        <v>0.23396207731055077</v>
      </c>
      <c r="C37" s="56">
        <f>C34*C36</f>
        <v>0.20803752276121693</v>
      </c>
      <c r="D37" s="56">
        <f>D34*D36</f>
        <v>0.16929365256366483</v>
      </c>
      <c r="E37" s="56">
        <f>E34*E36</f>
        <v>0.14564453809851691</v>
      </c>
    </row>
    <row r="38" spans="1:5" ht="15">
      <c r="A38" s="58" t="s">
        <v>104</v>
      </c>
      <c r="B38" s="77">
        <f>B29/(B35+B37)</f>
        <v>12.42772596328191</v>
      </c>
      <c r="C38" s="77">
        <f>C29/(C35+C37)</f>
        <v>13.144632537466238</v>
      </c>
      <c r="D38" s="77">
        <f>D29/(D35+D37)</f>
        <v>15.187284090571183</v>
      </c>
      <c r="E38" s="77">
        <f>E29/(E35+E37)</f>
        <v>19.234907043669697</v>
      </c>
    </row>
    <row r="40" spans="1:5" ht="15">
      <c r="A40" s="78" t="s">
        <v>121</v>
      </c>
      <c r="B40" s="67"/>
    </row>
    <row r="41" spans="1:5">
      <c r="A41" s="80" t="s">
        <v>137</v>
      </c>
      <c r="B41" s="27" t="s">
        <v>140</v>
      </c>
    </row>
    <row r="42" spans="1:5">
      <c r="A42" s="27" t="s">
        <v>139</v>
      </c>
      <c r="B42" s="88" t="s">
        <v>147</v>
      </c>
    </row>
    <row r="43" spans="1:5">
      <c r="A43" s="79" t="s">
        <v>138</v>
      </c>
      <c r="B43" s="88" t="s">
        <v>146</v>
      </c>
    </row>
  </sheetData>
  <mergeCells count="13">
    <mergeCell ref="G4:G6"/>
    <mergeCell ref="F17:F19"/>
    <mergeCell ref="A4:A6"/>
    <mergeCell ref="B4:B6"/>
    <mergeCell ref="C4:C6"/>
    <mergeCell ref="D4:D6"/>
    <mergeCell ref="E4:E6"/>
    <mergeCell ref="F4:F6"/>
    <mergeCell ref="A17:A19"/>
    <mergeCell ref="B17:B19"/>
    <mergeCell ref="C17:C19"/>
    <mergeCell ref="D17:D19"/>
    <mergeCell ref="E17:E19"/>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37"/>
  <sheetViews>
    <sheetView zoomScale="80" zoomScaleNormal="80" workbookViewId="0">
      <selection activeCell="F19" sqref="F19"/>
    </sheetView>
  </sheetViews>
  <sheetFormatPr defaultColWidth="8.75" defaultRowHeight="14.25"/>
  <cols>
    <col min="1" max="1" width="44.75" style="27" customWidth="1"/>
    <col min="2" max="2" width="19.25" style="27" customWidth="1"/>
    <col min="3" max="3" width="15" style="27" customWidth="1"/>
    <col min="4" max="5" width="14.625" style="27" customWidth="1"/>
    <col min="6" max="6" width="23.5" style="27" customWidth="1"/>
    <col min="7" max="16384" width="8.75" style="27"/>
  </cols>
  <sheetData>
    <row r="2" spans="1:9">
      <c r="A2" s="27" t="s">
        <v>141</v>
      </c>
    </row>
    <row r="3" spans="1:9" ht="15">
      <c r="A3" s="28" t="s">
        <v>14</v>
      </c>
      <c r="B3" s="29"/>
      <c r="C3" s="29"/>
      <c r="D3" s="29"/>
      <c r="E3" s="29"/>
      <c r="F3" s="29"/>
    </row>
    <row r="4" spans="1:9" ht="15.6" customHeight="1">
      <c r="A4" s="189" t="s">
        <v>11</v>
      </c>
      <c r="B4" s="180" t="s">
        <v>13</v>
      </c>
      <c r="C4" s="180" t="s">
        <v>10</v>
      </c>
      <c r="D4" s="180" t="s">
        <v>12</v>
      </c>
      <c r="E4" s="180" t="s">
        <v>201</v>
      </c>
      <c r="F4" s="187" t="s">
        <v>203</v>
      </c>
    </row>
    <row r="5" spans="1:9">
      <c r="A5" s="189"/>
      <c r="B5" s="180"/>
      <c r="C5" s="180"/>
      <c r="D5" s="180"/>
      <c r="E5" s="180"/>
      <c r="F5" s="187"/>
    </row>
    <row r="6" spans="1:9" ht="15" thickBot="1">
      <c r="A6" s="190"/>
      <c r="B6" s="181"/>
      <c r="C6" s="181"/>
      <c r="D6" s="181"/>
      <c r="E6" s="181"/>
      <c r="F6" s="188"/>
    </row>
    <row r="7" spans="1:9" ht="15">
      <c r="A7" s="30"/>
      <c r="B7" s="31"/>
      <c r="C7" s="31"/>
      <c r="D7" s="32"/>
      <c r="E7" s="32"/>
    </row>
    <row r="8" spans="1:9" ht="15">
      <c r="A8" s="34" t="s">
        <v>9</v>
      </c>
      <c r="B8" s="61">
        <v>12.43</v>
      </c>
      <c r="C8" s="62">
        <v>1.68</v>
      </c>
      <c r="D8" s="32">
        <f t="shared" ref="D8:D11" si="0">B8*C8</f>
        <v>20.882400000000001</v>
      </c>
      <c r="E8" s="32" t="s">
        <v>200</v>
      </c>
      <c r="F8" s="27" t="s">
        <v>179</v>
      </c>
    </row>
    <row r="9" spans="1:9" ht="30">
      <c r="A9" s="34" t="s">
        <v>16</v>
      </c>
      <c r="B9" s="61">
        <v>13.15</v>
      </c>
      <c r="C9" s="62">
        <v>1.21</v>
      </c>
      <c r="D9" s="32">
        <f t="shared" si="0"/>
        <v>15.9115</v>
      </c>
      <c r="E9" s="32" t="s">
        <v>200</v>
      </c>
      <c r="F9" s="27" t="s">
        <v>181</v>
      </c>
    </row>
    <row r="10" spans="1:9" ht="30">
      <c r="A10" s="34" t="s">
        <v>7</v>
      </c>
      <c r="B10" s="61">
        <v>15.19</v>
      </c>
      <c r="C10" s="62">
        <v>1.23</v>
      </c>
      <c r="D10" s="32">
        <f t="shared" si="0"/>
        <v>18.683699999999998</v>
      </c>
      <c r="E10" s="32" t="s">
        <v>200</v>
      </c>
      <c r="F10" s="27" t="s">
        <v>180</v>
      </c>
    </row>
    <row r="11" spans="1:9" ht="15">
      <c r="A11" s="34" t="s">
        <v>6</v>
      </c>
      <c r="B11" s="61">
        <v>19.239999999999998</v>
      </c>
      <c r="C11" s="62">
        <v>1.19</v>
      </c>
      <c r="D11" s="32">
        <f t="shared" si="0"/>
        <v>22.895599999999998</v>
      </c>
      <c r="E11" s="158" t="s">
        <v>200</v>
      </c>
      <c r="F11" s="27" t="s">
        <v>182</v>
      </c>
    </row>
    <row r="12" spans="1:9" ht="21" customHeight="1">
      <c r="A12" s="63" t="s">
        <v>5</v>
      </c>
      <c r="B12" s="81">
        <f>SUM(B8:B11)</f>
        <v>60.009999999999991</v>
      </c>
      <c r="C12" s="81"/>
      <c r="D12" s="82">
        <f>SUM(D8:D11)</f>
        <v>78.373199999999997</v>
      </c>
      <c r="E12" s="32"/>
    </row>
    <row r="14" spans="1:9" ht="15">
      <c r="A14" s="27" t="s">
        <v>141</v>
      </c>
      <c r="F14" s="68"/>
      <c r="G14" s="69"/>
      <c r="H14" s="70"/>
      <c r="I14" s="71"/>
    </row>
    <row r="15" spans="1:9" ht="15">
      <c r="A15" s="28" t="s">
        <v>15</v>
      </c>
      <c r="B15" s="29"/>
      <c r="C15" s="29"/>
      <c r="D15" s="29"/>
      <c r="E15" s="29"/>
      <c r="F15" s="29"/>
      <c r="G15" s="69"/>
      <c r="H15" s="70"/>
      <c r="I15" s="71"/>
    </row>
    <row r="16" spans="1:9" ht="15.6" customHeight="1">
      <c r="A16" s="189" t="s">
        <v>11</v>
      </c>
      <c r="B16" s="180" t="s">
        <v>13</v>
      </c>
      <c r="C16" s="180" t="s">
        <v>10</v>
      </c>
      <c r="D16" s="180" t="s">
        <v>12</v>
      </c>
      <c r="E16" s="180" t="s">
        <v>201</v>
      </c>
      <c r="F16" s="187" t="s">
        <v>203</v>
      </c>
      <c r="G16" s="69"/>
      <c r="H16" s="70"/>
      <c r="I16" s="71"/>
    </row>
    <row r="17" spans="1:9" ht="15">
      <c r="A17" s="189"/>
      <c r="B17" s="180"/>
      <c r="C17" s="180"/>
      <c r="D17" s="180"/>
      <c r="E17" s="180"/>
      <c r="F17" s="187"/>
      <c r="G17" s="69"/>
      <c r="H17" s="70"/>
      <c r="I17" s="71"/>
    </row>
    <row r="18" spans="1:9" ht="15.75" thickBot="1">
      <c r="A18" s="190"/>
      <c r="B18" s="181"/>
      <c r="C18" s="181"/>
      <c r="D18" s="181"/>
      <c r="E18" s="181"/>
      <c r="F18" s="188"/>
      <c r="G18" s="69"/>
      <c r="H18" s="70"/>
      <c r="I18" s="71"/>
    </row>
    <row r="19" spans="1:9" ht="15">
      <c r="A19" s="30"/>
      <c r="B19" s="31"/>
      <c r="C19" s="31"/>
      <c r="D19" s="32"/>
      <c r="E19" s="32"/>
      <c r="F19" s="69"/>
      <c r="G19" s="69"/>
      <c r="H19" s="70"/>
      <c r="I19" s="71"/>
    </row>
    <row r="20" spans="1:9" ht="15">
      <c r="A20" s="34" t="s">
        <v>9</v>
      </c>
      <c r="B20" s="61">
        <v>12.43</v>
      </c>
      <c r="C20" s="62">
        <v>1.68</v>
      </c>
      <c r="D20" s="32">
        <f>B20*C20</f>
        <v>20.882400000000001</v>
      </c>
      <c r="E20" s="32" t="s">
        <v>200</v>
      </c>
      <c r="F20" s="27" t="s">
        <v>179</v>
      </c>
    </row>
    <row r="21" spans="1:9" ht="15">
      <c r="A21" s="34" t="s">
        <v>8</v>
      </c>
      <c r="B21" s="61">
        <v>13.15</v>
      </c>
      <c r="C21" s="62">
        <v>1.97</v>
      </c>
      <c r="D21" s="32">
        <f>B21*C21</f>
        <v>25.9055</v>
      </c>
      <c r="E21" s="32" t="s">
        <v>200</v>
      </c>
      <c r="F21" s="27" t="s">
        <v>183</v>
      </c>
    </row>
    <row r="22" spans="1:9" ht="30">
      <c r="A22" s="34" t="s">
        <v>17</v>
      </c>
      <c r="B22" s="61">
        <v>15.19</v>
      </c>
      <c r="C22" s="62">
        <v>1.34</v>
      </c>
      <c r="D22" s="32">
        <f>B22*C22</f>
        <v>20.354600000000001</v>
      </c>
      <c r="E22" s="32" t="s">
        <v>200</v>
      </c>
      <c r="F22" s="27" t="s">
        <v>184</v>
      </c>
    </row>
    <row r="23" spans="1:9" ht="30">
      <c r="A23" s="34" t="s">
        <v>18</v>
      </c>
      <c r="B23" s="61">
        <v>19.239999999999998</v>
      </c>
      <c r="C23" s="62">
        <v>1.28</v>
      </c>
      <c r="D23" s="32">
        <f>B23*C23</f>
        <v>24.627199999999998</v>
      </c>
      <c r="E23" s="158" t="s">
        <v>200</v>
      </c>
      <c r="F23" s="27" t="s">
        <v>185</v>
      </c>
    </row>
    <row r="24" spans="1:9" ht="15">
      <c r="A24" s="63" t="s">
        <v>5</v>
      </c>
      <c r="B24" s="81">
        <f>SUM(B20:B23)</f>
        <v>60.009999999999991</v>
      </c>
      <c r="C24" s="81"/>
      <c r="D24" s="82">
        <f>SUM(D20:D23)</f>
        <v>91.7697</v>
      </c>
      <c r="E24" s="32"/>
    </row>
    <row r="25" spans="1:9" ht="15">
      <c r="A25" s="30"/>
      <c r="B25" s="31"/>
      <c r="C25" s="31"/>
      <c r="D25" s="32"/>
      <c r="E25" s="32"/>
    </row>
    <row r="26" spans="1:9">
      <c r="A26" s="57"/>
    </row>
    <row r="27" spans="1:9">
      <c r="A27" s="57"/>
    </row>
    <row r="30" spans="1:9">
      <c r="A30" s="57"/>
    </row>
    <row r="31" spans="1:9" ht="15">
      <c r="A31" s="83"/>
      <c r="B31" s="57"/>
      <c r="C31" s="52"/>
      <c r="D31" s="52"/>
      <c r="E31" s="52"/>
    </row>
    <row r="32" spans="1:9">
      <c r="A32" s="57"/>
    </row>
    <row r="33" spans="1:1">
      <c r="A33" s="57"/>
    </row>
    <row r="37" spans="1:1">
      <c r="A37" s="57"/>
    </row>
  </sheetData>
  <mergeCells count="12">
    <mergeCell ref="F4:F6"/>
    <mergeCell ref="A4:A6"/>
    <mergeCell ref="B4:B6"/>
    <mergeCell ref="C4:C6"/>
    <mergeCell ref="D4:D6"/>
    <mergeCell ref="E4:E6"/>
    <mergeCell ref="F16:F18"/>
    <mergeCell ref="A16:A18"/>
    <mergeCell ref="B16:B18"/>
    <mergeCell ref="C16:C18"/>
    <mergeCell ref="D16:D18"/>
    <mergeCell ref="E16:E18"/>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89B5-CADB-44A3-B455-0D59B51C3E2B}">
  <dimension ref="A1:G32"/>
  <sheetViews>
    <sheetView zoomScale="80" zoomScaleNormal="80" zoomScaleSheetLayoutView="80" workbookViewId="0">
      <selection activeCell="F12" sqref="F12"/>
    </sheetView>
  </sheetViews>
  <sheetFormatPr defaultRowHeight="15.75"/>
  <cols>
    <col min="1" max="1" width="61.125" customWidth="1"/>
    <col min="2" max="2" width="21.25" customWidth="1"/>
    <col min="3" max="3" width="20.875" customWidth="1"/>
    <col min="4" max="4" width="19.875" customWidth="1"/>
    <col min="5" max="5" width="21.375" style="27" customWidth="1"/>
    <col min="6" max="6" width="17.5" customWidth="1"/>
    <col min="7" max="7" width="15.625" customWidth="1"/>
    <col min="8" max="8" width="13.25" customWidth="1"/>
  </cols>
  <sheetData>
    <row r="1" spans="1:7">
      <c r="B1" t="s">
        <v>107</v>
      </c>
    </row>
    <row r="2" spans="1:7">
      <c r="A2" s="6" t="s">
        <v>86</v>
      </c>
      <c r="B2" s="5"/>
      <c r="C2" s="5"/>
      <c r="D2" s="5"/>
      <c r="E2" s="5"/>
      <c r="F2" s="5"/>
    </row>
    <row r="3" spans="1:7">
      <c r="A3" s="195" t="s">
        <v>11</v>
      </c>
      <c r="B3" s="197" t="s">
        <v>92</v>
      </c>
      <c r="C3" s="197" t="s">
        <v>10</v>
      </c>
      <c r="D3" s="197" t="s">
        <v>95</v>
      </c>
      <c r="E3" s="186" t="s">
        <v>202</v>
      </c>
      <c r="F3" s="193" t="s">
        <v>203</v>
      </c>
    </row>
    <row r="4" spans="1:7">
      <c r="A4" s="195"/>
      <c r="B4" s="197"/>
      <c r="C4" s="197"/>
      <c r="D4" s="197"/>
      <c r="E4" s="186"/>
      <c r="F4" s="193"/>
    </row>
    <row r="5" spans="1:7" ht="16.5" thickBot="1">
      <c r="A5" s="196"/>
      <c r="B5" s="198"/>
      <c r="C5" s="198"/>
      <c r="D5" s="198"/>
      <c r="E5" s="199"/>
      <c r="F5" s="194"/>
    </row>
    <row r="6" spans="1:7">
      <c r="A6" s="4"/>
      <c r="B6" s="2"/>
      <c r="C6" s="2"/>
      <c r="D6" s="3"/>
      <c r="F6" s="27"/>
    </row>
    <row r="7" spans="1:7">
      <c r="A7" s="7" t="s">
        <v>78</v>
      </c>
      <c r="B7" s="2">
        <v>4.07</v>
      </c>
      <c r="C7" s="2">
        <v>2.7</v>
      </c>
      <c r="D7" s="3">
        <f>B7*C7</f>
        <v>10.989000000000001</v>
      </c>
      <c r="E7" s="27" t="s">
        <v>200</v>
      </c>
      <c r="F7" s="27" t="s">
        <v>187</v>
      </c>
    </row>
    <row r="8" spans="1:7">
      <c r="A8" s="7" t="s">
        <v>93</v>
      </c>
      <c r="B8" s="2">
        <v>4.07</v>
      </c>
      <c r="C8" s="2">
        <v>1.88</v>
      </c>
      <c r="D8" s="3">
        <f>B8*C8</f>
        <v>7.6516000000000002</v>
      </c>
      <c r="E8" s="27" t="s">
        <v>200</v>
      </c>
      <c r="F8" s="27" t="s">
        <v>186</v>
      </c>
    </row>
    <row r="9" spans="1:7">
      <c r="A9" s="7" t="s">
        <v>94</v>
      </c>
      <c r="B9" s="2">
        <v>4.07</v>
      </c>
      <c r="C9" s="2">
        <v>0.24</v>
      </c>
      <c r="D9" s="3">
        <f>B9*C9</f>
        <v>0.9768</v>
      </c>
      <c r="E9" s="27" t="s">
        <v>200</v>
      </c>
      <c r="F9" s="27" t="s">
        <v>246</v>
      </c>
    </row>
    <row r="10" spans="1:7" ht="16.5" thickBot="1">
      <c r="B10" s="26"/>
    </row>
    <row r="11" spans="1:7" ht="58.15" customHeight="1">
      <c r="A11" s="84" t="s">
        <v>105</v>
      </c>
      <c r="B11" s="85">
        <v>2.7</v>
      </c>
      <c r="G11" s="8"/>
    </row>
    <row r="12" spans="1:7" ht="30">
      <c r="A12" s="89" t="s">
        <v>143</v>
      </c>
      <c r="B12" s="86">
        <v>1.45</v>
      </c>
      <c r="D12" s="1"/>
      <c r="F12" s="27" t="s">
        <v>247</v>
      </c>
    </row>
    <row r="13" spans="1:7" ht="38.450000000000003" customHeight="1" thickBot="1">
      <c r="A13" s="90" t="s">
        <v>126</v>
      </c>
      <c r="B13" s="87">
        <f>(2.7*0.25)+(1.45*0.75)</f>
        <v>1.7625</v>
      </c>
      <c r="C13" s="10"/>
      <c r="D13" s="10"/>
    </row>
    <row r="14" spans="1:7">
      <c r="A14" s="10"/>
      <c r="B14" s="9"/>
      <c r="C14" s="10"/>
      <c r="D14" s="10"/>
    </row>
    <row r="15" spans="1:7" ht="16.5" thickBot="1">
      <c r="A15" s="11" t="s">
        <v>116</v>
      </c>
      <c r="B15" s="10"/>
      <c r="C15" s="10"/>
      <c r="D15" s="10"/>
    </row>
    <row r="16" spans="1:7">
      <c r="A16" s="12"/>
      <c r="B16" s="13" t="s">
        <v>3</v>
      </c>
      <c r="C16" s="13" t="s">
        <v>2</v>
      </c>
      <c r="D16" s="14" t="s">
        <v>77</v>
      </c>
      <c r="E16" s="98"/>
    </row>
    <row r="17" spans="1:5">
      <c r="A17" s="15" t="s">
        <v>61</v>
      </c>
      <c r="B17" s="16">
        <v>1.655</v>
      </c>
      <c r="C17" s="16">
        <v>2.7949999999999999</v>
      </c>
      <c r="D17" s="16">
        <f>B17+C17</f>
        <v>4.45</v>
      </c>
      <c r="E17" s="100"/>
    </row>
    <row r="18" spans="1:5">
      <c r="A18" s="15" t="s">
        <v>75</v>
      </c>
      <c r="B18" s="16">
        <v>1979290</v>
      </c>
      <c r="C18" s="16">
        <v>1759572</v>
      </c>
      <c r="D18" s="16">
        <f>B18+C18</f>
        <v>3738862</v>
      </c>
      <c r="E18" s="100"/>
    </row>
    <row r="19" spans="1:5">
      <c r="A19" s="15" t="s">
        <v>148</v>
      </c>
      <c r="B19" s="16">
        <v>257266</v>
      </c>
      <c r="C19" s="16">
        <v>203365</v>
      </c>
      <c r="D19" s="16">
        <f>B19+C19</f>
        <v>460631</v>
      </c>
      <c r="E19" s="100"/>
    </row>
    <row r="20" spans="1:5">
      <c r="A20" s="17"/>
      <c r="B20" s="10"/>
      <c r="C20" s="10"/>
      <c r="D20" s="10"/>
      <c r="E20" s="39"/>
    </row>
    <row r="21" spans="1:5">
      <c r="A21" s="18" t="s">
        <v>103</v>
      </c>
      <c r="B21" s="10"/>
      <c r="C21" s="10"/>
      <c r="D21" s="10"/>
      <c r="E21" s="39"/>
    </row>
    <row r="22" spans="1:5">
      <c r="A22" s="15" t="s">
        <v>101</v>
      </c>
      <c r="B22" s="9">
        <f>B19/B18</f>
        <v>0.12997893183919487</v>
      </c>
      <c r="C22" s="9">
        <f>C19/C18</f>
        <v>0.1155764015340094</v>
      </c>
      <c r="D22" s="9">
        <f>D19/D18</f>
        <v>0.12320085630333508</v>
      </c>
      <c r="E22" s="102"/>
    </row>
    <row r="23" spans="1:5">
      <c r="A23" s="15" t="s">
        <v>4</v>
      </c>
      <c r="B23" s="9">
        <f>1-B22</f>
        <v>0.87002106816080516</v>
      </c>
      <c r="C23" s="9">
        <f>1-C22</f>
        <v>0.88442359846599061</v>
      </c>
      <c r="D23" s="9">
        <f>1-D22</f>
        <v>0.8767991436966649</v>
      </c>
      <c r="E23" s="102"/>
    </row>
    <row r="24" spans="1:5">
      <c r="A24" s="19" t="s">
        <v>106</v>
      </c>
      <c r="B24" s="20">
        <v>1.76</v>
      </c>
      <c r="C24" s="20">
        <v>1.76</v>
      </c>
      <c r="D24" s="20">
        <v>1.76</v>
      </c>
      <c r="E24" s="104"/>
    </row>
    <row r="25" spans="1:5">
      <c r="A25" s="15" t="s">
        <v>102</v>
      </c>
      <c r="B25" s="21">
        <f>B22*B24</f>
        <v>0.22876292003698298</v>
      </c>
      <c r="C25" s="21">
        <f>C22*C24</f>
        <v>0.20341446669985655</v>
      </c>
      <c r="D25" s="21">
        <f>D22*D24</f>
        <v>0.21683350709386973</v>
      </c>
      <c r="E25" s="105"/>
    </row>
    <row r="26" spans="1:5" ht="16.5" thickBot="1">
      <c r="A26" s="22" t="s">
        <v>104</v>
      </c>
      <c r="B26" s="23">
        <f>B17/(B23+B25)</f>
        <v>1.5062105179695151</v>
      </c>
      <c r="C26" s="23">
        <f>C17/(C23+C25)</f>
        <v>2.5693162332703312</v>
      </c>
      <c r="D26" s="24">
        <f>D17/(D23+D25)</f>
        <v>4.0690079953111384</v>
      </c>
      <c r="E26" s="111"/>
    </row>
    <row r="28" spans="1:5">
      <c r="A28" s="52" t="s">
        <v>124</v>
      </c>
    </row>
    <row r="29" spans="1:5">
      <c r="A29" s="27" t="s">
        <v>125</v>
      </c>
      <c r="B29" s="27" t="s">
        <v>142</v>
      </c>
    </row>
    <row r="30" spans="1:5" s="27" customFormat="1" ht="14.25">
      <c r="A30" s="27" t="s">
        <v>139</v>
      </c>
      <c r="B30" s="88" t="s">
        <v>147</v>
      </c>
    </row>
    <row r="31" spans="1:5" s="27" customFormat="1" ht="14.25">
      <c r="A31" s="79" t="s">
        <v>138</v>
      </c>
      <c r="B31" s="88" t="s">
        <v>146</v>
      </c>
    </row>
    <row r="32" spans="1:5">
      <c r="A32" s="27" t="s">
        <v>144</v>
      </c>
      <c r="B32" s="27" t="s">
        <v>145</v>
      </c>
    </row>
  </sheetData>
  <mergeCells count="6">
    <mergeCell ref="F3:F5"/>
    <mergeCell ref="A3:A5"/>
    <mergeCell ref="B3:B5"/>
    <mergeCell ref="C3:C5"/>
    <mergeCell ref="D3:D5"/>
    <mergeCell ref="E3: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2FFA7-7CBC-47D6-9DFF-127978C2DB20}">
  <dimension ref="A1:F40"/>
  <sheetViews>
    <sheetView zoomScale="80" zoomScaleNormal="80" workbookViewId="0">
      <selection activeCell="A11" sqref="A11:XFD17"/>
    </sheetView>
  </sheetViews>
  <sheetFormatPr defaultColWidth="8.75" defaultRowHeight="14.25"/>
  <cols>
    <col min="1" max="1" width="65.5" style="27" customWidth="1"/>
    <col min="2" max="2" width="21.75" style="27" customWidth="1"/>
    <col min="3" max="3" width="20.875" style="27" customWidth="1"/>
    <col min="4" max="4" width="19.875" style="27" customWidth="1"/>
    <col min="5" max="5" width="21.375" style="27" customWidth="1"/>
    <col min="6" max="6" width="17.5" style="27" customWidth="1"/>
    <col min="7" max="7" width="15.625" style="27" customWidth="1"/>
    <col min="8" max="16384" width="8.75" style="27"/>
  </cols>
  <sheetData>
    <row r="1" spans="1:6" ht="15.75">
      <c r="A1" s="35"/>
      <c r="B1" s="36"/>
      <c r="C1" s="36"/>
      <c r="D1" s="36"/>
      <c r="E1"/>
    </row>
    <row r="2" spans="1:6" ht="15">
      <c r="A2" s="91" t="s">
        <v>226</v>
      </c>
      <c r="B2" s="29"/>
      <c r="C2" s="29"/>
      <c r="D2" s="29"/>
      <c r="E2" s="29"/>
      <c r="F2" s="5"/>
    </row>
    <row r="3" spans="1:6">
      <c r="A3" s="182" t="s">
        <v>11</v>
      </c>
      <c r="B3" s="180" t="s">
        <v>188</v>
      </c>
      <c r="C3" s="180" t="s">
        <v>10</v>
      </c>
      <c r="D3" s="180" t="s">
        <v>96</v>
      </c>
      <c r="E3" s="180" t="s">
        <v>201</v>
      </c>
      <c r="F3" s="193" t="s">
        <v>203</v>
      </c>
    </row>
    <row r="4" spans="1:6">
      <c r="A4" s="182"/>
      <c r="B4" s="180"/>
      <c r="C4" s="180"/>
      <c r="D4" s="180"/>
      <c r="E4" s="180"/>
      <c r="F4" s="193"/>
    </row>
    <row r="5" spans="1:6" ht="15" thickBot="1">
      <c r="A5" s="183"/>
      <c r="B5" s="181"/>
      <c r="C5" s="181"/>
      <c r="D5" s="181"/>
      <c r="E5" s="181"/>
      <c r="F5" s="194"/>
    </row>
    <row r="6" spans="1:6" ht="15.75">
      <c r="A6" s="92" t="s">
        <v>3</v>
      </c>
      <c r="B6" s="31"/>
      <c r="C6" s="31"/>
      <c r="D6" s="32"/>
      <c r="E6"/>
    </row>
    <row r="7" spans="1:6" ht="15">
      <c r="A7" s="93" t="s">
        <v>78</v>
      </c>
      <c r="B7" s="31">
        <v>1.25</v>
      </c>
      <c r="C7" s="31">
        <v>1.37</v>
      </c>
      <c r="D7" s="32">
        <f>B7*C7</f>
        <v>1.7125000000000001</v>
      </c>
      <c r="E7" s="79" t="s">
        <v>200</v>
      </c>
      <c r="F7" s="27" t="s">
        <v>227</v>
      </c>
    </row>
    <row r="8" spans="1:6" ht="15.75" thickBot="1">
      <c r="A8" s="94" t="s">
        <v>87</v>
      </c>
      <c r="B8" s="95">
        <v>1.25</v>
      </c>
      <c r="C8" s="95">
        <v>1.37</v>
      </c>
      <c r="D8" s="150">
        <f>B8*C8</f>
        <v>1.7125000000000001</v>
      </c>
      <c r="E8" s="160" t="s">
        <v>200</v>
      </c>
      <c r="F8" s="27" t="s">
        <v>228</v>
      </c>
    </row>
    <row r="9" spans="1:6" ht="15.75">
      <c r="E9"/>
    </row>
    <row r="10" spans="1:6" ht="16.5" thickBot="1">
      <c r="A10"/>
      <c r="B10"/>
      <c r="C10"/>
      <c r="D10"/>
      <c r="E10"/>
      <c r="F10" s="118"/>
    </row>
    <row r="12" spans="1:6" ht="15" thickBot="1">
      <c r="A12" s="96" t="s">
        <v>116</v>
      </c>
    </row>
    <row r="13" spans="1:6" ht="15.75" thickBot="1">
      <c r="A13" s="97" t="s">
        <v>109</v>
      </c>
      <c r="B13" s="98" t="s">
        <v>3</v>
      </c>
      <c r="C13" s="53"/>
      <c r="D13" s="53"/>
      <c r="E13" s="53"/>
    </row>
    <row r="14" spans="1:6" ht="15">
      <c r="A14" s="99" t="s">
        <v>61</v>
      </c>
      <c r="B14" s="100">
        <v>1.28</v>
      </c>
      <c r="C14" s="55"/>
      <c r="D14" s="55"/>
      <c r="E14" s="55"/>
    </row>
    <row r="15" spans="1:6" ht="15">
      <c r="A15" s="99" t="s">
        <v>75</v>
      </c>
      <c r="B15" s="100">
        <v>1979290</v>
      </c>
      <c r="C15" s="55"/>
      <c r="D15" s="55"/>
      <c r="E15" s="55"/>
    </row>
    <row r="16" spans="1:6" ht="15">
      <c r="A16" s="99" t="s">
        <v>148</v>
      </c>
      <c r="B16" s="100">
        <v>257266</v>
      </c>
      <c r="C16" s="55"/>
      <c r="D16" s="55"/>
      <c r="E16" s="55"/>
    </row>
    <row r="17" spans="1:5">
      <c r="A17" s="17"/>
      <c r="B17" s="39"/>
    </row>
    <row r="18" spans="1:5" ht="15">
      <c r="A18" s="101" t="s">
        <v>103</v>
      </c>
      <c r="B18" s="39"/>
    </row>
    <row r="19" spans="1:5" ht="15">
      <c r="A19" s="99" t="s">
        <v>101</v>
      </c>
      <c r="B19" s="102">
        <f>B16/B15</f>
        <v>0.12997893183919487</v>
      </c>
      <c r="C19" s="48"/>
      <c r="D19" s="48"/>
      <c r="E19" s="48"/>
    </row>
    <row r="20" spans="1:5" ht="15">
      <c r="A20" s="99" t="s">
        <v>4</v>
      </c>
      <c r="B20" s="102">
        <f>1-B19</f>
        <v>0.87002106816080516</v>
      </c>
      <c r="C20" s="48"/>
      <c r="D20" s="48"/>
      <c r="E20" s="48"/>
    </row>
    <row r="21" spans="1:5" ht="30">
      <c r="A21" s="103" t="s">
        <v>111</v>
      </c>
      <c r="B21" s="104">
        <v>1.2</v>
      </c>
      <c r="C21" s="60"/>
      <c r="D21" s="60"/>
      <c r="E21" s="60"/>
    </row>
    <row r="22" spans="1:5" ht="15">
      <c r="A22" s="99" t="s">
        <v>102</v>
      </c>
      <c r="B22" s="105">
        <f>B19*B21</f>
        <v>0.15597471820703385</v>
      </c>
      <c r="C22" s="56"/>
      <c r="D22" s="56"/>
      <c r="E22" s="56"/>
    </row>
    <row r="23" spans="1:5" ht="15.75" thickBot="1">
      <c r="A23" s="106" t="s">
        <v>104</v>
      </c>
      <c r="B23" s="107">
        <f>B14/(B20+B22)</f>
        <v>1.2475684764080459</v>
      </c>
      <c r="C23" s="108"/>
      <c r="D23" s="108"/>
      <c r="E23" s="108"/>
    </row>
    <row r="24" spans="1:5" ht="15" thickBot="1"/>
    <row r="25" spans="1:5" ht="16.5" thickBot="1">
      <c r="A25" s="97" t="s">
        <v>110</v>
      </c>
      <c r="B25" s="109" t="s">
        <v>3</v>
      </c>
      <c r="C25" s="109" t="s">
        <v>2</v>
      </c>
      <c r="D25" s="144" t="s">
        <v>77</v>
      </c>
      <c r="E25"/>
    </row>
    <row r="26" spans="1:5" ht="15.75">
      <c r="A26" s="99" t="s">
        <v>108</v>
      </c>
      <c r="B26" s="55">
        <v>2.56</v>
      </c>
      <c r="C26" s="55">
        <v>3.14</v>
      </c>
      <c r="D26" s="100">
        <f>B26+C26</f>
        <v>5.7</v>
      </c>
      <c r="E26"/>
    </row>
    <row r="27" spans="1:5" ht="15.75">
      <c r="A27" s="99" t="s">
        <v>75</v>
      </c>
      <c r="B27" s="55">
        <v>1979290</v>
      </c>
      <c r="C27" s="55">
        <v>1759572</v>
      </c>
      <c r="D27" s="100">
        <f>B27+C27</f>
        <v>3738862</v>
      </c>
      <c r="E27"/>
    </row>
    <row r="28" spans="1:5" ht="15.75">
      <c r="A28" s="99" t="s">
        <v>148</v>
      </c>
      <c r="B28" s="55">
        <v>257266</v>
      </c>
      <c r="C28" s="55">
        <v>203365</v>
      </c>
      <c r="D28" s="100">
        <f>B28+C28</f>
        <v>460631</v>
      </c>
      <c r="E28"/>
    </row>
    <row r="29" spans="1:5" ht="15.75">
      <c r="A29" s="17"/>
      <c r="D29" s="39"/>
      <c r="E29"/>
    </row>
    <row r="30" spans="1:5" ht="15.75">
      <c r="A30" s="101" t="s">
        <v>103</v>
      </c>
      <c r="D30" s="39"/>
      <c r="E30"/>
    </row>
    <row r="31" spans="1:5" ht="15.75">
      <c r="A31" s="99" t="s">
        <v>101</v>
      </c>
      <c r="B31" s="48">
        <f>B28/B27</f>
        <v>0.12997893183919487</v>
      </c>
      <c r="C31" s="48">
        <f>C28/C27</f>
        <v>0.1155764015340094</v>
      </c>
      <c r="D31" s="102">
        <f>D28/D27</f>
        <v>0.12320085630333508</v>
      </c>
      <c r="E31"/>
    </row>
    <row r="32" spans="1:5" ht="15.75">
      <c r="A32" s="99" t="s">
        <v>4</v>
      </c>
      <c r="B32" s="48">
        <f>1-B31</f>
        <v>0.87002106816080516</v>
      </c>
      <c r="C32" s="48">
        <f>1-C31</f>
        <v>0.88442359846599061</v>
      </c>
      <c r="D32" s="102">
        <f>1-D31</f>
        <v>0.8767991436966649</v>
      </c>
      <c r="E32"/>
    </row>
    <row r="33" spans="1:5" ht="30">
      <c r="A33" s="103" t="s">
        <v>111</v>
      </c>
      <c r="B33" s="60">
        <v>1.2</v>
      </c>
      <c r="C33" s="60">
        <v>1.2</v>
      </c>
      <c r="D33" s="104">
        <v>1.2</v>
      </c>
      <c r="E33"/>
    </row>
    <row r="34" spans="1:5" ht="15.75">
      <c r="A34" s="99" t="s">
        <v>102</v>
      </c>
      <c r="B34" s="56">
        <f>B31*B33</f>
        <v>0.15597471820703385</v>
      </c>
      <c r="C34" s="56">
        <f>C31*C33</f>
        <v>0.13869168184081127</v>
      </c>
      <c r="D34" s="105">
        <f>D31*D33</f>
        <v>0.14784102756400208</v>
      </c>
      <c r="E34"/>
    </row>
    <row r="35" spans="1:5" ht="16.5" thickBot="1">
      <c r="A35" s="106" t="s">
        <v>104</v>
      </c>
      <c r="B35" s="110">
        <f>B26/(B32+B34)</f>
        <v>2.4951369528160918</v>
      </c>
      <c r="C35" s="110">
        <f>C26/(C32+C34)</f>
        <v>3.0690578671236413</v>
      </c>
      <c r="D35" s="145">
        <f>D26/(D32+D34)</f>
        <v>5.5629284893124966</v>
      </c>
      <c r="E35"/>
    </row>
    <row r="37" spans="1:5" ht="15">
      <c r="A37" s="52" t="s">
        <v>121</v>
      </c>
    </row>
    <row r="38" spans="1:5">
      <c r="A38" s="27" t="s">
        <v>127</v>
      </c>
      <c r="B38" s="27" t="s">
        <v>149</v>
      </c>
    </row>
    <row r="39" spans="1:5">
      <c r="A39" s="27" t="s">
        <v>139</v>
      </c>
      <c r="B39" s="88" t="s">
        <v>147</v>
      </c>
    </row>
    <row r="40" spans="1:5">
      <c r="A40" s="79" t="s">
        <v>138</v>
      </c>
      <c r="B40" s="88" t="s">
        <v>146</v>
      </c>
    </row>
  </sheetData>
  <mergeCells count="6">
    <mergeCell ref="E3:E5"/>
    <mergeCell ref="F3:F5"/>
    <mergeCell ref="A3:A5"/>
    <mergeCell ref="B3:B5"/>
    <mergeCell ref="C3:C5"/>
    <mergeCell ref="D3: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5D5D-E02A-496C-994B-63F5376EE8A3}">
  <dimension ref="A1:G44"/>
  <sheetViews>
    <sheetView zoomScale="80" zoomScaleNormal="80" workbookViewId="0">
      <selection activeCell="J21" sqref="J21"/>
    </sheetView>
  </sheetViews>
  <sheetFormatPr defaultColWidth="8.75" defaultRowHeight="14.25"/>
  <cols>
    <col min="1" max="1" width="68.25" style="27" customWidth="1"/>
    <col min="2" max="2" width="21.25" style="27" customWidth="1"/>
    <col min="3" max="3" width="20.875" style="27" customWidth="1"/>
    <col min="4" max="4" width="19.875" style="27" customWidth="1"/>
    <col min="5" max="5" width="25.25" style="27" customWidth="1"/>
    <col min="6" max="6" width="17.5" style="27" customWidth="1"/>
    <col min="7" max="7" width="15.625" style="27" customWidth="1"/>
    <col min="8" max="16384" width="8.75" style="27"/>
  </cols>
  <sheetData>
    <row r="1" spans="1:7" ht="15.75">
      <c r="A1" s="35"/>
      <c r="B1" s="36" t="s">
        <v>157</v>
      </c>
      <c r="C1" s="36"/>
      <c r="D1" s="36"/>
      <c r="E1" s="36"/>
      <c r="F1" s="37"/>
      <c r="G1"/>
    </row>
    <row r="2" spans="1:7" ht="15.75">
      <c r="A2" s="91" t="s">
        <v>100</v>
      </c>
      <c r="B2" s="29"/>
      <c r="C2" s="29"/>
      <c r="D2" s="29"/>
      <c r="E2" s="29"/>
      <c r="F2" s="146"/>
      <c r="G2"/>
    </row>
    <row r="3" spans="1:7" ht="15.75">
      <c r="A3" s="182" t="s">
        <v>11</v>
      </c>
      <c r="B3" s="180" t="s">
        <v>98</v>
      </c>
      <c r="C3" s="180" t="s">
        <v>10</v>
      </c>
      <c r="D3" s="180" t="s">
        <v>97</v>
      </c>
      <c r="E3" s="180" t="s">
        <v>201</v>
      </c>
      <c r="F3" s="184" t="s">
        <v>203</v>
      </c>
      <c r="G3"/>
    </row>
    <row r="4" spans="1:7" ht="15.75">
      <c r="A4" s="182"/>
      <c r="B4" s="180"/>
      <c r="C4" s="180"/>
      <c r="D4" s="180"/>
      <c r="E4" s="180"/>
      <c r="F4" s="184"/>
      <c r="G4"/>
    </row>
    <row r="5" spans="1:7" ht="16.5" thickBot="1">
      <c r="A5" s="183"/>
      <c r="B5" s="181"/>
      <c r="C5" s="181"/>
      <c r="D5" s="181"/>
      <c r="E5" s="181"/>
      <c r="F5" s="185"/>
      <c r="G5"/>
    </row>
    <row r="6" spans="1:7" ht="15">
      <c r="A6" s="92"/>
      <c r="B6" s="31"/>
      <c r="C6" s="31"/>
      <c r="D6" s="32"/>
      <c r="E6" s="32"/>
      <c r="F6" s="147"/>
      <c r="G6" s="33"/>
    </row>
    <row r="7" spans="1:7" ht="15">
      <c r="A7" s="93" t="s">
        <v>78</v>
      </c>
      <c r="B7" s="148">
        <v>9.3000000000000007</v>
      </c>
      <c r="C7" s="31">
        <v>0.94</v>
      </c>
      <c r="D7" s="32">
        <f>B7*C7</f>
        <v>8.7420000000000009</v>
      </c>
      <c r="E7" s="32" t="s">
        <v>204</v>
      </c>
      <c r="F7" s="152" t="s">
        <v>190</v>
      </c>
      <c r="G7" s="33"/>
    </row>
    <row r="8" spans="1:7" ht="15.75" thickBot="1">
      <c r="A8" s="94" t="s">
        <v>87</v>
      </c>
      <c r="B8" s="149">
        <v>9.3000000000000007</v>
      </c>
      <c r="C8" s="95">
        <v>1.06</v>
      </c>
      <c r="D8" s="150">
        <f>B8*C8</f>
        <v>9.8580000000000005</v>
      </c>
      <c r="E8" s="150" t="s">
        <v>204</v>
      </c>
      <c r="F8" s="151" t="s">
        <v>189</v>
      </c>
      <c r="G8" s="33"/>
    </row>
    <row r="9" spans="1:7" ht="15" thickBot="1"/>
    <row r="10" spans="1:7" ht="29.25">
      <c r="A10" s="128" t="s">
        <v>160</v>
      </c>
      <c r="B10" s="37">
        <v>0.94</v>
      </c>
      <c r="C10"/>
      <c r="G10" s="55"/>
    </row>
    <row r="11" spans="1:7" ht="29.25">
      <c r="A11" s="38" t="s">
        <v>161</v>
      </c>
      <c r="B11" s="39">
        <v>1.06</v>
      </c>
      <c r="C11"/>
    </row>
    <row r="12" spans="1:7" ht="16.5" thickBot="1">
      <c r="A12" s="40" t="s">
        <v>150</v>
      </c>
      <c r="B12" s="127">
        <f>(0.94*0.25)+(1.06*0.75)</f>
        <v>1.03</v>
      </c>
      <c r="C12"/>
    </row>
    <row r="13" spans="1:7" ht="15.75">
      <c r="A13" s="41"/>
      <c r="B13" s="41"/>
      <c r="C13"/>
    </row>
    <row r="14" spans="1:7">
      <c r="A14" s="41"/>
      <c r="B14" s="41"/>
    </row>
    <row r="15" spans="1:7">
      <c r="A15" s="41"/>
      <c r="B15" s="41"/>
    </row>
    <row r="16" spans="1:7">
      <c r="A16" s="42" t="s">
        <v>116</v>
      </c>
      <c r="B16" s="41"/>
    </row>
    <row r="17" spans="1:7" ht="15" thickBot="1"/>
    <row r="18" spans="1:7" ht="42.75">
      <c r="A18" s="43" t="s">
        <v>79</v>
      </c>
      <c r="B18" s="44" t="s">
        <v>80</v>
      </c>
      <c r="C18" s="45" t="s">
        <v>119</v>
      </c>
      <c r="D18" s="27" t="s">
        <v>81</v>
      </c>
      <c r="E18" s="27" t="s">
        <v>82</v>
      </c>
      <c r="F18" s="27" t="s">
        <v>83</v>
      </c>
    </row>
    <row r="19" spans="1:7">
      <c r="A19" s="46">
        <v>2017</v>
      </c>
      <c r="B19" s="25" t="s">
        <v>3</v>
      </c>
      <c r="C19" s="47">
        <v>3015</v>
      </c>
      <c r="D19" s="27">
        <v>1979290</v>
      </c>
      <c r="E19" s="48">
        <f>(C19*1000)/D19</f>
        <v>1.5232734970620778</v>
      </c>
      <c r="F19" s="48">
        <f>E19*5</f>
        <v>7.6163674853103895</v>
      </c>
      <c r="G19" s="48"/>
    </row>
    <row r="20" spans="1:7">
      <c r="A20" s="46">
        <v>2017</v>
      </c>
      <c r="B20" s="25" t="s">
        <v>2</v>
      </c>
      <c r="C20" s="47">
        <v>3965</v>
      </c>
      <c r="D20" s="27">
        <v>1759572</v>
      </c>
      <c r="E20" s="48">
        <f>(C20*1000)/D20</f>
        <v>2.2533888922988092</v>
      </c>
      <c r="F20" s="48">
        <f t="shared" ref="F20:F21" si="0">E20*5</f>
        <v>11.266944461494045</v>
      </c>
      <c r="G20" s="48"/>
    </row>
    <row r="21" spans="1:7">
      <c r="A21" s="46">
        <v>2017</v>
      </c>
      <c r="B21" s="25" t="s">
        <v>1</v>
      </c>
      <c r="C21" s="47">
        <v>4835</v>
      </c>
      <c r="D21" s="27">
        <v>1520031</v>
      </c>
      <c r="E21" s="48">
        <f>(C21*1000)/D21</f>
        <v>3.1808561799068573</v>
      </c>
      <c r="F21" s="48">
        <f t="shared" si="0"/>
        <v>15.904280899534287</v>
      </c>
      <c r="G21" s="48"/>
    </row>
    <row r="22" spans="1:7" ht="15" thickBot="1">
      <c r="A22" s="49">
        <v>2017</v>
      </c>
      <c r="B22" s="50" t="s">
        <v>0</v>
      </c>
      <c r="C22" s="51">
        <v>5920</v>
      </c>
    </row>
    <row r="23" spans="1:7" ht="15" thickBot="1"/>
    <row r="24" spans="1:7" ht="15" thickBot="1">
      <c r="A24" s="120" t="s">
        <v>84</v>
      </c>
      <c r="B24" s="121" t="s">
        <v>77</v>
      </c>
      <c r="C24" s="122">
        <f>C19+C20</f>
        <v>6980</v>
      </c>
      <c r="D24" s="123">
        <f>D20+D19</f>
        <v>3738862</v>
      </c>
      <c r="E24" s="124">
        <f>(C24*1000)/D24</f>
        <v>1.8668782105357191</v>
      </c>
      <c r="F24" s="125">
        <f>E24*5</f>
        <v>9.3343910526785958</v>
      </c>
      <c r="G24" s="48"/>
    </row>
    <row r="25" spans="1:7" ht="15" thickBot="1"/>
    <row r="26" spans="1:7" ht="15">
      <c r="A26" s="112" t="s">
        <v>109</v>
      </c>
      <c r="B26" s="113" t="s">
        <v>3</v>
      </c>
      <c r="C26" s="113" t="s">
        <v>2</v>
      </c>
      <c r="D26" s="37" t="s">
        <v>77</v>
      </c>
    </row>
    <row r="27" spans="1:7" ht="15">
      <c r="A27" s="99" t="s">
        <v>112</v>
      </c>
      <c r="B27" s="54">
        <v>3015</v>
      </c>
      <c r="C27" s="54">
        <v>3965</v>
      </c>
      <c r="D27" s="114">
        <f>B27+C27</f>
        <v>6980</v>
      </c>
    </row>
    <row r="28" spans="1:7" ht="15">
      <c r="A28" s="99" t="s">
        <v>75</v>
      </c>
      <c r="B28" s="55">
        <v>1979290</v>
      </c>
      <c r="C28" s="56">
        <v>1759572</v>
      </c>
      <c r="D28" s="114">
        <f t="shared" ref="D28" si="1">B28+C28</f>
        <v>3738862</v>
      </c>
    </row>
    <row r="29" spans="1:7" ht="15">
      <c r="A29" s="99" t="s">
        <v>113</v>
      </c>
      <c r="B29" s="55">
        <f>(B27*1000)/B28</f>
        <v>1.5232734970620778</v>
      </c>
      <c r="C29" s="55">
        <f>(C27*1000)/C28</f>
        <v>2.2533888922988092</v>
      </c>
      <c r="D29" s="100">
        <f>(D27*1000)/D28</f>
        <v>1.8668782105357191</v>
      </c>
    </row>
    <row r="30" spans="1:7" ht="15">
      <c r="A30" s="99" t="s">
        <v>83</v>
      </c>
      <c r="B30" s="55">
        <f>B29*5</f>
        <v>7.6163674853103895</v>
      </c>
      <c r="C30" s="56">
        <f>C29*5</f>
        <v>11.266944461494045</v>
      </c>
      <c r="D30" s="115">
        <f>D29*5</f>
        <v>9.3343910526785958</v>
      </c>
    </row>
    <row r="31" spans="1:7" ht="15">
      <c r="A31" s="99" t="s">
        <v>148</v>
      </c>
      <c r="B31" s="55">
        <v>257266</v>
      </c>
      <c r="C31" s="55">
        <v>203365</v>
      </c>
      <c r="D31" s="116">
        <f>B31+C31</f>
        <v>460631</v>
      </c>
    </row>
    <row r="32" spans="1:7">
      <c r="A32" s="17"/>
      <c r="D32" s="39"/>
    </row>
    <row r="33" spans="1:4" ht="15">
      <c r="A33" s="101" t="s">
        <v>156</v>
      </c>
      <c r="D33" s="39"/>
    </row>
    <row r="34" spans="1:4" ht="15">
      <c r="A34" s="99" t="s">
        <v>101</v>
      </c>
      <c r="B34" s="48">
        <f>B31/B28</f>
        <v>0.12997893183919487</v>
      </c>
      <c r="C34" s="48">
        <f>C31/C28</f>
        <v>0.1155764015340094</v>
      </c>
      <c r="D34" s="102">
        <f>D31/D28</f>
        <v>0.12320085630333508</v>
      </c>
    </row>
    <row r="35" spans="1:4" ht="15">
      <c r="A35" s="99" t="s">
        <v>4</v>
      </c>
      <c r="B35" s="48">
        <f>1-B34</f>
        <v>0.87002106816080516</v>
      </c>
      <c r="C35" s="48">
        <f>1-C34</f>
        <v>0.88442359846599061</v>
      </c>
      <c r="D35" s="102">
        <f>1-D34</f>
        <v>0.8767991436966649</v>
      </c>
    </row>
    <row r="36" spans="1:4" ht="30">
      <c r="A36" s="103" t="s">
        <v>129</v>
      </c>
      <c r="B36" s="60">
        <v>1.03</v>
      </c>
      <c r="C36" s="60">
        <v>1.03</v>
      </c>
      <c r="D36" s="117">
        <v>1.03</v>
      </c>
    </row>
    <row r="37" spans="1:4" ht="15">
      <c r="A37" s="99" t="s">
        <v>102</v>
      </c>
      <c r="B37" s="56">
        <f>B34*B36</f>
        <v>0.13387829979437071</v>
      </c>
      <c r="C37" s="56">
        <f>C34*C36</f>
        <v>0.11904369358002968</v>
      </c>
      <c r="D37" s="102">
        <f>D34*D36</f>
        <v>0.12689688199243512</v>
      </c>
    </row>
    <row r="38" spans="1:4" ht="15.75" thickBot="1">
      <c r="A38" s="106" t="s">
        <v>104</v>
      </c>
      <c r="B38" s="118"/>
      <c r="C38" s="118"/>
      <c r="D38" s="119">
        <f>F24/(D35+D37)</f>
        <v>9.3000179474357818</v>
      </c>
    </row>
    <row r="40" spans="1:4" ht="15">
      <c r="A40" s="52" t="s">
        <v>121</v>
      </c>
    </row>
    <row r="41" spans="1:4">
      <c r="A41" s="27" t="s">
        <v>151</v>
      </c>
      <c r="B41" s="27" t="s">
        <v>152</v>
      </c>
    </row>
    <row r="42" spans="1:4">
      <c r="A42" s="27" t="s">
        <v>128</v>
      </c>
      <c r="B42" s="88" t="s">
        <v>155</v>
      </c>
    </row>
    <row r="43" spans="1:4">
      <c r="A43" s="27" t="s">
        <v>153</v>
      </c>
      <c r="B43" s="27" t="s">
        <v>154</v>
      </c>
    </row>
    <row r="44" spans="1:4">
      <c r="A44" s="27" t="s">
        <v>139</v>
      </c>
      <c r="B44" s="88" t="s">
        <v>147</v>
      </c>
    </row>
  </sheetData>
  <mergeCells count="6">
    <mergeCell ref="A3:A5"/>
    <mergeCell ref="B3:B5"/>
    <mergeCell ref="C3:C5"/>
    <mergeCell ref="D3:D5"/>
    <mergeCell ref="F3:F5"/>
    <mergeCell ref="E3:E5"/>
  </mergeCells>
  <hyperlinks>
    <hyperlink ref="B42" r:id="rId1" display="https://digital.nhs.uk/data-and-information/data-tools-and-services/data-services/hospital-episode-statistics" xr:uid="{FAF83A0A-82F5-42EA-A4E8-3E51F0A41EE7}"/>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B1C3-E632-43CC-BCF7-AD384D21D610}">
  <dimension ref="A1:G48"/>
  <sheetViews>
    <sheetView zoomScale="80" zoomScaleNormal="80" workbookViewId="0">
      <selection activeCell="D42" sqref="D42"/>
    </sheetView>
  </sheetViews>
  <sheetFormatPr defaultColWidth="8.75" defaultRowHeight="14.25"/>
  <cols>
    <col min="1" max="1" width="53" style="27" customWidth="1"/>
    <col min="2" max="2" width="21.25" style="27" customWidth="1"/>
    <col min="3" max="3" width="20.875" style="27" customWidth="1"/>
    <col min="4" max="4" width="19.875" style="27" customWidth="1"/>
    <col min="5" max="5" width="21.375" style="27" customWidth="1"/>
    <col min="6" max="6" width="17.5" style="27" customWidth="1"/>
    <col min="7" max="7" width="15.625" style="27" customWidth="1"/>
    <col min="8" max="16384" width="8.75" style="27"/>
  </cols>
  <sheetData>
    <row r="1" spans="1:7">
      <c r="B1" s="27" t="s">
        <v>88</v>
      </c>
    </row>
    <row r="2" spans="1:7" ht="15">
      <c r="A2" s="28" t="s">
        <v>100</v>
      </c>
      <c r="B2" s="29"/>
      <c r="C2" s="29"/>
      <c r="D2" s="29"/>
      <c r="E2" s="29"/>
      <c r="F2" s="161"/>
    </row>
    <row r="3" spans="1:7" ht="15.6" customHeight="1">
      <c r="A3" s="189" t="s">
        <v>11</v>
      </c>
      <c r="B3" s="180" t="s">
        <v>76</v>
      </c>
      <c r="C3" s="180" t="s">
        <v>91</v>
      </c>
      <c r="D3" s="180" t="s">
        <v>99</v>
      </c>
      <c r="E3" s="180" t="s">
        <v>201</v>
      </c>
      <c r="F3" s="193" t="s">
        <v>203</v>
      </c>
      <c r="G3" s="186" t="s">
        <v>122</v>
      </c>
    </row>
    <row r="4" spans="1:7">
      <c r="A4" s="189"/>
      <c r="B4" s="180"/>
      <c r="C4" s="180"/>
      <c r="D4" s="180"/>
      <c r="E4" s="180"/>
      <c r="F4" s="193"/>
      <c r="G4" s="186"/>
    </row>
    <row r="5" spans="1:7" ht="15" thickBot="1">
      <c r="A5" s="190"/>
      <c r="B5" s="181"/>
      <c r="C5" s="181"/>
      <c r="D5" s="181"/>
      <c r="E5" s="181"/>
      <c r="F5" s="194"/>
      <c r="G5" s="186"/>
    </row>
    <row r="6" spans="1:7" ht="15">
      <c r="A6" s="30"/>
      <c r="B6" s="31"/>
      <c r="C6" s="31"/>
      <c r="D6" s="32"/>
    </row>
    <row r="7" spans="1:7" s="157" customFormat="1" ht="15">
      <c r="A7" s="153" t="s">
        <v>78</v>
      </c>
      <c r="B7" s="154">
        <v>2.79</v>
      </c>
      <c r="C7" s="155">
        <v>1.33</v>
      </c>
      <c r="D7" s="156">
        <f t="shared" ref="D7:D12" si="0">B7*C7</f>
        <v>3.7107000000000001</v>
      </c>
      <c r="E7" s="157" t="s">
        <v>204</v>
      </c>
      <c r="G7" s="157" t="s">
        <v>205</v>
      </c>
    </row>
    <row r="8" spans="1:7" ht="15">
      <c r="A8" s="126" t="s">
        <v>158</v>
      </c>
      <c r="B8" s="31">
        <v>2.79</v>
      </c>
      <c r="C8" s="62">
        <v>1.33</v>
      </c>
      <c r="D8" s="32">
        <f t="shared" si="0"/>
        <v>3.7107000000000001</v>
      </c>
      <c r="E8" s="27" t="s">
        <v>204</v>
      </c>
      <c r="F8" s="27" t="s">
        <v>209</v>
      </c>
    </row>
    <row r="9" spans="1:7">
      <c r="A9" s="126" t="s">
        <v>159</v>
      </c>
      <c r="B9" s="31">
        <v>2.79</v>
      </c>
      <c r="C9" s="31">
        <v>0.88</v>
      </c>
      <c r="D9" s="32">
        <f t="shared" si="0"/>
        <v>2.4552</v>
      </c>
      <c r="E9" s="27" t="s">
        <v>199</v>
      </c>
      <c r="F9" s="27" t="s">
        <v>192</v>
      </c>
    </row>
    <row r="10" spans="1:7" s="157" customFormat="1" ht="15">
      <c r="A10" s="153" t="s">
        <v>87</v>
      </c>
      <c r="B10" s="154">
        <v>2.79</v>
      </c>
      <c r="C10" s="155">
        <v>1.23</v>
      </c>
      <c r="D10" s="156">
        <f t="shared" si="0"/>
        <v>3.4317000000000002</v>
      </c>
      <c r="E10" s="157" t="s">
        <v>204</v>
      </c>
      <c r="G10" s="157" t="s">
        <v>205</v>
      </c>
    </row>
    <row r="11" spans="1:7" ht="15">
      <c r="A11" s="126" t="s">
        <v>89</v>
      </c>
      <c r="B11" s="31">
        <v>2.79</v>
      </c>
      <c r="C11" s="62">
        <v>1.23</v>
      </c>
      <c r="D11" s="32">
        <f t="shared" si="0"/>
        <v>3.4317000000000002</v>
      </c>
      <c r="E11" s="27" t="s">
        <v>204</v>
      </c>
      <c r="F11" s="27" t="s">
        <v>206</v>
      </c>
    </row>
    <row r="12" spans="1:7">
      <c r="A12" s="126" t="s">
        <v>90</v>
      </c>
      <c r="B12" s="31">
        <v>2.79</v>
      </c>
      <c r="C12" s="31">
        <v>0.96</v>
      </c>
      <c r="D12" s="32">
        <f t="shared" si="0"/>
        <v>2.6783999999999999</v>
      </c>
      <c r="E12" s="27" t="s">
        <v>199</v>
      </c>
      <c r="F12" s="27" t="s">
        <v>191</v>
      </c>
    </row>
    <row r="14" spans="1:7" ht="16.5" thickBot="1">
      <c r="A14"/>
      <c r="B14"/>
      <c r="C14"/>
      <c r="G14" s="55"/>
    </row>
    <row r="15" spans="1:7" ht="29.25">
      <c r="A15" s="128" t="s">
        <v>208</v>
      </c>
      <c r="B15" s="131">
        <v>1.33</v>
      </c>
      <c r="C15"/>
      <c r="G15" s="55"/>
    </row>
    <row r="16" spans="1:7" ht="29.25">
      <c r="A16" s="38" t="s">
        <v>207</v>
      </c>
      <c r="B16" s="132">
        <v>1.23</v>
      </c>
      <c r="C16"/>
      <c r="G16" s="55"/>
    </row>
    <row r="17" spans="1:7" ht="16.5" thickBot="1">
      <c r="A17" s="130" t="s">
        <v>85</v>
      </c>
      <c r="B17" s="133">
        <f>(0.25*B15)+(0.75*B16)</f>
        <v>1.2549999999999999</v>
      </c>
      <c r="C17"/>
    </row>
    <row r="18" spans="1:7" ht="15.75">
      <c r="B18"/>
      <c r="C18"/>
    </row>
    <row r="19" spans="1:7">
      <c r="A19" s="41"/>
      <c r="B19" s="41"/>
    </row>
    <row r="20" spans="1:7">
      <c r="A20" s="42" t="s">
        <v>116</v>
      </c>
      <c r="B20" s="41"/>
    </row>
    <row r="21" spans="1:7" ht="15" thickBot="1"/>
    <row r="22" spans="1:7" ht="42.75">
      <c r="A22" s="43" t="s">
        <v>79</v>
      </c>
      <c r="B22" s="44" t="s">
        <v>80</v>
      </c>
      <c r="C22" s="134" t="s">
        <v>120</v>
      </c>
      <c r="D22" s="27" t="s">
        <v>81</v>
      </c>
      <c r="E22" s="27" t="s">
        <v>82</v>
      </c>
      <c r="F22" s="27" t="s">
        <v>83</v>
      </c>
    </row>
    <row r="23" spans="1:7" ht="15">
      <c r="A23" s="46">
        <v>2017</v>
      </c>
      <c r="B23" s="53" t="s">
        <v>3</v>
      </c>
      <c r="C23" s="47">
        <v>975</v>
      </c>
      <c r="D23" s="27">
        <v>1979290</v>
      </c>
      <c r="E23" s="48">
        <f>(C23*1000)/D23</f>
        <v>0.49260088213450276</v>
      </c>
      <c r="F23" s="48">
        <f>E23*5</f>
        <v>2.463004410672514</v>
      </c>
      <c r="G23" s="48"/>
    </row>
    <row r="24" spans="1:7" ht="15">
      <c r="A24" s="46">
        <v>2017</v>
      </c>
      <c r="B24" s="53" t="s">
        <v>2</v>
      </c>
      <c r="C24" s="47">
        <v>1180</v>
      </c>
      <c r="D24" s="27">
        <v>1759572</v>
      </c>
      <c r="E24" s="48">
        <f>(C24*1000)/D24</f>
        <v>0.67061762746849807</v>
      </c>
      <c r="F24" s="48">
        <f t="shared" ref="F24:F25" si="1">E24*5</f>
        <v>3.3530881373424903</v>
      </c>
      <c r="G24" s="48"/>
    </row>
    <row r="25" spans="1:7">
      <c r="A25" s="46">
        <v>2017</v>
      </c>
      <c r="B25" s="25" t="s">
        <v>1</v>
      </c>
      <c r="C25" s="47">
        <v>1565</v>
      </c>
      <c r="D25" s="27">
        <v>1520031</v>
      </c>
      <c r="E25" s="48">
        <f>(C25*1000)/D25</f>
        <v>1.029584265057752</v>
      </c>
      <c r="F25" s="48">
        <f t="shared" si="1"/>
        <v>5.1479213252887597</v>
      </c>
      <c r="G25" s="48"/>
    </row>
    <row r="26" spans="1:7" ht="15" thickBot="1">
      <c r="A26" s="49">
        <v>2017</v>
      </c>
      <c r="B26" s="50" t="s">
        <v>0</v>
      </c>
      <c r="C26" s="51">
        <v>2240</v>
      </c>
    </row>
    <row r="27" spans="1:7" ht="15" thickBot="1"/>
    <row r="28" spans="1:7" ht="15" thickBot="1">
      <c r="A28" s="120" t="s">
        <v>84</v>
      </c>
      <c r="B28" s="121" t="s">
        <v>77</v>
      </c>
      <c r="C28" s="122">
        <f>C23+C24</f>
        <v>2155</v>
      </c>
      <c r="D28" s="123">
        <f>D24+D23</f>
        <v>3738862</v>
      </c>
      <c r="E28" s="124">
        <f>(C28*1000)/D28</f>
        <v>0.57637858792327723</v>
      </c>
      <c r="F28" s="125">
        <f>E28*5</f>
        <v>2.8818929396163862</v>
      </c>
      <c r="G28" s="48"/>
    </row>
    <row r="29" spans="1:7" ht="15" thickBot="1"/>
    <row r="30" spans="1:7" ht="15">
      <c r="A30" s="112" t="s">
        <v>109</v>
      </c>
      <c r="B30" s="113" t="s">
        <v>3</v>
      </c>
      <c r="C30" s="113" t="s">
        <v>2</v>
      </c>
      <c r="D30" s="37" t="s">
        <v>77</v>
      </c>
    </row>
    <row r="31" spans="1:7" ht="15">
      <c r="A31" s="99" t="s">
        <v>115</v>
      </c>
      <c r="B31" s="54">
        <v>3015</v>
      </c>
      <c r="C31" s="54">
        <v>3965</v>
      </c>
      <c r="D31" s="114">
        <f>B31+C31</f>
        <v>6980</v>
      </c>
    </row>
    <row r="32" spans="1:7" ht="15">
      <c r="A32" s="99" t="s">
        <v>75</v>
      </c>
      <c r="B32" s="55">
        <v>1979290</v>
      </c>
      <c r="C32" s="56">
        <v>1759572</v>
      </c>
      <c r="D32" s="114">
        <f>B32+C32</f>
        <v>3738862</v>
      </c>
    </row>
    <row r="33" spans="1:4" ht="15">
      <c r="A33" s="99" t="s">
        <v>113</v>
      </c>
      <c r="B33" s="55">
        <f>(B31*1000)/B32</f>
        <v>1.5232734970620778</v>
      </c>
      <c r="C33" s="55">
        <f>(C31*1000)/C32</f>
        <v>2.2533888922988092</v>
      </c>
      <c r="D33" s="100">
        <f>(D31*1000)/D32</f>
        <v>1.8668782105357191</v>
      </c>
    </row>
    <row r="34" spans="1:4" ht="15">
      <c r="A34" s="99" t="s">
        <v>83</v>
      </c>
      <c r="B34" s="55">
        <f>B33*5</f>
        <v>7.6163674853103895</v>
      </c>
      <c r="C34" s="56">
        <f>C33*5</f>
        <v>11.266944461494045</v>
      </c>
      <c r="D34" s="115">
        <f>D33*5</f>
        <v>9.3343910526785958</v>
      </c>
    </row>
    <row r="35" spans="1:4" ht="15">
      <c r="A35" s="99" t="s">
        <v>148</v>
      </c>
      <c r="B35" s="55">
        <v>257266</v>
      </c>
      <c r="C35" s="55">
        <v>203365</v>
      </c>
      <c r="D35" s="116">
        <f>B35+C35</f>
        <v>460631</v>
      </c>
    </row>
    <row r="36" spans="1:4">
      <c r="A36" s="17"/>
      <c r="D36" s="39"/>
    </row>
    <row r="37" spans="1:4" ht="15">
      <c r="A37" s="101" t="s">
        <v>162</v>
      </c>
      <c r="D37" s="39"/>
    </row>
    <row r="38" spans="1:4" ht="15">
      <c r="A38" s="99" t="s">
        <v>101</v>
      </c>
      <c r="B38" s="48">
        <f>B35/B32</f>
        <v>0.12997893183919487</v>
      </c>
      <c r="C38" s="48">
        <f>C35/C32</f>
        <v>0.1155764015340094</v>
      </c>
      <c r="D38" s="102">
        <f>D35/D32</f>
        <v>0.12320085630333508</v>
      </c>
    </row>
    <row r="39" spans="1:4" ht="15">
      <c r="A39" s="99" t="s">
        <v>4</v>
      </c>
      <c r="B39" s="48">
        <f>1-B38</f>
        <v>0.87002106816080516</v>
      </c>
      <c r="C39" s="48">
        <f>1-C38</f>
        <v>0.88442359846599061</v>
      </c>
      <c r="D39" s="102">
        <f>1-D38</f>
        <v>0.8767991436966649</v>
      </c>
    </row>
    <row r="40" spans="1:4" ht="45">
      <c r="A40" s="103" t="s">
        <v>114</v>
      </c>
      <c r="B40" s="60">
        <v>1.26</v>
      </c>
      <c r="C40" s="60">
        <v>1.26</v>
      </c>
      <c r="D40" s="117">
        <v>1.26</v>
      </c>
    </row>
    <row r="41" spans="1:4" ht="15">
      <c r="A41" s="99" t="s">
        <v>102</v>
      </c>
      <c r="B41" s="56">
        <f>B38*B40</f>
        <v>0.16377345411738553</v>
      </c>
      <c r="C41" s="56">
        <f>C38*C40</f>
        <v>0.14562626593285186</v>
      </c>
      <c r="D41" s="102">
        <f>D38*D40</f>
        <v>0.1552330789422022</v>
      </c>
    </row>
    <row r="42" spans="1:4" ht="15.75" thickBot="1">
      <c r="A42" s="106" t="s">
        <v>104</v>
      </c>
      <c r="B42" s="118"/>
      <c r="C42" s="118"/>
      <c r="D42" s="119">
        <f>F28/(D39+D41)</f>
        <v>2.7924447283704916</v>
      </c>
    </row>
    <row r="44" spans="1:4" ht="15">
      <c r="A44" s="52" t="s">
        <v>121</v>
      </c>
    </row>
    <row r="45" spans="1:4">
      <c r="A45" s="27" t="s">
        <v>151</v>
      </c>
      <c r="B45" s="27" t="s">
        <v>152</v>
      </c>
    </row>
    <row r="46" spans="1:4">
      <c r="A46" s="27" t="s">
        <v>128</v>
      </c>
      <c r="B46" s="88" t="s">
        <v>155</v>
      </c>
    </row>
    <row r="47" spans="1:4">
      <c r="A47" s="27" t="s">
        <v>153</v>
      </c>
      <c r="B47" s="162" t="s">
        <v>154</v>
      </c>
    </row>
    <row r="48" spans="1:4">
      <c r="A48" s="27" t="s">
        <v>139</v>
      </c>
      <c r="B48" s="88" t="s">
        <v>147</v>
      </c>
    </row>
  </sheetData>
  <mergeCells count="7">
    <mergeCell ref="F3:F5"/>
    <mergeCell ref="G3:G5"/>
    <mergeCell ref="A3:A5"/>
    <mergeCell ref="B3:B5"/>
    <mergeCell ref="C3:C5"/>
    <mergeCell ref="D3:D5"/>
    <mergeCell ref="E3:E5"/>
  </mergeCells>
  <hyperlinks>
    <hyperlink ref="B46" r:id="rId1" display="https://digital.nhs.uk/data-and-information/data-tools-and-services/data-services/hospital-episode-statistics" xr:uid="{AF480E2B-1167-4F1E-839C-C5CBE29DF5B5}"/>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165D-20F8-459D-81D3-2016BEAD31D6}">
  <sheetPr>
    <pageSetUpPr fitToPage="1"/>
  </sheetPr>
  <dimension ref="A2:H23"/>
  <sheetViews>
    <sheetView zoomScale="80" zoomScaleNormal="80" workbookViewId="0">
      <selection activeCell="D25" sqref="D25"/>
    </sheetView>
  </sheetViews>
  <sheetFormatPr defaultColWidth="8.75" defaultRowHeight="14.25"/>
  <cols>
    <col min="1" max="1" width="68.875" style="27" customWidth="1"/>
    <col min="2" max="2" width="21.25" style="27" customWidth="1"/>
    <col min="3" max="3" width="20.875" style="27" customWidth="1"/>
    <col min="4" max="4" width="19.875" style="27" customWidth="1"/>
    <col min="5" max="5" width="21.375" style="27" customWidth="1"/>
    <col min="6" max="6" width="16.625" style="27" customWidth="1"/>
    <col min="7" max="7" width="36.625" style="27" customWidth="1"/>
    <col min="8" max="8" width="37" style="27" customWidth="1"/>
    <col min="9" max="16384" width="8.75" style="27"/>
  </cols>
  <sheetData>
    <row r="2" spans="1:7" ht="15">
      <c r="A2" s="52" t="s">
        <v>212</v>
      </c>
    </row>
    <row r="3" spans="1:7" ht="15">
      <c r="A3" s="28" t="s">
        <v>221</v>
      </c>
      <c r="B3" s="29"/>
      <c r="C3" s="29"/>
      <c r="D3" s="29"/>
      <c r="E3" s="29"/>
      <c r="F3" s="29"/>
      <c r="G3" s="52"/>
    </row>
    <row r="4" spans="1:7">
      <c r="A4" s="189" t="s">
        <v>211</v>
      </c>
      <c r="B4" s="180" t="s">
        <v>215</v>
      </c>
      <c r="C4" s="180" t="s">
        <v>10</v>
      </c>
      <c r="D4" s="180" t="s">
        <v>217</v>
      </c>
      <c r="E4" s="191" t="s">
        <v>201</v>
      </c>
      <c r="F4" s="187" t="s">
        <v>203</v>
      </c>
      <c r="G4" s="186" t="s">
        <v>122</v>
      </c>
    </row>
    <row r="5" spans="1:7">
      <c r="A5" s="189"/>
      <c r="B5" s="180"/>
      <c r="C5" s="180"/>
      <c r="D5" s="180"/>
      <c r="E5" s="191"/>
      <c r="F5" s="187"/>
      <c r="G5" s="186"/>
    </row>
    <row r="6" spans="1:7" ht="15" thickBot="1">
      <c r="A6" s="190"/>
      <c r="B6" s="181"/>
      <c r="C6" s="181"/>
      <c r="D6" s="181"/>
      <c r="E6" s="192"/>
      <c r="F6" s="188"/>
      <c r="G6" s="186"/>
    </row>
    <row r="7" spans="1:7" ht="15.75">
      <c r="A7" s="30"/>
      <c r="B7" s="31"/>
      <c r="C7" s="31"/>
      <c r="D7" s="32"/>
      <c r="E7"/>
      <c r="F7"/>
    </row>
    <row r="8" spans="1:7" ht="15.75">
      <c r="A8" s="34" t="s">
        <v>213</v>
      </c>
      <c r="B8" s="61">
        <v>9.1199999999999992</v>
      </c>
      <c r="C8" s="62">
        <v>1.97</v>
      </c>
      <c r="D8" s="32">
        <f t="shared" ref="D8" si="0">B8*C8</f>
        <v>17.966399999999997</v>
      </c>
      <c r="E8" t="s">
        <v>210</v>
      </c>
      <c r="F8" s="27" t="s">
        <v>220</v>
      </c>
    </row>
    <row r="10" spans="1:7" ht="15">
      <c r="A10" s="52" t="s">
        <v>78</v>
      </c>
    </row>
    <row r="11" spans="1:7" ht="15">
      <c r="A11" s="28" t="s">
        <v>222</v>
      </c>
      <c r="B11" s="29"/>
      <c r="C11" s="29"/>
      <c r="D11" s="29"/>
      <c r="E11" s="29"/>
      <c r="F11" s="29"/>
      <c r="G11" s="52"/>
    </row>
    <row r="12" spans="1:7">
      <c r="A12" s="189" t="s">
        <v>211</v>
      </c>
      <c r="B12" s="180" t="s">
        <v>216</v>
      </c>
      <c r="C12" s="180" t="s">
        <v>10</v>
      </c>
      <c r="D12" s="180" t="s">
        <v>218</v>
      </c>
      <c r="E12" s="191" t="s">
        <v>201</v>
      </c>
      <c r="F12" s="187" t="s">
        <v>203</v>
      </c>
      <c r="G12" s="186" t="s">
        <v>122</v>
      </c>
    </row>
    <row r="13" spans="1:7">
      <c r="A13" s="189"/>
      <c r="B13" s="180"/>
      <c r="C13" s="180"/>
      <c r="D13" s="180"/>
      <c r="E13" s="191"/>
      <c r="F13" s="187"/>
      <c r="G13" s="186"/>
    </row>
    <row r="14" spans="1:7" ht="15" thickBot="1">
      <c r="A14" s="190"/>
      <c r="B14" s="181"/>
      <c r="C14" s="181"/>
      <c r="D14" s="181"/>
      <c r="E14" s="192"/>
      <c r="F14" s="188"/>
      <c r="G14" s="186"/>
    </row>
    <row r="15" spans="1:7" ht="15.75">
      <c r="A15" s="30"/>
      <c r="B15" s="31"/>
      <c r="C15" s="31"/>
      <c r="D15" s="32"/>
      <c r="E15"/>
      <c r="F15"/>
    </row>
    <row r="16" spans="1:7" ht="15.75">
      <c r="A16" s="34" t="s">
        <v>214</v>
      </c>
      <c r="B16" s="61">
        <v>12.81</v>
      </c>
      <c r="C16" s="62">
        <v>1.49</v>
      </c>
      <c r="D16" s="32">
        <f t="shared" ref="D16" si="1">B16*C16</f>
        <v>19.0869</v>
      </c>
      <c r="E16" t="s">
        <v>210</v>
      </c>
      <c r="F16" s="27" t="s">
        <v>219</v>
      </c>
    </row>
    <row r="17" spans="1:8" ht="15" customHeight="1">
      <c r="A17" s="30"/>
      <c r="B17" s="62"/>
      <c r="C17" s="62"/>
      <c r="D17" s="66"/>
      <c r="E17"/>
      <c r="F17"/>
      <c r="H17" s="67"/>
    </row>
    <row r="18" spans="1:8" ht="15.75">
      <c r="A18" s="27" t="s">
        <v>223</v>
      </c>
      <c r="E18"/>
      <c r="F18"/>
    </row>
    <row r="20" spans="1:8" ht="13.9" customHeight="1">
      <c r="A20" s="78" t="s">
        <v>121</v>
      </c>
      <c r="B20" s="67"/>
    </row>
    <row r="21" spans="1:8" ht="13.9" customHeight="1">
      <c r="A21" s="80" t="s">
        <v>224</v>
      </c>
      <c r="B21" s="27" t="s">
        <v>225</v>
      </c>
    </row>
    <row r="22" spans="1:8" ht="14.45" customHeight="1">
      <c r="B22" s="88"/>
    </row>
    <row r="23" spans="1:8">
      <c r="A23" s="79"/>
      <c r="B23" s="88"/>
    </row>
  </sheetData>
  <mergeCells count="14">
    <mergeCell ref="F4:F6"/>
    <mergeCell ref="G4:G6"/>
    <mergeCell ref="G12:G14"/>
    <mergeCell ref="A12:A14"/>
    <mergeCell ref="B12:B14"/>
    <mergeCell ref="C12:C14"/>
    <mergeCell ref="D12:D14"/>
    <mergeCell ref="E12:E14"/>
    <mergeCell ref="F12:F14"/>
    <mergeCell ref="A4:A6"/>
    <mergeCell ref="B4:B6"/>
    <mergeCell ref="C4:C6"/>
    <mergeCell ref="D4:D6"/>
    <mergeCell ref="E4:E6"/>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Fracture</vt:lpstr>
      <vt:lpstr>Breast cancer oestrogen-only</vt:lpstr>
      <vt:lpstr>Breast cancer combined HRT</vt:lpstr>
      <vt:lpstr>Endometrial cancer</vt:lpstr>
      <vt:lpstr>Ovarian cancer</vt:lpstr>
      <vt:lpstr>CHD </vt:lpstr>
      <vt:lpstr>Stroke</vt:lpstr>
      <vt:lpstr>Dementia</vt:lpstr>
      <vt:lpstr>Early menopause and breast canc</vt:lpstr>
      <vt:lpstr>Early menopause full calculatio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 Menopause supplement 19 absolute calculations 07/11/2024</dc:title>
  <dc:creator>Agnesa Mehmeti</dc:creator>
  <cp:lastModifiedBy>Nathan Ashurst</cp:lastModifiedBy>
  <cp:lastPrinted>2023-06-07T11:35:25Z</cp:lastPrinted>
  <dcterms:created xsi:type="dcterms:W3CDTF">2023-05-23T12:45:35Z</dcterms:created>
  <dcterms:modified xsi:type="dcterms:W3CDTF">2024-11-13T11:45:33Z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2023-05-23T12:45:56Z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b9a9bce1-4f08-4e3c-8628-3ab531597260</vt:lpwstr>
  </property>
  <property fmtid="{D5CDD505-2E9C-101B-9397-08002B2CF9AE}" pid="8" name="MSIP_Label_c69d85d5-6d9e-4305-a294-1f636ec0f2d6_ContentBits">
    <vt:lpwstr>0</vt:lpwstr>
  </property>
</Properties>
</file>